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17.xml" ContentType="application/vnd.openxmlformats-officedocument.drawingml.chartshapes+xml"/>
  <Override PartName="/xl/drawings/drawing18.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13.xml" ContentType="application/vnd.openxmlformats-officedocument.drawingml.chartshapes+xml"/>
  <Override PartName="/xl/drawings/drawing27.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2.xml" ContentType="application/vnd.openxmlformats-officedocument.drawingml.chartshapes+xml"/>
  <Override PartName="/xl/drawings/drawing14.xml" ContentType="application/vnd.openxmlformats-officedocument.drawingml.chartshapes+xml"/>
  <Override PartName="/xl/drawings/drawing30.xml" ContentType="application/vnd.openxmlformats-officedocument.drawingml.chartshapes+xml"/>
  <Override PartName="/xl/drawings/drawing4.xml" ContentType="application/vnd.openxmlformats-officedocument.drawingml.chartshapes+xml"/>
  <Override PartName="/xl/drawings/drawing41.xml" ContentType="application/vnd.openxmlformats-officedocument.drawingml.chartshapes+xml"/>
  <Override PartName="/xl/drawings/drawing53.xml" ContentType="application/vnd.openxmlformats-officedocument.drawingml.chartshapes+xml"/>
  <Override PartName="/xl/drawings/drawing54.xml" ContentType="application/vnd.openxmlformats-officedocument.drawingml.chartshapes+xml"/>
  <Override PartName="/xl/drawings/drawing55.xml" ContentType="application/vnd.openxmlformats-officedocument.drawingml.chartshapes+xml"/>
  <Override PartName="/xl/drawings/drawing39.xml" ContentType="application/vnd.openxmlformats-officedocument.drawingml.chartshapes+xml"/>
  <Override PartName="/xl/drawings/drawing38.xml" ContentType="application/vnd.openxmlformats-officedocument.drawingml.chartshapes+xml"/>
  <Override PartName="/xl/drawings/drawing36.xml" ContentType="application/vnd.openxmlformats-officedocument.drawingml.chartshapes+xml"/>
  <Override PartName="/xl/drawings/drawing31.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drawings/drawing29.xml" ContentType="application/vnd.openxmlformats-officedocument.drawingml.chartshapes+xml"/>
  <Override PartName="/xl/workbook.xml" ContentType="application/vnd.openxmlformats-officedocument.spreadsheetml.sheet.main+xml"/>
  <Override PartName="/xl/worksheets/sheet32.xml" ContentType="application/vnd.openxmlformats-officedocument.spreadsheetml.worksheet+xml"/>
  <Override PartName="/xl/worksheets/sheet4.xml" ContentType="application/vnd.openxmlformats-officedocument.spreadsheetml.workshee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94.xml" ContentType="application/vnd.openxmlformats-officedocument.drawingml.chart+xml"/>
  <Override PartName="/xl/worksheets/sheet5.xml" ContentType="application/vnd.openxmlformats-officedocument.spreadsheetml.worksheet+xml"/>
  <Override PartName="/xl/charts/chart93.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86.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47.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charts/chart63.xml" ContentType="application/vnd.openxmlformats-officedocument.drawingml.chart+xml"/>
  <Override PartName="/xl/drawings/drawing4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worksheets/sheet1.xml" ContentType="application/vnd.openxmlformats-officedocument.spreadsheetml.worksheet+xml"/>
  <Override PartName="/xl/drawings/drawing45.xml" ContentType="application/vnd.openxmlformats-officedocument.drawing+xml"/>
  <Override PartName="/xl/charts/chart67.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51.xml" ContentType="application/vnd.openxmlformats-officedocument.drawing+xml"/>
  <Override PartName="/xl/charts/chart83.xml" ContentType="application/vnd.openxmlformats-officedocument.drawingml.chart+xml"/>
  <Override PartName="/xl/drawings/drawing52.xml" ContentType="application/vnd.openxmlformats-officedocument.drawing+xml"/>
  <Override PartName="/xl/drawings/drawing50.xml" ContentType="application/vnd.openxmlformats-officedocument.drawing+xml"/>
  <Override PartName="/xl/charts/chart78.xml" ContentType="application/vnd.openxmlformats-officedocument.drawingml.chart+xml"/>
  <Override PartName="/xl/drawings/drawing49.xml" ContentType="application/vnd.openxmlformats-officedocument.drawing+xml"/>
  <Override PartName="/xl/drawings/drawing48.xml" ContentType="application/vnd.openxmlformats-officedocument.drawing+xml"/>
  <Override PartName="/xl/charts/chart77.xml" ContentType="application/vnd.openxmlformats-officedocument.drawingml.chart+xml"/>
  <Override PartName="/xl/drawings/drawing43.xml" ContentType="application/vnd.openxmlformats-officedocument.drawing+xml"/>
  <Override PartName="/xl/charts/chart66.xml" ContentType="application/vnd.openxmlformats-officedocument.drawingml.chart+xml"/>
  <Override PartName="/xl/worksheets/sheet33.xml" ContentType="application/vnd.openxmlformats-officedocument.spreadsheetml.worksheet+xml"/>
  <Override PartName="/xl/drawings/drawing11.xml" ContentType="application/vnd.openxmlformats-officedocument.drawing+xml"/>
  <Override PartName="/xl/charts/chart15.xml" ContentType="application/vnd.openxmlformats-officedocument.drawingml.chart+xml"/>
  <Override PartName="/xl/worksheets/sheet26.xml" ContentType="application/vnd.openxmlformats-officedocument.spreadsheetml.worksheet+xml"/>
  <Override PartName="/xl/charts/chart16.xml" ContentType="application/vnd.openxmlformats-officedocument.drawingml.chart+xml"/>
  <Override PartName="/xl/worksheets/sheet25.xml" ContentType="application/vnd.openxmlformats-officedocument.spreadsheetml.worksheet+xml"/>
  <Override PartName="/xl/charts/chart17.xml" ContentType="application/vnd.openxmlformats-officedocument.drawingml.chart+xml"/>
  <Override PartName="/xl/worksheets/sheet24.xml" ContentType="application/vnd.openxmlformats-officedocument.spreadsheetml.worksheet+xml"/>
  <Override PartName="/xl/charts/chart18.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worksheets/sheet23.xml" ContentType="application/vnd.openxmlformats-officedocument.spreadsheetml.worksheet+xml"/>
  <Override PartName="/xl/charts/chart19.xml" ContentType="application/vnd.openxmlformats-officedocument.drawingml.chart+xml"/>
  <Override PartName="/xl/drawings/drawing16.xml" ContentType="application/vnd.openxmlformats-officedocument.drawing+xml"/>
  <Override PartName="/xl/worksheets/sheet19.xml" ContentType="application/vnd.openxmlformats-officedocument.spreadsheetml.worksheet+xml"/>
  <Override PartName="/xl/charts/chart62.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worksheets/sheet18.xml" ContentType="application/vnd.openxmlformats-officedocument.spreadsheetml.worksheet+xml"/>
  <Override PartName="/xl/charts/chart25.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worksheets/sheet22.xml" ContentType="application/vnd.openxmlformats-officedocument.spreadsheetml.worksheet+xml"/>
  <Override PartName="/xl/charts/chart22.xml" ContentType="application/vnd.openxmlformats-officedocument.drawingml.chart+xml"/>
  <Override PartName="/xl/worksheets/sheet21.xml" ContentType="application/vnd.openxmlformats-officedocument.spreadsheetml.worksheet+xml"/>
  <Override PartName="/xl/charts/chart23.xml" ContentType="application/vnd.openxmlformats-officedocument.drawingml.chart+xml"/>
  <Override PartName="/xl/worksheets/sheet20.xml" ContentType="application/vnd.openxmlformats-officedocument.spreadsheetml.worksheet+xml"/>
  <Override PartName="/xl/charts/chart12.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7.xml" ContentType="application/vnd.openxmlformats-officedocument.drawingml.chart+xml"/>
  <Override PartName="/xl/worksheets/sheet27.xml" ContentType="application/vnd.openxmlformats-officedocument.spreadsheetml.workshee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8.xml" ContentType="application/vnd.openxmlformats-officedocument.spreadsheetml.worksheet+xml"/>
  <Override PartName="/xl/charts/chart6.xml" ContentType="application/vnd.openxmlformats-officedocument.drawingml.chart+xml"/>
  <Override PartName="/xl/worksheets/sheet29.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worksheets/sheet30.xml" ContentType="application/vnd.openxmlformats-officedocument.spreadsheetml.worksheet+xml"/>
  <Override PartName="/xl/charts/chart5.xml" ContentType="application/vnd.openxmlformats-officedocument.drawingml.chart+xml"/>
  <Override PartName="/xl/charts/chart30.xml" ContentType="application/vnd.openxmlformats-officedocument.drawingml.chart+xml"/>
  <Override PartName="/xl/drawings/drawing22.xml" ContentType="application/vnd.openxmlformats-officedocument.drawing+xml"/>
  <Override PartName="/xl/charts/chart32.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worksheets/sheet11.xml" ContentType="application/vnd.openxmlformats-officedocument.spreadsheetml.worksheet+xml"/>
  <Override PartName="/xl/charts/chart49.xml" ContentType="application/vnd.openxmlformats-officedocument.drawingml.chart+xml"/>
  <Override PartName="/xl/charts/chart48.xml" ContentType="application/vnd.openxmlformats-officedocument.drawingml.chart+xml"/>
  <Override PartName="/xl/worksheets/sheet12.xml" ContentType="application/vnd.openxmlformats-officedocument.spreadsheetml.worksheet+xml"/>
  <Override PartName="/xl/charts/chart45.xml" ContentType="application/vnd.openxmlformats-officedocument.drawingml.chart+xml"/>
  <Override PartName="/xl/worksheets/sheet14.xml" ContentType="application/vnd.openxmlformats-officedocument.spreadsheetml.worksheet+xml"/>
  <Override PartName="/xl/charts/chart46.xml" ContentType="application/vnd.openxmlformats-officedocument.drawingml.chart+xml"/>
  <Override PartName="/xl/worksheets/sheet13.xml" ContentType="application/vnd.openxmlformats-officedocument.spreadsheetml.worksheet+xml"/>
  <Override PartName="/xl/charts/chart47.xml" ContentType="application/vnd.openxmlformats-officedocument.drawingml.chart+xml"/>
  <Override PartName="/xl/charts/chart54.xml" ContentType="application/vnd.openxmlformats-officedocument.drawingml.chart+xml"/>
  <Override PartName="/xl/drawings/drawing35.xml" ContentType="application/vnd.openxmlformats-officedocument.drawing+xml"/>
  <Override PartName="/xl/charts/chart55.xml" ContentType="application/vnd.openxmlformats-officedocument.drawingml.chart+xml"/>
  <Override PartName="/xl/worksheets/sheet7.xml" ContentType="application/vnd.openxmlformats-officedocument.spreadsheetml.worksheet+xml"/>
  <Override PartName="/xl/charts/chart59.xml" ContentType="application/vnd.openxmlformats-officedocument.drawingml.chart+xml"/>
  <Override PartName="/xl/drawings/drawing4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58.xml" ContentType="application/vnd.openxmlformats-officedocument.drawingml.chart+xml"/>
  <Override PartName="/xl/drawings/drawing40.xml" ContentType="application/vnd.openxmlformats-officedocument.drawing+xml"/>
  <Override PartName="/xl/worksheets/sheet8.xml" ContentType="application/vnd.openxmlformats-officedocument.spreadsheetml.worksheet+xml"/>
  <Override PartName="/xl/worksheets/sheet10.xml" ContentType="application/vnd.openxmlformats-officedocument.spreadsheetml.worksheet+xml"/>
  <Override PartName="/xl/drawings/drawing37.xml" ContentType="application/vnd.openxmlformats-officedocument.drawing+xml"/>
  <Override PartName="/xl/charts/chart56.xml" ContentType="application/vnd.openxmlformats-officedocument.drawingml.chart+xml"/>
  <Override PartName="/xl/worksheets/sheet9.xml" ContentType="application/vnd.openxmlformats-officedocument.spreadsheetml.worksheet+xml"/>
  <Override PartName="/xl/charts/chart57.xml" ContentType="application/vnd.openxmlformats-officedocument.drawingml.chart+xml"/>
  <Override PartName="/xl/worksheets/sheet15.xml" ContentType="application/vnd.openxmlformats-officedocument.spreadsheetml.worksheet+xml"/>
  <Override PartName="/xl/charts/chart31.xml" ContentType="application/vnd.openxmlformats-officedocument.drawingml.chart+xml"/>
  <Override PartName="/xl/worksheets/sheet16.xml" ContentType="application/vnd.openxmlformats-officedocument.spreadsheetml.worksheet+xml"/>
  <Override PartName="/xl/worksheets/sheet17.xml" ContentType="application/vnd.openxmlformats-officedocument.spreadsheetml.worksheet+xml"/>
  <Override PartName="/xl/charts/chart38.xml" ContentType="application/vnd.openxmlformats-officedocument.drawingml.chart+xml"/>
  <Override PartName="/xl/drawings/drawing26.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drawings/drawing28.xml" ContentType="application/vnd.openxmlformats-officedocument.drawing+xml"/>
  <Override PartName="/xl/charts/chart4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hidePivotFieldList="1"/>
  <bookViews>
    <workbookView xWindow="15495" yWindow="2145" windowWidth="12840" windowHeight="10815" tabRatio="938"/>
  </bookViews>
  <sheets>
    <sheet name="Content" sheetId="33" r:id="rId1"/>
    <sheet name="Overview Table" sheetId="34" r:id="rId2"/>
    <sheet name="A&amp;E WT" sheetId="64" r:id="rId3"/>
    <sheet name="A&amp;E WT - Published" sheetId="38" r:id="rId4"/>
    <sheet name="ABI" sheetId="2" r:id="rId5"/>
    <sheet name="ABI - Published" sheetId="43" r:id="rId6"/>
    <sheet name="Antenatal" sheetId="3" r:id="rId7"/>
    <sheet name="Antenatal - Published" sheetId="39" r:id="rId8"/>
    <sheet name="CAMHS" sheetId="5" r:id="rId9"/>
    <sheet name="CAMHS - Published" sheetId="40" r:id="rId10"/>
    <sheet name="Cancer - 31 Day" sheetId="6" r:id="rId11"/>
    <sheet name="Cancer - 62 Day" sheetId="7" r:id="rId12"/>
    <sheet name="Cancer - Published" sheetId="36" r:id="rId13"/>
    <sheet name="Cardiac Arrest" sheetId="8" r:id="rId14"/>
    <sheet name="Complaints" sheetId="9" r:id="rId15"/>
    <sheet name="Complaints - Published" sheetId="41" r:id="rId16"/>
    <sheet name="Delayed Discharges" sheetId="10" r:id="rId17"/>
    <sheet name="Delayed Discharges - Published" sheetId="42" r:id="rId18"/>
    <sheet name="Dementia" sheetId="11" r:id="rId19"/>
    <sheet name="Dementia - Published" sheetId="62" r:id="rId20"/>
    <sheet name="DCE" sheetId="30" r:id="rId21"/>
    <sheet name="Diagnostics" sheetId="12" r:id="rId22"/>
    <sheet name="Diagnostics - Published" sheetId="44" r:id="rId23"/>
    <sheet name="Drug &amp; Alcohol - Published" sheetId="32" r:id="rId24"/>
    <sheet name="Falls" sheetId="13" r:id="rId25"/>
    <sheet name="GP Access" sheetId="14" r:id="rId26"/>
    <sheet name="HAI - C.Diff" sheetId="15" r:id="rId27"/>
    <sheet name="HAI - SAB" sheetId="16" r:id="rId28"/>
    <sheet name="HAI - Published" sheetId="45" r:id="rId29"/>
    <sheet name="Hospital Scorecard" sheetId="17" r:id="rId30"/>
    <sheet name="HSMR" sheetId="35" r:id="rId31"/>
    <sheet name="Inpatient - TTG" sheetId="19" r:id="rId32"/>
    <sheet name="Inpatient - Published" sheetId="46" r:id="rId33"/>
    <sheet name="IVF" sheetId="20" r:id="rId34"/>
    <sheet name="IVF - Published" sheetId="47" r:id="rId35"/>
    <sheet name="Outpatient" sheetId="25" r:id="rId36"/>
    <sheet name="Outpatient - Published" sheetId="48" r:id="rId37"/>
    <sheet name="Patient Experience" sheetId="21" r:id="rId38"/>
    <sheet name="P.R. Surveillance Endoscopy" sheetId="29" r:id="rId39"/>
    <sheet name="Psych Therapies" sheetId="23" r:id="rId40"/>
    <sheet name="Psych Therapies - Published" sheetId="49" r:id="rId41"/>
    <sheet name="RTT" sheetId="24" r:id="rId42"/>
    <sheet name="RTT - Published" sheetId="50" r:id="rId43"/>
    <sheet name="Sickness Absence" sheetId="27" r:id="rId44"/>
    <sheet name="Sickness Absence - Published" sheetId="51" r:id="rId45"/>
    <sheet name="Smoking Cessation" sheetId="26" r:id="rId46"/>
    <sheet name="Smoking Cessation - Published" sheetId="52" r:id="rId47"/>
    <sheet name="Stroke" sheetId="28" r:id="rId48"/>
  </sheets>
  <externalReferences>
    <externalReference r:id="rId49"/>
  </externalReferences>
  <definedNames>
    <definedName name="_xlnm._FilterDatabase" localSheetId="1" hidden="1">'Overview Table'!$A$3:$Y$64</definedName>
    <definedName name="_ftn1" localSheetId="21">Diagnostics!$A$364</definedName>
    <definedName name="_ftn2" localSheetId="47">Stroke!$A$27</definedName>
    <definedName name="_ftn3" localSheetId="47">Stroke!$A$28</definedName>
    <definedName name="_ftn4" localSheetId="1">'Overview Table'!$A$56</definedName>
    <definedName name="_ftn5" localSheetId="1">'Overview Table'!$A$57</definedName>
    <definedName name="_ftn6" localSheetId="1">'Overview Table'!$A$58</definedName>
    <definedName name="_ftn7" localSheetId="1">'Overview Table'!$A$59</definedName>
    <definedName name="_ftn9" localSheetId="1">'Overview Table'!#REF!</definedName>
    <definedName name="_ftnref1" localSheetId="21">Diagnostics!$A$363</definedName>
    <definedName name="_ftnref10" localSheetId="1">'Overview Table'!$P$42</definedName>
    <definedName name="_ftnref11" localSheetId="1">'Overview Table'!$I$47</definedName>
    <definedName name="_ftnref2" localSheetId="47">Stroke!$Z$19</definedName>
    <definedName name="_ftnref3" localSheetId="47">Stroke!$Z$20</definedName>
    <definedName name="_ftnref4" localSheetId="1">'Overview Table'!$J$3</definedName>
    <definedName name="_ftnref5" localSheetId="1">'Overview Table'!$M$3</definedName>
    <definedName name="_ftnref6" localSheetId="1">'Overview Table'!#REF!</definedName>
    <definedName name="_ftnref7" localSheetId="1">'Overview Table'!#REF!</definedName>
    <definedName name="_ftnref8" localSheetId="1">'Overview Table'!#REF!</definedName>
    <definedName name="_ftnref9" localSheetId="1">'Overview Table'!$A$14</definedName>
    <definedName name="Abbreviations" localSheetId="1">'Overview Table'!$A$61</definedName>
    <definedName name="ABIs_2" localSheetId="1">'Overview Table'!$A$13</definedName>
    <definedName name="All_Attendances">INDIRECT([1]Lookups!$L$11)</definedName>
    <definedName name="Antenatal_2" localSheetId="1">'Overview Table'!$A$42</definedName>
    <definedName name="CAMHs_2" localSheetId="1">'Overview Table'!$A$14</definedName>
    <definedName name="Cancer31_2" localSheetId="1">'Overview Table'!$A$15</definedName>
    <definedName name="Cancer62_2" localSheetId="1">'Overview Table'!$A$16</definedName>
    <definedName name="Cardiac_2" localSheetId="1">'Overview Table'!$A$4</definedName>
    <definedName name="CDI_2" localSheetId="1">'Overview Table'!$A$6</definedName>
    <definedName name="chart1" localSheetId="19">'Dementia - Published'!$D$86:$Q$113</definedName>
    <definedName name="chart1">Dementia!$D$90:$Q$117</definedName>
    <definedName name="Comparison_Lookup">INDIRECT([1]Lookups!$L$22)</definedName>
    <definedName name="Complaints_20_2" localSheetId="1">'Overview Table'!$A$45</definedName>
    <definedName name="Complaints_3_2" localSheetId="1">'Overview Table'!$A$44</definedName>
    <definedName name="DataUpdatedSinceLastReport" localSheetId="1">'Overview Table'!#REF!</definedName>
    <definedName name="date_range_board">INDIRECT([1]Lookups!$L$10)</definedName>
    <definedName name="DateofPublishedNHSLothianvsScotland" localSheetId="1">'Overview Table'!$A$59</definedName>
    <definedName name="DCE_2" localSheetId="1">'Overview Table'!$A$46</definedName>
    <definedName name="Delayed_2" localSheetId="1">'Overview Table'!$A$30</definedName>
    <definedName name="Dementia_2" localSheetId="1">'Overview Table'!$A$47</definedName>
    <definedName name="Diagnostics_2" localSheetId="1">'Overview Table'!$A$17</definedName>
    <definedName name="DrugAlcohol_2" localSheetId="1">'Overview Table'!#REF!</definedName>
    <definedName name="Falls_2" localSheetId="1">'Overview Table'!$A$5</definedName>
    <definedName name="FourHour_2" localSheetId="1">'Overview Table'!$A$12</definedName>
    <definedName name="GPAccess_2" localSheetId="1">'Overview Table'!#REF!</definedName>
    <definedName name="GPAccess2_2" localSheetId="1">'Overview Table'!#REF!</definedName>
    <definedName name="HealthcareQualityDomain" localSheetId="1">'Overview Table'!$A$54</definedName>
    <definedName name="HSMR_2" localSheetId="1">'Overview Table'!$A$8</definedName>
    <definedName name="IPDC_2" localSheetId="1">'Overview Table'!$A$23</definedName>
    <definedName name="IVF_2" localSheetId="1">'Overview Table'!$A$24</definedName>
    <definedName name="Measure" localSheetId="1">'Overview Table'!$A$53</definedName>
    <definedName name="NarrativeUpdatedSinceLastReport" localSheetId="1">'Overview Table'!#REF!</definedName>
    <definedName name="OP_2" localSheetId="1">'Overview Table'!$A$25</definedName>
    <definedName name="PatientExperience_2" localSheetId="1">'Overview Table'!$A$51</definedName>
    <definedName name="PerformanceAgainstTargetStandard" localSheetId="1">'Overview Table'!$A$56</definedName>
    <definedName name="PT_2" localSheetId="1">'Overview Table'!$A$26</definedName>
    <definedName name="PublishedNHSLothianvsScotland" localSheetId="1">'Overview Table'!$A$58</definedName>
    <definedName name="RTT_2" localSheetId="1">'Overview Table'!$A$27</definedName>
    <definedName name="SAB_2" localSheetId="1">'Overview Table'!$A$7</definedName>
    <definedName name="ScorecardLoSMed_2" localSheetId="1">'Overview Table'!$A$40</definedName>
    <definedName name="ScorecardLoSSurg_2" localSheetId="1">'Overview Table'!$A$39</definedName>
    <definedName name="ScorecardMed28_2" localSheetId="1">'Overview Table'!$A$38</definedName>
    <definedName name="ScorecardMed7_2" localSheetId="1">'Overview Table'!$A$37</definedName>
    <definedName name="ScorecardSurg28_2" localSheetId="1">'Overview Table'!$A$36</definedName>
    <definedName name="ScorecardSurg7_2" localSheetId="1">'Overview Table'!$A$34</definedName>
    <definedName name="SIMD" localSheetId="1">'Overview Table'!#REF!</definedName>
    <definedName name="Smoking_2" localSheetId="1">'Overview Table'!$A$43</definedName>
    <definedName name="StaffSickness_2" localSheetId="1">'Overview Table'!$A$41</definedName>
    <definedName name="Stroke_2" localSheetId="1">'Overview Table'!$A$28</definedName>
    <definedName name="Surveillance_2" localSheetId="1">'Overview Table'!$A$29</definedName>
    <definedName name="Trend" localSheetId="1">'Overview Table'!$A$57</definedName>
    <definedName name="Type" localSheetId="1">'Overview Table'!$A$55</definedName>
  </definedNames>
  <calcPr calcId="145621"/>
</workbook>
</file>

<file path=xl/calcChain.xml><?xml version="1.0" encoding="utf-8"?>
<calcChain xmlns="http://schemas.openxmlformats.org/spreadsheetml/2006/main">
  <c r="AF112" i="7" l="1"/>
  <c r="AG112" i="7"/>
  <c r="AH112" i="7"/>
  <c r="AI112" i="7"/>
  <c r="AJ112" i="7"/>
  <c r="AK112" i="7"/>
  <c r="AL112" i="7"/>
  <c r="AM112" i="7"/>
  <c r="AN112" i="7"/>
  <c r="AO112" i="7"/>
  <c r="AP112" i="7"/>
  <c r="AQ112" i="7"/>
  <c r="AR112" i="7"/>
  <c r="AS112" i="7"/>
  <c r="AT112" i="7"/>
  <c r="AU112" i="7"/>
  <c r="AV112" i="7"/>
  <c r="AW112" i="7"/>
  <c r="AE112" i="7"/>
  <c r="AA111" i="7"/>
  <c r="AB111" i="7"/>
  <c r="AC111" i="7"/>
  <c r="AD111" i="7"/>
  <c r="AE111" i="7"/>
  <c r="Z111" i="7"/>
  <c r="AH446" i="12" l="1"/>
  <c r="AH441" i="12"/>
  <c r="AH423" i="12"/>
  <c r="AH427" i="12" s="1"/>
  <c r="AH412" i="12"/>
  <c r="AH401" i="12"/>
  <c r="AH390" i="12"/>
  <c r="AH379" i="12"/>
  <c r="AH359" i="12"/>
  <c r="AH360" i="12"/>
  <c r="AH361" i="12"/>
  <c r="AH362" i="12"/>
  <c r="AH363" i="12"/>
  <c r="AH368" i="12"/>
  <c r="AH348" i="12"/>
  <c r="AH337" i="12"/>
  <c r="AH326" i="12"/>
  <c r="AH315" i="12"/>
  <c r="AH304" i="12"/>
  <c r="AH296" i="12"/>
  <c r="AH297" i="12"/>
  <c r="AH298" i="12"/>
  <c r="AH299" i="12"/>
  <c r="AH300" i="12"/>
  <c r="AG30" i="29" l="1"/>
  <c r="AH30" i="29"/>
  <c r="AG27" i="29"/>
  <c r="AH27" i="29"/>
  <c r="AH26" i="19" l="1"/>
  <c r="AH23" i="19" l="1"/>
  <c r="AH32" i="25"/>
  <c r="AB26" i="25"/>
  <c r="B29" i="25"/>
  <c r="C29" i="25"/>
  <c r="D29" i="25"/>
  <c r="E29" i="25"/>
  <c r="F29" i="25"/>
  <c r="G29" i="25"/>
  <c r="H29" i="25"/>
  <c r="I29" i="25"/>
  <c r="J29" i="25"/>
  <c r="K29" i="25"/>
  <c r="L29" i="25"/>
  <c r="M29" i="25"/>
  <c r="N29" i="25"/>
  <c r="O29" i="25"/>
  <c r="P29" i="25"/>
  <c r="Q29" i="25"/>
  <c r="R29" i="25"/>
  <c r="S29" i="25"/>
  <c r="T29" i="25"/>
  <c r="U29" i="25"/>
  <c r="V29" i="25"/>
  <c r="W29" i="25"/>
  <c r="X29" i="25"/>
  <c r="Y29" i="25"/>
  <c r="Z29" i="25"/>
  <c r="AA29" i="25"/>
  <c r="AB29" i="25"/>
  <c r="AC29" i="25"/>
  <c r="AD29" i="25"/>
  <c r="AE29" i="25"/>
  <c r="AF29" i="25"/>
  <c r="AG29" i="25"/>
  <c r="AH29" i="25"/>
  <c r="B32" i="25"/>
  <c r="C32" i="25"/>
  <c r="D32" i="25"/>
  <c r="E32" i="25"/>
  <c r="F32" i="25"/>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G33" i="19" l="1"/>
  <c r="AH33" i="19"/>
  <c r="AG13" i="20" l="1"/>
  <c r="B26" i="19"/>
  <c r="D104" i="13"/>
  <c r="D119" i="8" l="1"/>
  <c r="B7" i="9" l="1"/>
  <c r="B6" i="9"/>
  <c r="H15" i="9"/>
  <c r="H16" i="9"/>
  <c r="H17" i="9"/>
  <c r="H18" i="9"/>
  <c r="H19" i="9"/>
  <c r="H20" i="9"/>
  <c r="H21" i="9"/>
  <c r="H14" i="9"/>
  <c r="D15" i="9"/>
  <c r="D16" i="9"/>
  <c r="D17" i="9"/>
  <c r="D18" i="9"/>
  <c r="D19" i="9"/>
  <c r="D20" i="9"/>
  <c r="D21" i="9"/>
  <c r="D14" i="9"/>
  <c r="AF407" i="28" l="1"/>
  <c r="AF394" i="28"/>
  <c r="AF386" i="28"/>
  <c r="AF374" i="28"/>
  <c r="AF366" i="28"/>
  <c r="AF351" i="28"/>
  <c r="AF343" i="28"/>
  <c r="AE343" i="28"/>
  <c r="AF330" i="28"/>
  <c r="AF323" i="28"/>
  <c r="AF311" i="28"/>
  <c r="D65" i="16" l="1"/>
  <c r="D66" i="16"/>
  <c r="D68" i="16"/>
  <c r="AH132" i="10" l="1"/>
  <c r="AH133" i="10"/>
  <c r="AH134" i="10"/>
  <c r="AH135" i="10"/>
  <c r="AH136" i="10"/>
  <c r="AH137" i="10"/>
  <c r="AH138" i="10"/>
  <c r="AH139" i="10"/>
  <c r="AH140" i="10"/>
  <c r="AH141" i="10"/>
  <c r="AB49" i="10"/>
  <c r="AG423" i="12" l="1"/>
  <c r="AG359" i="12"/>
  <c r="AG360" i="12"/>
  <c r="AG361" i="12"/>
  <c r="AG362" i="12"/>
  <c r="AG363" i="12"/>
  <c r="AG296" i="12"/>
  <c r="AG297" i="12"/>
  <c r="AG298" i="12"/>
  <c r="AG299" i="12"/>
  <c r="AG300" i="12"/>
  <c r="AG31" i="12"/>
  <c r="AG441" i="12" s="1"/>
  <c r="AG26" i="19" l="1"/>
  <c r="B23" i="19" l="1"/>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B30" i="19"/>
  <c r="AB33" i="19" s="1"/>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C33" i="19"/>
  <c r="AD33" i="19"/>
  <c r="AE33" i="19"/>
  <c r="AF33" i="19"/>
  <c r="D118" i="8" l="1"/>
  <c r="D103" i="13" l="1"/>
  <c r="Z48" i="10" l="1"/>
  <c r="AG132" i="10" l="1"/>
  <c r="AG133" i="10"/>
  <c r="AG134" i="10"/>
  <c r="AG135" i="10"/>
  <c r="AG136" i="10"/>
  <c r="AG137" i="10"/>
  <c r="AG138" i="10"/>
  <c r="AG139" i="10"/>
  <c r="AG140" i="10"/>
  <c r="AG141" i="10"/>
  <c r="AA49" i="10"/>
  <c r="B4" i="49" l="1"/>
  <c r="C407" i="28" l="1"/>
  <c r="B409" i="28"/>
  <c r="AE323" i="28"/>
  <c r="AE330" i="28" l="1"/>
  <c r="AF335" i="28" s="1"/>
  <c r="AE374" i="28"/>
  <c r="AF378" i="28" s="1"/>
  <c r="AE351" i="28"/>
  <c r="AF356" i="28" s="1"/>
  <c r="AE394" i="28"/>
  <c r="AF398" i="28" s="1"/>
  <c r="AF365" i="28"/>
  <c r="AE311" i="28"/>
  <c r="AF313" i="28" s="1"/>
  <c r="AD407" i="28"/>
  <c r="AE407" i="28"/>
  <c r="AE386" i="28"/>
  <c r="AE366" i="28"/>
  <c r="D125" i="6" l="1"/>
  <c r="D126" i="6"/>
  <c r="D127" i="6"/>
  <c r="D128" i="6"/>
  <c r="D129" i="6"/>
  <c r="D130" i="6"/>
  <c r="D131" i="6"/>
  <c r="D132" i="6"/>
  <c r="D133" i="6"/>
  <c r="D134" i="6"/>
  <c r="D135" i="6"/>
  <c r="D136" i="6"/>
  <c r="D124" i="6"/>
  <c r="D127" i="7"/>
  <c r="D131" i="7"/>
  <c r="D128" i="7"/>
  <c r="D130" i="7"/>
  <c r="D133" i="7"/>
  <c r="D132" i="7"/>
  <c r="D138" i="7"/>
  <c r="D134" i="7"/>
  <c r="D129" i="7"/>
  <c r="D136" i="7"/>
  <c r="D135" i="7"/>
  <c r="D137" i="7"/>
  <c r="D126" i="7"/>
  <c r="C34" i="33" l="1"/>
  <c r="O66" i="15"/>
  <c r="O67" i="15"/>
  <c r="O68" i="15"/>
  <c r="O69" i="15"/>
  <c r="O70" i="15"/>
  <c r="O71" i="15"/>
  <c r="O72" i="15"/>
  <c r="O73" i="15"/>
  <c r="O74" i="15"/>
  <c r="O75" i="15"/>
  <c r="O76" i="15"/>
  <c r="O77" i="15"/>
  <c r="O78" i="15"/>
  <c r="O79" i="15"/>
  <c r="O80" i="15"/>
  <c r="O81" i="15"/>
  <c r="O82" i="15"/>
  <c r="O65" i="15"/>
  <c r="N55" i="15"/>
  <c r="N56" i="15"/>
  <c r="N57" i="15"/>
  <c r="N58" i="15"/>
  <c r="N59" i="15"/>
  <c r="N60" i="15"/>
  <c r="N61" i="15"/>
  <c r="N62" i="15"/>
  <c r="N63" i="15"/>
  <c r="N64" i="15"/>
  <c r="N65" i="15"/>
  <c r="N54" i="15"/>
  <c r="M53" i="15"/>
  <c r="I11" i="15"/>
  <c r="AD24" i="64"/>
  <c r="AE24" i="64"/>
  <c r="AF24" i="64"/>
  <c r="AG24" i="64"/>
  <c r="AH24" i="64"/>
  <c r="AI24" i="64"/>
  <c r="AJ24" i="64"/>
  <c r="AK24" i="64"/>
  <c r="AL24" i="64"/>
  <c r="AM24" i="64"/>
  <c r="AN24" i="64"/>
  <c r="AO24" i="64"/>
  <c r="AP24" i="64"/>
  <c r="AQ24" i="64"/>
  <c r="AR24" i="64"/>
  <c r="AS24" i="64"/>
  <c r="AT24" i="64"/>
  <c r="AU24" i="64"/>
  <c r="AV24" i="64"/>
  <c r="AW24" i="64"/>
  <c r="AC24" i="64"/>
  <c r="AC23" i="64"/>
  <c r="Y23" i="64"/>
  <c r="Z23" i="64"/>
  <c r="AA23" i="64"/>
  <c r="AB23" i="64"/>
  <c r="X23" i="64"/>
  <c r="D11" i="64"/>
  <c r="B4" i="64"/>
  <c r="AF359" i="12"/>
  <c r="AG368" i="12" s="1"/>
  <c r="AF360" i="12"/>
  <c r="AG379" i="12" s="1"/>
  <c r="AF361" i="12"/>
  <c r="AG390" i="12" s="1"/>
  <c r="AF362" i="12"/>
  <c r="AG401" i="12" s="1"/>
  <c r="AF363" i="12"/>
  <c r="AG412" i="12" s="1"/>
  <c r="AF296" i="12"/>
  <c r="AG304" i="12" s="1"/>
  <c r="AF297" i="12"/>
  <c r="AG315" i="12" s="1"/>
  <c r="AF298" i="12"/>
  <c r="AG326" i="12" s="1"/>
  <c r="AF299" i="12"/>
  <c r="AG337" i="12" s="1"/>
  <c r="AF300" i="12"/>
  <c r="AG348" i="12" s="1"/>
  <c r="AF423" i="12"/>
  <c r="AG427" i="12" s="1"/>
  <c r="AF31" i="12"/>
  <c r="AF441" i="12" s="1"/>
  <c r="AG446" i="12" s="1"/>
  <c r="AD16" i="5" l="1"/>
  <c r="AE16" i="5"/>
  <c r="AF16" i="5"/>
  <c r="AF15" i="5"/>
  <c r="M20" i="26"/>
  <c r="K12" i="26"/>
  <c r="L12" i="26"/>
  <c r="M12" i="26"/>
  <c r="M13" i="26"/>
  <c r="Y23" i="29"/>
  <c r="S22" i="29"/>
  <c r="N22" i="29"/>
  <c r="M21" i="29"/>
  <c r="N20" i="26"/>
  <c r="N13" i="26"/>
  <c r="N14" i="26"/>
  <c r="AF13" i="20" l="1"/>
  <c r="N15" i="26" l="1"/>
  <c r="B5" i="24"/>
  <c r="B4" i="24"/>
  <c r="B5" i="8" l="1"/>
  <c r="B5" i="13"/>
  <c r="D101" i="13"/>
  <c r="D102" i="13"/>
  <c r="D117" i="8"/>
  <c r="Z49" i="10" l="1"/>
  <c r="N48" i="10"/>
  <c r="B23" i="2" l="1"/>
  <c r="C3" i="50" l="1"/>
  <c r="B3" i="50"/>
  <c r="C3" i="49"/>
  <c r="B3" i="49"/>
  <c r="C3" i="48"/>
  <c r="B3" i="48"/>
  <c r="C3" i="47"/>
  <c r="B3" i="47"/>
  <c r="C3" i="46"/>
  <c r="B3" i="46"/>
  <c r="B4" i="45"/>
  <c r="B3" i="45"/>
  <c r="C4" i="45"/>
  <c r="C3" i="45"/>
  <c r="C8" i="32"/>
  <c r="C3" i="44"/>
  <c r="P9" i="42"/>
  <c r="C4" i="36" l="1"/>
  <c r="C3" i="36"/>
  <c r="C3" i="40"/>
  <c r="C3" i="38"/>
  <c r="B22" i="2"/>
  <c r="B18" i="2"/>
  <c r="AF141" i="10" l="1"/>
  <c r="AF140" i="10"/>
  <c r="AF139" i="10"/>
  <c r="AF138" i="10"/>
  <c r="AF137" i="10"/>
  <c r="AF136" i="10"/>
  <c r="AF135" i="10"/>
  <c r="AF134" i="10"/>
  <c r="AF133" i="10"/>
  <c r="AF132" i="10"/>
  <c r="AF30" i="29" l="1"/>
  <c r="AF27" i="29"/>
  <c r="AD394" i="28" l="1"/>
  <c r="AE398" i="28" s="1"/>
  <c r="AD386" i="28"/>
  <c r="AD374" i="28"/>
  <c r="AE378" i="28" s="1"/>
  <c r="AD366" i="28"/>
  <c r="AD351" i="28"/>
  <c r="AE356" i="28" s="1"/>
  <c r="AD343" i="28"/>
  <c r="AD330" i="28"/>
  <c r="AE335" i="28" s="1"/>
  <c r="AD323" i="28"/>
  <c r="AD311" i="28"/>
  <c r="AE313" i="28" s="1"/>
  <c r="C139" i="7" l="1"/>
  <c r="E138" i="7" s="1"/>
  <c r="D137" i="6" l="1"/>
  <c r="C137" i="6"/>
  <c r="B137" i="6"/>
  <c r="AE423" i="12"/>
  <c r="AF427" i="12" s="1"/>
  <c r="AE359" i="12"/>
  <c r="AF368" i="12" s="1"/>
  <c r="AE360" i="12"/>
  <c r="AF379" i="12" s="1"/>
  <c r="AE361" i="12"/>
  <c r="AF390" i="12" s="1"/>
  <c r="AE362" i="12"/>
  <c r="AF401" i="12" s="1"/>
  <c r="AE363" i="12"/>
  <c r="AF412" i="12" s="1"/>
  <c r="AE296" i="12"/>
  <c r="AF304" i="12" s="1"/>
  <c r="AE297" i="12"/>
  <c r="AF315" i="12" s="1"/>
  <c r="AE298" i="12"/>
  <c r="AF326" i="12" s="1"/>
  <c r="AE299" i="12"/>
  <c r="AF337" i="12" s="1"/>
  <c r="AE300" i="12"/>
  <c r="AF348" i="12" s="1"/>
  <c r="AE31" i="12"/>
  <c r="AE441" i="12" s="1"/>
  <c r="AF446" i="12" s="1"/>
  <c r="AD31" i="12"/>
  <c r="AE27" i="64" l="1"/>
  <c r="AF27" i="64"/>
  <c r="AG27" i="64"/>
  <c r="AH27" i="64"/>
  <c r="AI27" i="64"/>
  <c r="AJ27" i="64"/>
  <c r="AK27" i="64"/>
  <c r="AL27" i="64"/>
  <c r="AM27" i="64"/>
  <c r="AN27" i="64"/>
  <c r="AO27" i="64"/>
  <c r="AP27" i="64"/>
  <c r="AQ27" i="64"/>
  <c r="AR27" i="64"/>
  <c r="AS27" i="64"/>
  <c r="AT27" i="64"/>
  <c r="AU27" i="64"/>
  <c r="AV27" i="64"/>
  <c r="AW27" i="64"/>
  <c r="AE19" i="64"/>
  <c r="AF19" i="64"/>
  <c r="AG19" i="64"/>
  <c r="AH19" i="64"/>
  <c r="AI19" i="64"/>
  <c r="AJ19" i="64"/>
  <c r="AK19" i="64"/>
  <c r="AL19" i="64"/>
  <c r="AM19" i="64"/>
  <c r="AN19" i="64"/>
  <c r="AO19" i="64"/>
  <c r="AP19" i="64"/>
  <c r="AQ19" i="64"/>
  <c r="AR19" i="64"/>
  <c r="AS19" i="64"/>
  <c r="AT19" i="64"/>
  <c r="AU19" i="64"/>
  <c r="AV19" i="64"/>
  <c r="AW19" i="64"/>
  <c r="AE15" i="64"/>
  <c r="AF15" i="64"/>
  <c r="AG15" i="64"/>
  <c r="AH15" i="64"/>
  <c r="AI15" i="64"/>
  <c r="AJ15" i="64"/>
  <c r="AK15" i="64"/>
  <c r="AL15" i="64"/>
  <c r="AM15" i="64"/>
  <c r="AN15" i="64"/>
  <c r="AO15" i="64"/>
  <c r="AP15" i="64"/>
  <c r="AQ15" i="64"/>
  <c r="AR15" i="64"/>
  <c r="AS15" i="64"/>
  <c r="AT15" i="64"/>
  <c r="AU15" i="64"/>
  <c r="AV15" i="64"/>
  <c r="AW15" i="64"/>
  <c r="AE12" i="64"/>
  <c r="AF12" i="64"/>
  <c r="AG12" i="64"/>
  <c r="AH12" i="64"/>
  <c r="AI12" i="64"/>
  <c r="AJ12" i="64"/>
  <c r="AK12" i="64"/>
  <c r="AL12" i="64"/>
  <c r="AM12" i="64"/>
  <c r="AN12" i="64"/>
  <c r="AO12" i="64"/>
  <c r="AP12" i="64"/>
  <c r="AQ12" i="64"/>
  <c r="AR12" i="64"/>
  <c r="AS12" i="64"/>
  <c r="AT12" i="64"/>
  <c r="AU12" i="64"/>
  <c r="AV12" i="64"/>
  <c r="AW12" i="64"/>
  <c r="N19" i="64"/>
  <c r="O19" i="64"/>
  <c r="P19" i="64"/>
  <c r="Q19" i="64"/>
  <c r="R19" i="64"/>
  <c r="S19" i="64"/>
  <c r="T19" i="64"/>
  <c r="U19" i="64"/>
  <c r="V19" i="64"/>
  <c r="W19" i="64"/>
  <c r="X19" i="64"/>
  <c r="Y19" i="64"/>
  <c r="Z19" i="64"/>
  <c r="AA19" i="64"/>
  <c r="AB19" i="64"/>
  <c r="AC19" i="64"/>
  <c r="AD19" i="64"/>
  <c r="M19" i="64"/>
  <c r="M18" i="64"/>
  <c r="I18" i="64"/>
  <c r="J18" i="64"/>
  <c r="K18" i="64"/>
  <c r="L18" i="64"/>
  <c r="H18" i="64"/>
  <c r="G12" i="64"/>
  <c r="G27" i="64"/>
  <c r="B4" i="3"/>
  <c r="B5" i="64"/>
  <c r="H27" i="64"/>
  <c r="I27" i="64"/>
  <c r="J27" i="64"/>
  <c r="K27" i="64"/>
  <c r="L27" i="64"/>
  <c r="M27" i="64"/>
  <c r="N27" i="64"/>
  <c r="O27" i="64"/>
  <c r="P27" i="64"/>
  <c r="Q27" i="64"/>
  <c r="R27" i="64"/>
  <c r="S27" i="64"/>
  <c r="T27" i="64"/>
  <c r="U27" i="64"/>
  <c r="V27" i="64"/>
  <c r="W27" i="64"/>
  <c r="X27" i="64"/>
  <c r="Y27" i="64"/>
  <c r="Z27" i="64"/>
  <c r="AA27" i="64"/>
  <c r="AB27" i="64"/>
  <c r="AC27" i="64"/>
  <c r="AD27" i="64"/>
  <c r="C26" i="64"/>
  <c r="D26" i="64"/>
  <c r="E26" i="64"/>
  <c r="F26" i="64"/>
  <c r="G26" i="64"/>
  <c r="B26" i="64"/>
  <c r="H22" i="64"/>
  <c r="I22" i="64"/>
  <c r="J22" i="64"/>
  <c r="K22" i="64"/>
  <c r="L22" i="64"/>
  <c r="M22" i="64"/>
  <c r="N22" i="64"/>
  <c r="O22" i="64"/>
  <c r="P22" i="64"/>
  <c r="Q22" i="64"/>
  <c r="R22" i="64"/>
  <c r="S22" i="64"/>
  <c r="T22" i="64"/>
  <c r="U22" i="64"/>
  <c r="V22" i="64"/>
  <c r="W22" i="64"/>
  <c r="G22" i="64"/>
  <c r="C21" i="64"/>
  <c r="D21" i="64"/>
  <c r="E21" i="64"/>
  <c r="F21" i="64"/>
  <c r="G21" i="64"/>
  <c r="B21" i="64"/>
  <c r="C17" i="64"/>
  <c r="D17" i="64"/>
  <c r="E17" i="64"/>
  <c r="F17" i="64"/>
  <c r="G17" i="64"/>
  <c r="B17" i="64"/>
  <c r="H15" i="64"/>
  <c r="I15" i="64"/>
  <c r="J15" i="64"/>
  <c r="K15" i="64"/>
  <c r="L15" i="64"/>
  <c r="M15" i="64"/>
  <c r="N15" i="64"/>
  <c r="O15" i="64"/>
  <c r="P15" i="64"/>
  <c r="Q15" i="64"/>
  <c r="R15" i="64"/>
  <c r="S15" i="64"/>
  <c r="T15" i="64"/>
  <c r="U15" i="64"/>
  <c r="V15" i="64"/>
  <c r="W15" i="64"/>
  <c r="X15" i="64"/>
  <c r="Y15" i="64"/>
  <c r="Z15" i="64"/>
  <c r="AA15" i="64"/>
  <c r="AB15" i="64"/>
  <c r="AC15" i="64"/>
  <c r="AD15" i="64"/>
  <c r="G15" i="64"/>
  <c r="C14" i="64"/>
  <c r="D14" i="64"/>
  <c r="E14" i="64"/>
  <c r="F14" i="64"/>
  <c r="G14" i="64"/>
  <c r="B14" i="64"/>
  <c r="H12" i="64"/>
  <c r="I12" i="64"/>
  <c r="J12" i="64"/>
  <c r="K12" i="64"/>
  <c r="L12" i="64"/>
  <c r="M12" i="64"/>
  <c r="N12" i="64"/>
  <c r="O12" i="64"/>
  <c r="P12" i="64"/>
  <c r="Q12" i="64"/>
  <c r="R12" i="64"/>
  <c r="S12" i="64"/>
  <c r="T12" i="64"/>
  <c r="U12" i="64"/>
  <c r="V12" i="64"/>
  <c r="W12" i="64"/>
  <c r="X12" i="64"/>
  <c r="Y12" i="64"/>
  <c r="Z12" i="64"/>
  <c r="AA12" i="64"/>
  <c r="AB12" i="64"/>
  <c r="AC12" i="64"/>
  <c r="AD12" i="64"/>
  <c r="C11" i="64"/>
  <c r="E11" i="64"/>
  <c r="F11" i="64"/>
  <c r="G11" i="64"/>
  <c r="B11" i="64"/>
  <c r="D116" i="8" l="1"/>
  <c r="AE132" i="10" l="1"/>
  <c r="AE133" i="10"/>
  <c r="AE134" i="10"/>
  <c r="AE135" i="10"/>
  <c r="AE136" i="10"/>
  <c r="AE137" i="10"/>
  <c r="AE138" i="10"/>
  <c r="AE139" i="10"/>
  <c r="AE140" i="10"/>
  <c r="AE141" i="10"/>
  <c r="Y48" i="10"/>
  <c r="O177" i="29" l="1"/>
  <c r="AE30" i="29"/>
  <c r="AE27" i="29"/>
  <c r="AC407" i="28" l="1"/>
  <c r="AC394" i="28"/>
  <c r="AD398" i="28" s="1"/>
  <c r="AC386" i="28"/>
  <c r="AC374" i="28"/>
  <c r="AD378" i="28" s="1"/>
  <c r="AC366" i="28"/>
  <c r="AC351" i="28"/>
  <c r="AD356" i="28" s="1"/>
  <c r="AC343" i="28"/>
  <c r="AC330" i="28"/>
  <c r="AC323" i="28"/>
  <c r="S321" i="28"/>
  <c r="S323" i="28"/>
  <c r="S325" i="28"/>
  <c r="S330" i="28"/>
  <c r="AC311" i="28"/>
  <c r="AD313" i="28" s="1"/>
  <c r="AD335" i="28" l="1"/>
  <c r="O48" i="10" l="1"/>
  <c r="P48" i="10"/>
  <c r="Q48" i="10"/>
  <c r="R48" i="10"/>
  <c r="S48" i="10"/>
  <c r="T48" i="10"/>
  <c r="U48" i="10"/>
  <c r="V48" i="10"/>
  <c r="W48" i="10"/>
  <c r="X48" i="10"/>
  <c r="M43" i="15" l="1"/>
  <c r="M44" i="15"/>
  <c r="M45" i="15"/>
  <c r="M46" i="15"/>
  <c r="M47" i="15"/>
  <c r="M48" i="15"/>
  <c r="M49" i="15"/>
  <c r="M50" i="15"/>
  <c r="M51" i="15"/>
  <c r="M52" i="15"/>
  <c r="M42" i="15"/>
  <c r="L40" i="15"/>
  <c r="L41" i="15"/>
  <c r="L39" i="15"/>
  <c r="K29" i="15"/>
  <c r="K30" i="15"/>
  <c r="K31" i="15"/>
  <c r="K32" i="15"/>
  <c r="K33" i="15"/>
  <c r="K34" i="15"/>
  <c r="K35" i="15"/>
  <c r="K36" i="15"/>
  <c r="K37" i="15"/>
  <c r="K38" i="15"/>
  <c r="K39" i="15"/>
  <c r="K28" i="15"/>
  <c r="J23" i="15"/>
  <c r="J24" i="15"/>
  <c r="J25" i="15"/>
  <c r="J26" i="15"/>
  <c r="J27" i="15"/>
  <c r="J22" i="15"/>
  <c r="I12" i="15"/>
  <c r="I13" i="15"/>
  <c r="I14" i="15"/>
  <c r="I15" i="15"/>
  <c r="I16" i="15"/>
  <c r="I17" i="15"/>
  <c r="I18" i="15"/>
  <c r="I19" i="15"/>
  <c r="I20" i="15"/>
  <c r="I21" i="15"/>
  <c r="I22" i="15"/>
  <c r="AB118" i="7"/>
  <c r="AC118" i="7"/>
  <c r="AD118" i="7"/>
  <c r="AE118" i="7"/>
  <c r="AF118" i="7"/>
  <c r="AG118" i="7"/>
  <c r="AH118" i="7"/>
  <c r="AI118" i="7"/>
  <c r="AJ118" i="7"/>
  <c r="AK118" i="7"/>
  <c r="AL118" i="7"/>
  <c r="AM118" i="7"/>
  <c r="AN118" i="7"/>
  <c r="AO118" i="7"/>
  <c r="AP118" i="7"/>
  <c r="AQ118" i="7"/>
  <c r="AR118" i="7"/>
  <c r="AS118" i="7"/>
  <c r="AT118" i="7"/>
  <c r="AU118" i="7"/>
  <c r="AV118" i="7"/>
  <c r="AW118" i="7"/>
  <c r="G117" i="7"/>
  <c r="G109" i="7"/>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N109" i="6"/>
  <c r="I108" i="6"/>
  <c r="K108" i="6"/>
  <c r="L108" i="6"/>
  <c r="M108" i="6"/>
  <c r="N108" i="6"/>
  <c r="J108" i="6"/>
  <c r="AB118" i="6"/>
  <c r="AC118" i="6"/>
  <c r="AD118" i="6"/>
  <c r="AE118" i="6"/>
  <c r="AF118" i="6"/>
  <c r="AG118" i="6"/>
  <c r="AH118" i="6"/>
  <c r="AI118" i="6"/>
  <c r="AJ118" i="6"/>
  <c r="AK118" i="6"/>
  <c r="AL118" i="6"/>
  <c r="AM118" i="6"/>
  <c r="AN118" i="6"/>
  <c r="AO118" i="6"/>
  <c r="AP118" i="6"/>
  <c r="AQ118" i="6"/>
  <c r="AR118" i="6"/>
  <c r="AS118" i="6"/>
  <c r="AT118" i="6"/>
  <c r="AU118" i="6"/>
  <c r="AV118" i="6"/>
  <c r="AW118" i="6"/>
  <c r="U118" i="6"/>
  <c r="V118" i="6"/>
  <c r="W118" i="6"/>
  <c r="X118" i="6"/>
  <c r="Y118" i="6"/>
  <c r="Z118" i="6"/>
  <c r="AA118" i="6"/>
  <c r="T118" i="6"/>
  <c r="P117" i="6"/>
  <c r="Q117" i="6"/>
  <c r="R117" i="6"/>
  <c r="S117" i="6"/>
  <c r="T117" i="6"/>
  <c r="O117" i="6"/>
  <c r="B4" i="36"/>
  <c r="B3" i="36"/>
  <c r="B5" i="36"/>
  <c r="B345" i="28" l="1"/>
  <c r="AD441" i="12" l="1"/>
  <c r="AE446" i="12" s="1"/>
  <c r="AD423" i="12"/>
  <c r="AE427" i="12" s="1"/>
  <c r="AD359" i="12"/>
  <c r="AE368" i="12" s="1"/>
  <c r="AD360" i="12"/>
  <c r="AE379" i="12" s="1"/>
  <c r="AD361" i="12"/>
  <c r="AE390" i="12" s="1"/>
  <c r="AD362" i="12"/>
  <c r="AE401" i="12" s="1"/>
  <c r="AD363" i="12"/>
  <c r="AE412" i="12" s="1"/>
  <c r="AD296" i="12"/>
  <c r="AE304" i="12" s="1"/>
  <c r="AD297" i="12"/>
  <c r="AE315" i="12" s="1"/>
  <c r="AD298" i="12"/>
  <c r="AE326" i="12" s="1"/>
  <c r="AD299" i="12"/>
  <c r="AE337" i="12" s="1"/>
  <c r="AD300" i="12"/>
  <c r="AE348" i="12" s="1"/>
  <c r="M49" i="34" l="1"/>
  <c r="M47" i="34"/>
  <c r="D100" i="13" l="1"/>
  <c r="D115" i="8"/>
  <c r="AD132" i="10" l="1"/>
  <c r="AD133" i="10"/>
  <c r="AD134" i="10"/>
  <c r="AD135" i="10"/>
  <c r="AD136" i="10"/>
  <c r="AD137" i="10"/>
  <c r="AD138" i="10"/>
  <c r="AD139" i="10"/>
  <c r="AD140" i="10"/>
  <c r="AD141" i="10"/>
  <c r="B9" i="32" l="1"/>
  <c r="AD30" i="29" l="1"/>
  <c r="AD27" i="29"/>
  <c r="AB407" i="28" l="1"/>
  <c r="AB394" i="28"/>
  <c r="AC398" i="28" s="1"/>
  <c r="AB386" i="28"/>
  <c r="AB374" i="28"/>
  <c r="AC378" i="28" s="1"/>
  <c r="AB366" i="28"/>
  <c r="AB351" i="28"/>
  <c r="AB343" i="28"/>
  <c r="AB330" i="28"/>
  <c r="AC335" i="28" s="1"/>
  <c r="AB323" i="28"/>
  <c r="AC356" i="28" l="1"/>
  <c r="AB311" i="28"/>
  <c r="AC313" i="28" s="1"/>
  <c r="B20" i="29" l="1"/>
  <c r="D139" i="7" l="1"/>
  <c r="B139" i="7"/>
  <c r="B154" i="6"/>
  <c r="B156" i="7"/>
  <c r="C144" i="7" l="1"/>
  <c r="C145" i="7"/>
  <c r="C146" i="7"/>
  <c r="C147" i="7"/>
  <c r="C148" i="7"/>
  <c r="C149" i="7"/>
  <c r="C150" i="7"/>
  <c r="C151" i="7"/>
  <c r="C152" i="7"/>
  <c r="C153" i="7"/>
  <c r="C154" i="7"/>
  <c r="C155" i="7"/>
  <c r="C143" i="7"/>
  <c r="D143" i="7" s="1"/>
  <c r="E127" i="7"/>
  <c r="E128" i="7"/>
  <c r="E129" i="7"/>
  <c r="E130" i="7"/>
  <c r="E131" i="7"/>
  <c r="E132" i="7"/>
  <c r="E133" i="7"/>
  <c r="E134" i="7"/>
  <c r="E135" i="7"/>
  <c r="E136" i="7"/>
  <c r="E137" i="7"/>
  <c r="E126" i="7"/>
  <c r="F126" i="7" s="1"/>
  <c r="C142" i="6"/>
  <c r="C143" i="6"/>
  <c r="C144" i="6"/>
  <c r="C145" i="6"/>
  <c r="C146" i="6"/>
  <c r="C147" i="6"/>
  <c r="C148" i="6"/>
  <c r="C149" i="6"/>
  <c r="C150" i="6"/>
  <c r="C151" i="6"/>
  <c r="C152" i="6"/>
  <c r="C153" i="6"/>
  <c r="C141" i="6"/>
  <c r="D141" i="6" s="1"/>
  <c r="E125" i="6"/>
  <c r="E126" i="6"/>
  <c r="E127" i="6"/>
  <c r="E128" i="6"/>
  <c r="E129" i="6"/>
  <c r="E130" i="6"/>
  <c r="E131" i="6"/>
  <c r="E132" i="6"/>
  <c r="E133" i="6"/>
  <c r="E134" i="6"/>
  <c r="E135" i="6"/>
  <c r="E136" i="6"/>
  <c r="E124" i="6"/>
  <c r="F124" i="6" l="1"/>
  <c r="F125" i="6" s="1"/>
  <c r="F126" i="6" s="1"/>
  <c r="F127" i="6" s="1"/>
  <c r="F128" i="6" s="1"/>
  <c r="F129" i="6" s="1"/>
  <c r="F130" i="6" s="1"/>
  <c r="F131" i="6" s="1"/>
  <c r="F132" i="6" s="1"/>
  <c r="F133" i="6" s="1"/>
  <c r="F134" i="6" s="1"/>
  <c r="F135" i="6" s="1"/>
  <c r="F136" i="6" s="1"/>
  <c r="D144" i="7"/>
  <c r="D145" i="7" s="1"/>
  <c r="D146" i="7" s="1"/>
  <c r="D147" i="7" s="1"/>
  <c r="D148" i="7" s="1"/>
  <c r="D149" i="7" s="1"/>
  <c r="D150" i="7" s="1"/>
  <c r="D151" i="7" s="1"/>
  <c r="D152" i="7" s="1"/>
  <c r="D153" i="7" s="1"/>
  <c r="D154" i="7" s="1"/>
  <c r="D155" i="7" s="1"/>
  <c r="F127" i="7"/>
  <c r="D142" i="6"/>
  <c r="D143" i="6" s="1"/>
  <c r="D144" i="6" s="1"/>
  <c r="D145" i="6" s="1"/>
  <c r="D146" i="6" s="1"/>
  <c r="D147" i="6" s="1"/>
  <c r="D148" i="6" s="1"/>
  <c r="D149" i="6" s="1"/>
  <c r="D150" i="6" s="1"/>
  <c r="D151" i="6" s="1"/>
  <c r="D152" i="6" s="1"/>
  <c r="D153" i="6" s="1"/>
  <c r="C24" i="2"/>
  <c r="C23" i="2"/>
  <c r="C22" i="2"/>
  <c r="B21" i="2"/>
  <c r="C423" i="12" l="1"/>
  <c r="D423" i="12"/>
  <c r="E423" i="12"/>
  <c r="F423" i="12"/>
  <c r="G423" i="12"/>
  <c r="H423" i="12"/>
  <c r="I423" i="12"/>
  <c r="J423" i="12"/>
  <c r="K423" i="12"/>
  <c r="L423" i="12"/>
  <c r="M423" i="12"/>
  <c r="N423" i="12"/>
  <c r="O423" i="12"/>
  <c r="P423" i="12"/>
  <c r="Q423" i="12"/>
  <c r="R423" i="12"/>
  <c r="S423" i="12"/>
  <c r="T423" i="12"/>
  <c r="U423" i="12"/>
  <c r="V423" i="12"/>
  <c r="W423" i="12"/>
  <c r="X423" i="12"/>
  <c r="Y423" i="12"/>
  <c r="Z423" i="12"/>
  <c r="AA423" i="12"/>
  <c r="AB423" i="12"/>
  <c r="AC423" i="12"/>
  <c r="AD427" i="12" s="1"/>
  <c r="B423" i="12"/>
  <c r="C359" i="12"/>
  <c r="D359" i="12"/>
  <c r="E359" i="12"/>
  <c r="F359" i="12"/>
  <c r="G359" i="12"/>
  <c r="H359" i="12"/>
  <c r="I359" i="12"/>
  <c r="J359" i="12"/>
  <c r="K359" i="12"/>
  <c r="L359" i="12"/>
  <c r="M359" i="12"/>
  <c r="N359" i="12"/>
  <c r="O359" i="12"/>
  <c r="P359" i="12"/>
  <c r="Q359" i="12"/>
  <c r="R359" i="12"/>
  <c r="S359" i="12"/>
  <c r="T359" i="12"/>
  <c r="U359" i="12"/>
  <c r="V359" i="12"/>
  <c r="W359" i="12"/>
  <c r="X359" i="12"/>
  <c r="Y359" i="12"/>
  <c r="Z359" i="12"/>
  <c r="AA359" i="12"/>
  <c r="AB359" i="12"/>
  <c r="AC359" i="12"/>
  <c r="AD368" i="12" s="1"/>
  <c r="C360" i="12"/>
  <c r="D360" i="12"/>
  <c r="E360" i="12"/>
  <c r="F360" i="12"/>
  <c r="G360" i="12"/>
  <c r="H360" i="12"/>
  <c r="I360" i="12"/>
  <c r="J360" i="12"/>
  <c r="K360" i="12"/>
  <c r="L360" i="12"/>
  <c r="M360" i="12"/>
  <c r="N360" i="12"/>
  <c r="O360" i="12"/>
  <c r="P360" i="12"/>
  <c r="Q360" i="12"/>
  <c r="R360" i="12"/>
  <c r="S360" i="12"/>
  <c r="T360" i="12"/>
  <c r="U360" i="12"/>
  <c r="V360" i="12"/>
  <c r="W360" i="12"/>
  <c r="X360" i="12"/>
  <c r="Y360" i="12"/>
  <c r="Z360" i="12"/>
  <c r="AA360" i="12"/>
  <c r="AB360" i="12"/>
  <c r="AC360" i="12"/>
  <c r="AD379" i="12" s="1"/>
  <c r="C361" i="12"/>
  <c r="D361" i="12"/>
  <c r="E361" i="12"/>
  <c r="F361" i="12"/>
  <c r="G361" i="12"/>
  <c r="H361" i="12"/>
  <c r="I361" i="12"/>
  <c r="J361" i="12"/>
  <c r="K361" i="12"/>
  <c r="L361" i="12"/>
  <c r="M361" i="12"/>
  <c r="N361" i="12"/>
  <c r="O361" i="12"/>
  <c r="P361" i="12"/>
  <c r="Q361" i="12"/>
  <c r="R361" i="12"/>
  <c r="S361" i="12"/>
  <c r="T361" i="12"/>
  <c r="U361" i="12"/>
  <c r="V361" i="12"/>
  <c r="W361" i="12"/>
  <c r="X361" i="12"/>
  <c r="Y361" i="12"/>
  <c r="Z361" i="12"/>
  <c r="AA361" i="12"/>
  <c r="AB361" i="12"/>
  <c r="AC361" i="12"/>
  <c r="AD390" i="12" s="1"/>
  <c r="C362" i="12"/>
  <c r="D362" i="12"/>
  <c r="E362" i="12"/>
  <c r="F362" i="12"/>
  <c r="G362" i="12"/>
  <c r="H362" i="12"/>
  <c r="I362" i="12"/>
  <c r="J362" i="12"/>
  <c r="K362" i="12"/>
  <c r="L362" i="12"/>
  <c r="M362" i="12"/>
  <c r="N362" i="12"/>
  <c r="O362" i="12"/>
  <c r="P362" i="12"/>
  <c r="Q362" i="12"/>
  <c r="R362" i="12"/>
  <c r="S362" i="12"/>
  <c r="T362" i="12"/>
  <c r="U362" i="12"/>
  <c r="V362" i="12"/>
  <c r="W362" i="12"/>
  <c r="X362" i="12"/>
  <c r="Y362" i="12"/>
  <c r="Z362" i="12"/>
  <c r="AA362" i="12"/>
  <c r="AB362" i="12"/>
  <c r="AC362" i="12"/>
  <c r="AD401" i="12" s="1"/>
  <c r="C363" i="12"/>
  <c r="D363" i="12"/>
  <c r="E363" i="12"/>
  <c r="F363" i="12"/>
  <c r="G363" i="12"/>
  <c r="H363" i="12"/>
  <c r="I363" i="12"/>
  <c r="J363" i="12"/>
  <c r="K363" i="12"/>
  <c r="L363" i="12"/>
  <c r="M363" i="12"/>
  <c r="N363" i="12"/>
  <c r="O363" i="12"/>
  <c r="P363" i="12"/>
  <c r="Q363" i="12"/>
  <c r="R363" i="12"/>
  <c r="S363" i="12"/>
  <c r="T363" i="12"/>
  <c r="U363" i="12"/>
  <c r="V363" i="12"/>
  <c r="W363" i="12"/>
  <c r="X363" i="12"/>
  <c r="Y363" i="12"/>
  <c r="Z363" i="12"/>
  <c r="AA363" i="12"/>
  <c r="AB363" i="12"/>
  <c r="AC363" i="12"/>
  <c r="AD412" i="12" s="1"/>
  <c r="B360" i="12"/>
  <c r="B361" i="12"/>
  <c r="B362" i="12"/>
  <c r="B363" i="12"/>
  <c r="B359" i="12"/>
  <c r="C296" i="12"/>
  <c r="D296" i="12"/>
  <c r="E296" i="12"/>
  <c r="F296" i="12"/>
  <c r="G296" i="12"/>
  <c r="H296" i="12"/>
  <c r="I296" i="12"/>
  <c r="J296" i="12"/>
  <c r="K296" i="12"/>
  <c r="L296" i="12"/>
  <c r="M296" i="12"/>
  <c r="N296" i="12"/>
  <c r="O296" i="12"/>
  <c r="P296" i="12"/>
  <c r="Q296" i="12"/>
  <c r="R296" i="12"/>
  <c r="S296" i="12"/>
  <c r="T296" i="12"/>
  <c r="U296" i="12"/>
  <c r="V296" i="12"/>
  <c r="W296" i="12"/>
  <c r="X296" i="12"/>
  <c r="Y296" i="12"/>
  <c r="Z296" i="12"/>
  <c r="AA296" i="12"/>
  <c r="AB296" i="12"/>
  <c r="AC296" i="12"/>
  <c r="AD304" i="12" s="1"/>
  <c r="C297" i="12"/>
  <c r="D297" i="12"/>
  <c r="E297" i="12"/>
  <c r="F297" i="12"/>
  <c r="G297" i="12"/>
  <c r="H297" i="12"/>
  <c r="I297" i="12"/>
  <c r="J297" i="12"/>
  <c r="K297" i="12"/>
  <c r="L297" i="12"/>
  <c r="M297" i="12"/>
  <c r="N297" i="12"/>
  <c r="O297" i="12"/>
  <c r="P297" i="12"/>
  <c r="Q297" i="12"/>
  <c r="R297" i="12"/>
  <c r="S297" i="12"/>
  <c r="T297" i="12"/>
  <c r="U297" i="12"/>
  <c r="V297" i="12"/>
  <c r="W297" i="12"/>
  <c r="X297" i="12"/>
  <c r="Y297" i="12"/>
  <c r="Z297" i="12"/>
  <c r="AA297" i="12"/>
  <c r="AB297" i="12"/>
  <c r="AC297" i="12"/>
  <c r="AD315" i="12" s="1"/>
  <c r="C298" i="12"/>
  <c r="D298" i="12"/>
  <c r="E298" i="12"/>
  <c r="F298" i="12"/>
  <c r="G298" i="12"/>
  <c r="H298" i="12"/>
  <c r="I298" i="12"/>
  <c r="J298" i="12"/>
  <c r="K298" i="12"/>
  <c r="L298" i="12"/>
  <c r="M298" i="12"/>
  <c r="N298" i="12"/>
  <c r="O298" i="12"/>
  <c r="P298" i="12"/>
  <c r="Q298" i="12"/>
  <c r="R298" i="12"/>
  <c r="S298" i="12"/>
  <c r="T298" i="12"/>
  <c r="U298" i="12"/>
  <c r="V298" i="12"/>
  <c r="W298" i="12"/>
  <c r="X298" i="12"/>
  <c r="Y298" i="12"/>
  <c r="Z298" i="12"/>
  <c r="AA298" i="12"/>
  <c r="AB298" i="12"/>
  <c r="AC298" i="12"/>
  <c r="AD326" i="12" s="1"/>
  <c r="C299" i="12"/>
  <c r="D299" i="12"/>
  <c r="E299" i="12"/>
  <c r="F299" i="12"/>
  <c r="G299" i="12"/>
  <c r="H299" i="12"/>
  <c r="I299" i="12"/>
  <c r="J299" i="12"/>
  <c r="K299" i="12"/>
  <c r="L299" i="12"/>
  <c r="M299" i="12"/>
  <c r="N299" i="12"/>
  <c r="O299" i="12"/>
  <c r="P299" i="12"/>
  <c r="Q299" i="12"/>
  <c r="R299" i="12"/>
  <c r="S299" i="12"/>
  <c r="T299" i="12"/>
  <c r="U299" i="12"/>
  <c r="V299" i="12"/>
  <c r="W299" i="12"/>
  <c r="X299" i="12"/>
  <c r="Y299" i="12"/>
  <c r="Z299" i="12"/>
  <c r="AA299" i="12"/>
  <c r="AB299" i="12"/>
  <c r="AC299" i="12"/>
  <c r="AD337" i="12" s="1"/>
  <c r="C300" i="12"/>
  <c r="D300" i="12"/>
  <c r="E300" i="12"/>
  <c r="F300" i="12"/>
  <c r="G300" i="12"/>
  <c r="H300" i="12"/>
  <c r="I300" i="12"/>
  <c r="J300" i="12"/>
  <c r="K300" i="12"/>
  <c r="L300" i="12"/>
  <c r="M300" i="12"/>
  <c r="N300" i="12"/>
  <c r="O300" i="12"/>
  <c r="P300" i="12"/>
  <c r="Q300" i="12"/>
  <c r="R300" i="12"/>
  <c r="S300" i="12"/>
  <c r="T300" i="12"/>
  <c r="U300" i="12"/>
  <c r="V300" i="12"/>
  <c r="W300" i="12"/>
  <c r="X300" i="12"/>
  <c r="Y300" i="12"/>
  <c r="Z300" i="12"/>
  <c r="AA300" i="12"/>
  <c r="AB300" i="12"/>
  <c r="AC300" i="12"/>
  <c r="AD348" i="12" s="1"/>
  <c r="B297" i="12"/>
  <c r="B298" i="12"/>
  <c r="B299" i="12"/>
  <c r="B300" i="12"/>
  <c r="B296" i="12"/>
  <c r="B5" i="12"/>
  <c r="C31" i="12"/>
  <c r="C441" i="12" s="1"/>
  <c r="D31" i="12"/>
  <c r="D441" i="12" s="1"/>
  <c r="E31" i="12"/>
  <c r="E441" i="12" s="1"/>
  <c r="F31" i="12"/>
  <c r="F441" i="12" s="1"/>
  <c r="G31" i="12"/>
  <c r="G441" i="12" s="1"/>
  <c r="H31" i="12"/>
  <c r="H441" i="12" s="1"/>
  <c r="I31" i="12"/>
  <c r="I441" i="12" s="1"/>
  <c r="J31" i="12"/>
  <c r="J441" i="12" s="1"/>
  <c r="K31" i="12"/>
  <c r="K441" i="12" s="1"/>
  <c r="L31" i="12"/>
  <c r="L441" i="12" s="1"/>
  <c r="M31" i="12"/>
  <c r="M441" i="12" s="1"/>
  <c r="N31" i="12"/>
  <c r="N441" i="12" s="1"/>
  <c r="O31" i="12"/>
  <c r="O441" i="12" s="1"/>
  <c r="P31" i="12"/>
  <c r="P441" i="12" s="1"/>
  <c r="Q31" i="12"/>
  <c r="Q441" i="12" s="1"/>
  <c r="R31" i="12"/>
  <c r="R441" i="12" s="1"/>
  <c r="S31" i="12"/>
  <c r="S441" i="12" s="1"/>
  <c r="T31" i="12"/>
  <c r="T441" i="12" s="1"/>
  <c r="U31" i="12"/>
  <c r="U441" i="12" s="1"/>
  <c r="V31" i="12"/>
  <c r="V441" i="12" s="1"/>
  <c r="W31" i="12"/>
  <c r="W441" i="12" s="1"/>
  <c r="X31" i="12"/>
  <c r="X441" i="12" s="1"/>
  <c r="Y31" i="12"/>
  <c r="Y441" i="12" s="1"/>
  <c r="Z31" i="12"/>
  <c r="Z441" i="12" s="1"/>
  <c r="AA31" i="12"/>
  <c r="AA441" i="12" s="1"/>
  <c r="AB31" i="12"/>
  <c r="AB441" i="12" s="1"/>
  <c r="AC31" i="12"/>
  <c r="B4" i="12" s="1"/>
  <c r="B31" i="12"/>
  <c r="B441" i="12" s="1"/>
  <c r="AC441" i="12" l="1"/>
  <c r="AD446" i="12" s="1"/>
  <c r="C19" i="26"/>
  <c r="D19" i="26"/>
  <c r="E19" i="26"/>
  <c r="F19" i="26"/>
  <c r="G19" i="26"/>
  <c r="H19" i="26"/>
  <c r="I19" i="26"/>
  <c r="J19" i="26"/>
  <c r="K19" i="26"/>
  <c r="L19" i="26"/>
  <c r="M19" i="26"/>
  <c r="B19" i="26"/>
  <c r="C12" i="26"/>
  <c r="D12" i="26"/>
  <c r="E12" i="26"/>
  <c r="F12" i="26"/>
  <c r="G12" i="26"/>
  <c r="H12" i="26"/>
  <c r="I12" i="26"/>
  <c r="J12" i="26"/>
  <c r="B12" i="26"/>
  <c r="L15" i="26"/>
  <c r="M15" i="26"/>
  <c r="AB24" i="5" l="1"/>
  <c r="AC427" i="12" l="1"/>
  <c r="AC412" i="12"/>
  <c r="AC401" i="12"/>
  <c r="AC390" i="12"/>
  <c r="AC379" i="12"/>
  <c r="AC368" i="12"/>
  <c r="AC348" i="12"/>
  <c r="AC337" i="12"/>
  <c r="AC326" i="12"/>
  <c r="AC315" i="12"/>
  <c r="AC304" i="12"/>
  <c r="AC30" i="29" l="1"/>
  <c r="AC27" i="29"/>
  <c r="AB30" i="29"/>
  <c r="B4" i="21"/>
  <c r="B4" i="19" l="1"/>
  <c r="J23" i="16" l="1"/>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22" i="16"/>
  <c r="I12" i="16"/>
  <c r="I13" i="16"/>
  <c r="I14" i="16"/>
  <c r="I15" i="16"/>
  <c r="I16" i="16"/>
  <c r="I17" i="16"/>
  <c r="I18" i="16"/>
  <c r="I19" i="16"/>
  <c r="I20" i="16"/>
  <c r="I21" i="16"/>
  <c r="I22" i="16"/>
  <c r="I11" i="16"/>
  <c r="D114" i="8" l="1"/>
  <c r="D99" i="13"/>
  <c r="B5" i="10"/>
  <c r="B4" i="10"/>
  <c r="AC132" i="10" l="1"/>
  <c r="AC133" i="10"/>
  <c r="AC134" i="10"/>
  <c r="AC135" i="10"/>
  <c r="AC136" i="10"/>
  <c r="AC137" i="10"/>
  <c r="AC138" i="10"/>
  <c r="AC139" i="10"/>
  <c r="AC140" i="10"/>
  <c r="AC141" i="10"/>
  <c r="AA407" i="28" l="1"/>
  <c r="AA394" i="28"/>
  <c r="AB398" i="28" s="1"/>
  <c r="AA386" i="28"/>
  <c r="AA374" i="28"/>
  <c r="AA366" i="28"/>
  <c r="AA351" i="28"/>
  <c r="AB356" i="28" s="1"/>
  <c r="AA343" i="28"/>
  <c r="AA330" i="28"/>
  <c r="AB335" i="28" s="1"/>
  <c r="AA323" i="28"/>
  <c r="AA311" i="28"/>
  <c r="AB313" i="28" s="1"/>
  <c r="AB427" i="12"/>
  <c r="AC446" i="12"/>
  <c r="AB378" i="28" l="1"/>
  <c r="B4" i="25" l="1"/>
  <c r="D113" i="8"/>
  <c r="D98" i="13" l="1"/>
  <c r="Z118" i="7" l="1"/>
  <c r="AA118" i="7"/>
  <c r="AB412" i="12" l="1"/>
  <c r="AB401" i="12"/>
  <c r="AB390" i="12"/>
  <c r="AB379" i="12"/>
  <c r="AB368" i="12"/>
  <c r="AB348" i="12"/>
  <c r="AB337" i="12"/>
  <c r="AB326" i="12"/>
  <c r="AB315" i="12"/>
  <c r="AB304" i="12"/>
  <c r="AB132" i="10" l="1"/>
  <c r="AB133" i="10"/>
  <c r="AB134" i="10"/>
  <c r="AB135" i="10"/>
  <c r="AB136" i="10"/>
  <c r="AB137" i="10"/>
  <c r="AB138" i="10"/>
  <c r="AB139" i="10"/>
  <c r="AB140" i="10"/>
  <c r="AB141" i="10"/>
  <c r="Z409" i="28"/>
  <c r="AA409" i="28"/>
  <c r="AB409" i="28"/>
  <c r="AC409" i="28"/>
  <c r="AD409" i="28"/>
  <c r="AE409" i="28"/>
  <c r="AF409" i="28"/>
  <c r="AG409" i="28"/>
  <c r="AH409" i="28"/>
  <c r="AI409" i="28"/>
  <c r="AJ409" i="28"/>
  <c r="AK409" i="28"/>
  <c r="AL409" i="28"/>
  <c r="AM409" i="28"/>
  <c r="AN409" i="28"/>
  <c r="AO409" i="28"/>
  <c r="AP409" i="28"/>
  <c r="AQ409" i="28"/>
  <c r="AR409" i="28"/>
  <c r="AS409" i="28"/>
  <c r="AT409" i="28"/>
  <c r="AU409" i="28"/>
  <c r="AV409" i="28"/>
  <c r="AW409" i="28"/>
  <c r="Z407" i="28"/>
  <c r="C394" i="28"/>
  <c r="D394" i="28"/>
  <c r="E394" i="28"/>
  <c r="F394" i="28"/>
  <c r="G394" i="28"/>
  <c r="H394" i="28"/>
  <c r="I394" i="28"/>
  <c r="J394" i="28"/>
  <c r="K394" i="28"/>
  <c r="L394" i="28"/>
  <c r="M394" i="28"/>
  <c r="N394" i="28"/>
  <c r="O394" i="28"/>
  <c r="P394" i="28"/>
  <c r="Q394" i="28"/>
  <c r="R394" i="28"/>
  <c r="S394" i="28"/>
  <c r="T394" i="28"/>
  <c r="U394" i="28"/>
  <c r="V394" i="28"/>
  <c r="W394" i="28"/>
  <c r="X394" i="28"/>
  <c r="Y394" i="28"/>
  <c r="Z394" i="28"/>
  <c r="AA398" i="28" s="1"/>
  <c r="B394" i="28"/>
  <c r="Z388" i="28"/>
  <c r="AA388" i="28"/>
  <c r="AB388" i="28"/>
  <c r="AC388" i="28"/>
  <c r="AD388" i="28"/>
  <c r="AE388" i="28"/>
  <c r="AF388" i="28"/>
  <c r="AG388" i="28"/>
  <c r="AH388" i="28"/>
  <c r="AI388" i="28"/>
  <c r="AJ388" i="28"/>
  <c r="AK388" i="28"/>
  <c r="AL388" i="28"/>
  <c r="AM388" i="28"/>
  <c r="AN388" i="28"/>
  <c r="AO388" i="28"/>
  <c r="AP388" i="28"/>
  <c r="AQ388" i="28"/>
  <c r="AR388" i="28"/>
  <c r="AS388" i="28"/>
  <c r="AT388" i="28"/>
  <c r="AU388" i="28"/>
  <c r="AV388" i="28"/>
  <c r="AW388" i="28"/>
  <c r="Z386" i="28"/>
  <c r="C374" i="28"/>
  <c r="D374" i="28"/>
  <c r="E374" i="28"/>
  <c r="F374" i="28"/>
  <c r="G374" i="28"/>
  <c r="H374" i="28"/>
  <c r="I374" i="28"/>
  <c r="J374" i="28"/>
  <c r="K374" i="28"/>
  <c r="L374" i="28"/>
  <c r="M374" i="28"/>
  <c r="N374" i="28"/>
  <c r="O374" i="28"/>
  <c r="P374" i="28"/>
  <c r="Q374" i="28"/>
  <c r="R374" i="28"/>
  <c r="S374" i="28"/>
  <c r="T374" i="28"/>
  <c r="U374" i="28"/>
  <c r="V374" i="28"/>
  <c r="W374" i="28"/>
  <c r="X374" i="28"/>
  <c r="Y374" i="28"/>
  <c r="Z374" i="28"/>
  <c r="B374" i="28"/>
  <c r="Z368" i="28"/>
  <c r="AA368" i="28"/>
  <c r="AB368" i="28"/>
  <c r="AC368" i="28"/>
  <c r="AD368" i="28"/>
  <c r="AE368" i="28"/>
  <c r="AF368" i="28"/>
  <c r="AG368" i="28"/>
  <c r="AH368" i="28"/>
  <c r="AI368" i="28"/>
  <c r="AJ368" i="28"/>
  <c r="AK368" i="28"/>
  <c r="AL368" i="28"/>
  <c r="AM368" i="28"/>
  <c r="AN368" i="28"/>
  <c r="AO368" i="28"/>
  <c r="AP368" i="28"/>
  <c r="AQ368" i="28"/>
  <c r="AR368" i="28"/>
  <c r="AS368" i="28"/>
  <c r="AT368" i="28"/>
  <c r="AU368" i="28"/>
  <c r="AV368" i="28"/>
  <c r="AW368" i="28"/>
  <c r="Z366" i="28"/>
  <c r="Z365" i="28"/>
  <c r="AA365" i="28"/>
  <c r="AB365" i="28"/>
  <c r="AC365" i="28"/>
  <c r="AD365" i="28"/>
  <c r="AE365" i="28"/>
  <c r="AG365" i="28"/>
  <c r="AH365" i="28"/>
  <c r="AI365" i="28"/>
  <c r="AJ365" i="28"/>
  <c r="AK365" i="28"/>
  <c r="AL365" i="28"/>
  <c r="AM365" i="28"/>
  <c r="AN365" i="28"/>
  <c r="AO365" i="28"/>
  <c r="AP365" i="28"/>
  <c r="AQ365" i="28"/>
  <c r="AR365" i="28"/>
  <c r="AS365" i="28"/>
  <c r="AT365" i="28"/>
  <c r="AU365" i="28"/>
  <c r="AV365" i="28"/>
  <c r="AW365" i="28"/>
  <c r="C351" i="28"/>
  <c r="D351" i="28"/>
  <c r="E351" i="28"/>
  <c r="F351" i="28"/>
  <c r="G351" i="28"/>
  <c r="H351" i="28"/>
  <c r="I351" i="28"/>
  <c r="J351" i="28"/>
  <c r="K351" i="28"/>
  <c r="L351" i="28"/>
  <c r="M351" i="28"/>
  <c r="N351" i="28"/>
  <c r="O351" i="28"/>
  <c r="P351" i="28"/>
  <c r="Q351" i="28"/>
  <c r="R351" i="28"/>
  <c r="S351" i="28"/>
  <c r="T351" i="28"/>
  <c r="U351" i="28"/>
  <c r="V351" i="28"/>
  <c r="W351" i="28"/>
  <c r="X351" i="28"/>
  <c r="Y351" i="28"/>
  <c r="Z351" i="28"/>
  <c r="B351" i="28"/>
  <c r="AW345" i="28"/>
  <c r="Z345" i="28"/>
  <c r="AA345" i="28"/>
  <c r="AB345" i="28"/>
  <c r="AC345" i="28"/>
  <c r="AD345" i="28"/>
  <c r="AE345" i="28"/>
  <c r="AF345" i="28"/>
  <c r="AG345" i="28"/>
  <c r="AH345" i="28"/>
  <c r="AI345" i="28"/>
  <c r="AJ345" i="28"/>
  <c r="AK345" i="28"/>
  <c r="AL345" i="28"/>
  <c r="AM345" i="28"/>
  <c r="AN345" i="28"/>
  <c r="AO345" i="28"/>
  <c r="AP345" i="28"/>
  <c r="AQ345" i="28"/>
  <c r="AR345" i="28"/>
  <c r="AS345" i="28"/>
  <c r="AT345" i="28"/>
  <c r="AU345" i="28"/>
  <c r="AV345" i="28"/>
  <c r="Z343" i="28"/>
  <c r="C330" i="28"/>
  <c r="D330" i="28"/>
  <c r="E330" i="28"/>
  <c r="F330" i="28"/>
  <c r="G330" i="28"/>
  <c r="H330" i="28"/>
  <c r="I330" i="28"/>
  <c r="J330" i="28"/>
  <c r="K330" i="28"/>
  <c r="L330" i="28"/>
  <c r="M330" i="28"/>
  <c r="N330" i="28"/>
  <c r="O330" i="28"/>
  <c r="P330" i="28"/>
  <c r="Q330" i="28"/>
  <c r="R330" i="28"/>
  <c r="T330" i="28"/>
  <c r="U330" i="28"/>
  <c r="V330" i="28"/>
  <c r="W330" i="28"/>
  <c r="X330" i="28"/>
  <c r="Y330" i="28"/>
  <c r="Z330" i="28"/>
  <c r="AA335" i="28" s="1"/>
  <c r="B330" i="28"/>
  <c r="Z325" i="28"/>
  <c r="AA325" i="28"/>
  <c r="AB325" i="28"/>
  <c r="AC325" i="28"/>
  <c r="AD325" i="28"/>
  <c r="AE325" i="28"/>
  <c r="AF325" i="28"/>
  <c r="AG325" i="28"/>
  <c r="AH325" i="28"/>
  <c r="AI325" i="28"/>
  <c r="AJ325" i="28"/>
  <c r="AK325" i="28"/>
  <c r="AL325" i="28"/>
  <c r="AM325" i="28"/>
  <c r="AN325" i="28"/>
  <c r="AO325" i="28"/>
  <c r="AP325" i="28"/>
  <c r="AQ325" i="28"/>
  <c r="AR325" i="28"/>
  <c r="AS325" i="28"/>
  <c r="AT325" i="28"/>
  <c r="AU325" i="28"/>
  <c r="AV325" i="28"/>
  <c r="AW325" i="28"/>
  <c r="Z323" i="28"/>
  <c r="Z321" i="28"/>
  <c r="AA321" i="28"/>
  <c r="AB321" i="28"/>
  <c r="AC321" i="28"/>
  <c r="AD321" i="28"/>
  <c r="AE321" i="28"/>
  <c r="AF321" i="28"/>
  <c r="AG321" i="28"/>
  <c r="AH321" i="28"/>
  <c r="AI321" i="28"/>
  <c r="AJ321" i="28"/>
  <c r="AK321" i="28"/>
  <c r="AL321" i="28"/>
  <c r="AM321" i="28"/>
  <c r="AN321" i="28"/>
  <c r="AO321" i="28"/>
  <c r="AP321" i="28"/>
  <c r="AQ321" i="28"/>
  <c r="AR321" i="28"/>
  <c r="AS321" i="28"/>
  <c r="AT321" i="28"/>
  <c r="AU321" i="28"/>
  <c r="AV321" i="28"/>
  <c r="AW321" i="28"/>
  <c r="Z322" i="28"/>
  <c r="AA322" i="28"/>
  <c r="AB322" i="28"/>
  <c r="AC322" i="28"/>
  <c r="AD322" i="28"/>
  <c r="AE322" i="28"/>
  <c r="AF322" i="28"/>
  <c r="AG322" i="28"/>
  <c r="AH322" i="28"/>
  <c r="AI322" i="28"/>
  <c r="AJ322" i="28"/>
  <c r="AK322" i="28"/>
  <c r="AL322" i="28"/>
  <c r="AM322" i="28"/>
  <c r="AN322" i="28"/>
  <c r="AO322" i="28"/>
  <c r="AP322" i="28"/>
  <c r="AQ322" i="28"/>
  <c r="AR322" i="28"/>
  <c r="AS322" i="28"/>
  <c r="AT322" i="28"/>
  <c r="AU322" i="28"/>
  <c r="AV322" i="28"/>
  <c r="AW322" i="28"/>
  <c r="C311" i="28"/>
  <c r="D311" i="28"/>
  <c r="E311" i="28"/>
  <c r="F311" i="28"/>
  <c r="G311" i="28"/>
  <c r="H311" i="28"/>
  <c r="I311" i="28"/>
  <c r="J311" i="28"/>
  <c r="K311" i="28"/>
  <c r="L311" i="28"/>
  <c r="M311" i="28"/>
  <c r="N311" i="28"/>
  <c r="O311" i="28"/>
  <c r="P311" i="28"/>
  <c r="Q311" i="28"/>
  <c r="R311" i="28"/>
  <c r="S311" i="28"/>
  <c r="T311" i="28"/>
  <c r="U311" i="28"/>
  <c r="V311" i="28"/>
  <c r="W311" i="28"/>
  <c r="X311" i="28"/>
  <c r="Y311" i="28"/>
  <c r="Z311" i="28"/>
  <c r="B311"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Z24" i="28"/>
  <c r="Y24" i="28"/>
  <c r="Y23" i="28"/>
  <c r="AB27" i="29"/>
  <c r="AE315" i="28" l="1"/>
  <c r="Z378" i="28"/>
  <c r="AA378" i="28"/>
  <c r="AW355" i="28"/>
  <c r="AG355" i="28"/>
  <c r="AO355" i="28"/>
  <c r="Y355" i="28"/>
  <c r="Z355" i="28"/>
  <c r="AH355" i="28"/>
  <c r="AP355" i="28"/>
  <c r="Y354" i="28"/>
  <c r="AS355" i="28"/>
  <c r="AL355" i="28"/>
  <c r="AA355" i="28"/>
  <c r="AI355" i="28"/>
  <c r="AQ355" i="28"/>
  <c r="AB355" i="28"/>
  <c r="AJ355" i="28"/>
  <c r="AR355" i="28"/>
  <c r="AC355" i="28"/>
  <c r="AK355" i="28"/>
  <c r="AD355" i="28"/>
  <c r="AT355" i="28"/>
  <c r="AE355" i="28"/>
  <c r="AM355" i="28"/>
  <c r="AU355" i="28"/>
  <c r="AF355" i="28"/>
  <c r="AN355" i="28"/>
  <c r="AV355" i="28"/>
  <c r="AA377" i="28"/>
  <c r="X313" i="28"/>
  <c r="AO397" i="28"/>
  <c r="AM333" i="28"/>
  <c r="AL333" i="28"/>
  <c r="Z313" i="28"/>
  <c r="AA313" i="28"/>
  <c r="AE333" i="28"/>
  <c r="AN397" i="28"/>
  <c r="Z377" i="28"/>
  <c r="AG397" i="28"/>
  <c r="AD333" i="28"/>
  <c r="Z356" i="28"/>
  <c r="AA356" i="28"/>
  <c r="AB377" i="28"/>
  <c r="AA400" i="28"/>
  <c r="AB400" i="28"/>
  <c r="AM358" i="28"/>
  <c r="AN358" i="28"/>
  <c r="Z380" i="28"/>
  <c r="AR377" i="28"/>
  <c r="AJ380" i="28"/>
  <c r="AK315" i="28"/>
  <c r="AK380" i="28"/>
  <c r="AQ377" i="28"/>
  <c r="AI380" i="28"/>
  <c r="AW400" i="28"/>
  <c r="AP377" i="28"/>
  <c r="AJ400" i="28"/>
  <c r="Z398" i="28"/>
  <c r="AO380" i="28"/>
  <c r="AA358" i="28"/>
  <c r="AG337" i="28"/>
  <c r="AT358" i="28"/>
  <c r="AI315" i="28"/>
  <c r="AB315" i="28"/>
  <c r="AA315" i="28"/>
  <c r="AN333" i="28"/>
  <c r="AM315" i="28"/>
  <c r="AU315" i="28"/>
  <c r="AD315" i="28"/>
  <c r="AN315" i="28"/>
  <c r="AW315" i="28"/>
  <c r="C315" i="28"/>
  <c r="AF315" i="28"/>
  <c r="AO315" i="28"/>
  <c r="AH315" i="28"/>
  <c r="AG315" i="28"/>
  <c r="AP315" i="28"/>
  <c r="AQ315" i="28"/>
  <c r="AC315" i="28"/>
  <c r="AL315" i="28"/>
  <c r="AV315" i="28"/>
  <c r="AJ315" i="28"/>
  <c r="AT315" i="28"/>
  <c r="Z315" i="28"/>
  <c r="AG333" i="28"/>
  <c r="AO333" i="28"/>
  <c r="AW333" i="28"/>
  <c r="AH333" i="28"/>
  <c r="AQ333" i="28"/>
  <c r="AT333" i="28"/>
  <c r="Z333" i="28"/>
  <c r="AI333" i="28"/>
  <c r="AR333" i="28"/>
  <c r="AJ333" i="28"/>
  <c r="AK333" i="28"/>
  <c r="Z337" i="28"/>
  <c r="AA333" i="28"/>
  <c r="AS333" i="28"/>
  <c r="AB333" i="28"/>
  <c r="AF333" i="28"/>
  <c r="AP333" i="28"/>
  <c r="AC333" i="28"/>
  <c r="AW337" i="28"/>
  <c r="AS315" i="28"/>
  <c r="Z335" i="28"/>
  <c r="AV333" i="28"/>
  <c r="AO337" i="28"/>
  <c r="AR315" i="28"/>
  <c r="AU333" i="28"/>
  <c r="AD358" i="28"/>
  <c r="AO358" i="28"/>
  <c r="AE358" i="28"/>
  <c r="AP358" i="28"/>
  <c r="AU358" i="28"/>
  <c r="Z358" i="28"/>
  <c r="AF377" i="28"/>
  <c r="AP380" i="28"/>
  <c r="AP397" i="28"/>
  <c r="AI400" i="28"/>
  <c r="Z400" i="28"/>
  <c r="AL358" i="28"/>
  <c r="AF397" i="28"/>
  <c r="AP400" i="28"/>
  <c r="AH358" i="28"/>
  <c r="AO377" i="28"/>
  <c r="AB380" i="28"/>
  <c r="AB397" i="28"/>
  <c r="AO400" i="28"/>
  <c r="AW358" i="28"/>
  <c r="AG358" i="28"/>
  <c r="AN377" i="28"/>
  <c r="AA380" i="28"/>
  <c r="AR397" i="28"/>
  <c r="AA397" i="28"/>
  <c r="AK400" i="28"/>
  <c r="AV358" i="28"/>
  <c r="AF358" i="28"/>
  <c r="AG377" i="28"/>
  <c r="AW380" i="28"/>
  <c r="AQ397" i="28"/>
  <c r="Z397" i="28"/>
  <c r="AD380" i="28"/>
  <c r="AL380" i="28"/>
  <c r="AT380" i="28"/>
  <c r="AC377" i="28"/>
  <c r="AK377" i="28"/>
  <c r="AS377" i="28"/>
  <c r="AE380" i="28"/>
  <c r="AM380" i="28"/>
  <c r="AU380" i="28"/>
  <c r="AD377" i="28"/>
  <c r="AL377" i="28"/>
  <c r="AT377" i="28"/>
  <c r="AF380" i="28"/>
  <c r="AN380" i="28"/>
  <c r="AV380" i="28"/>
  <c r="AE377" i="28"/>
  <c r="AM377" i="28"/>
  <c r="AU377" i="28"/>
  <c r="AJ377" i="28"/>
  <c r="AS380" i="28"/>
  <c r="AH380" i="28"/>
  <c r="AD400" i="28"/>
  <c r="AL400" i="28"/>
  <c r="AT400" i="28"/>
  <c r="AC397" i="28"/>
  <c r="AK397" i="28"/>
  <c r="AS397" i="28"/>
  <c r="AE400" i="28"/>
  <c r="AM400" i="28"/>
  <c r="AU400" i="28"/>
  <c r="AD397" i="28"/>
  <c r="AL397" i="28"/>
  <c r="AT397" i="28"/>
  <c r="AF400" i="28"/>
  <c r="AN400" i="28"/>
  <c r="AV400" i="28"/>
  <c r="AE397" i="28"/>
  <c r="AM397" i="28"/>
  <c r="AU397" i="28"/>
  <c r="AJ397" i="28"/>
  <c r="AS400" i="28"/>
  <c r="AH400" i="28"/>
  <c r="AW377" i="28"/>
  <c r="AI377" i="28"/>
  <c r="AR380" i="28"/>
  <c r="AG380" i="28"/>
  <c r="AW397" i="28"/>
  <c r="AI397" i="28"/>
  <c r="AR400" i="28"/>
  <c r="AG400" i="28"/>
  <c r="AV377" i="28"/>
  <c r="AH377" i="28"/>
  <c r="AQ380" i="28"/>
  <c r="AC380" i="28"/>
  <c r="AV397" i="28"/>
  <c r="AH397" i="28"/>
  <c r="AQ400" i="28"/>
  <c r="AC400" i="28"/>
  <c r="AS358" i="28"/>
  <c r="AK358" i="28"/>
  <c r="AC358" i="28"/>
  <c r="AR358" i="28"/>
  <c r="AJ358" i="28"/>
  <c r="AB358" i="28"/>
  <c r="AQ358" i="28"/>
  <c r="AI358" i="28"/>
  <c r="AT337" i="28"/>
  <c r="AL337" i="28"/>
  <c r="AD337" i="28"/>
  <c r="AU337" i="28"/>
  <c r="AC337" i="28"/>
  <c r="AN337" i="28"/>
  <c r="AF337" i="28"/>
  <c r="AM337" i="28"/>
  <c r="AE337" i="28"/>
  <c r="AS337" i="28"/>
  <c r="AK337" i="28"/>
  <c r="AR337" i="28"/>
  <c r="AJ337" i="28"/>
  <c r="AB337" i="28"/>
  <c r="AV337" i="28"/>
  <c r="AQ337" i="28"/>
  <c r="AI337" i="28"/>
  <c r="AA337" i="28"/>
  <c r="AP337" i="28"/>
  <c r="AH337" i="28"/>
  <c r="M45" i="34" l="1"/>
  <c r="M44" i="34"/>
  <c r="J20" i="34" l="1"/>
  <c r="H202" i="29"/>
  <c r="I202" i="29"/>
  <c r="J202" i="29"/>
  <c r="K202" i="29"/>
  <c r="L202" i="29"/>
  <c r="M202" i="29"/>
  <c r="N202" i="29"/>
  <c r="O202" i="29"/>
  <c r="P202" i="29"/>
  <c r="Q202" i="29"/>
  <c r="R202" i="29"/>
  <c r="S202" i="29"/>
  <c r="T202" i="29"/>
  <c r="U202" i="29"/>
  <c r="V202" i="29"/>
  <c r="W202" i="29"/>
  <c r="X202" i="29"/>
  <c r="Y202" i="29"/>
  <c r="Z202" i="29"/>
  <c r="AA202" i="29"/>
  <c r="AB202" i="29"/>
  <c r="AC202" i="29"/>
  <c r="AD202" i="29"/>
  <c r="AE202" i="29"/>
  <c r="AF202" i="29"/>
  <c r="AG202" i="29"/>
  <c r="AG206" i="29" s="1"/>
  <c r="AH202" i="29"/>
  <c r="AI202" i="29"/>
  <c r="AJ202" i="29"/>
  <c r="AK202" i="29"/>
  <c r="AL202" i="29"/>
  <c r="AM202" i="29"/>
  <c r="AN202" i="29"/>
  <c r="AO202" i="29"/>
  <c r="AP202" i="29"/>
  <c r="AQ202" i="29"/>
  <c r="AR202" i="29"/>
  <c r="AS202" i="29"/>
  <c r="AT202" i="29"/>
  <c r="AU202" i="29"/>
  <c r="AV202" i="29"/>
  <c r="AW202" i="29"/>
  <c r="C202" i="29"/>
  <c r="D202" i="29"/>
  <c r="E202" i="29"/>
  <c r="F202" i="29"/>
  <c r="G202" i="29"/>
  <c r="B202" i="29"/>
  <c r="E190" i="29"/>
  <c r="F190" i="29"/>
  <c r="G190" i="29"/>
  <c r="H190" i="29"/>
  <c r="I190" i="29"/>
  <c r="J190" i="29"/>
  <c r="K190" i="29"/>
  <c r="L190"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H194" i="29" s="1"/>
  <c r="AI190" i="29"/>
  <c r="AJ190" i="29"/>
  <c r="AK190" i="29"/>
  <c r="AL190" i="29"/>
  <c r="AM190" i="29"/>
  <c r="AN190" i="29"/>
  <c r="AO190" i="29"/>
  <c r="AP190" i="29"/>
  <c r="AQ190" i="29"/>
  <c r="AR190" i="29"/>
  <c r="AS190" i="29"/>
  <c r="AT190" i="29"/>
  <c r="AU190" i="29"/>
  <c r="AV190" i="29"/>
  <c r="AW190" i="29"/>
  <c r="C190" i="29"/>
  <c r="D190" i="29"/>
  <c r="B190" i="29"/>
  <c r="AB165" i="29"/>
  <c r="AC165" i="29"/>
  <c r="AD165" i="29"/>
  <c r="AE165" i="29"/>
  <c r="AF165" i="29"/>
  <c r="AG165" i="29"/>
  <c r="AG169" i="29" s="1"/>
  <c r="AH165" i="29"/>
  <c r="AI165" i="29"/>
  <c r="AJ165" i="29"/>
  <c r="AK165" i="29"/>
  <c r="AL165" i="29"/>
  <c r="AM165" i="29"/>
  <c r="AN165" i="29"/>
  <c r="AO165" i="29"/>
  <c r="AP165" i="29"/>
  <c r="AQ165" i="29"/>
  <c r="AR165" i="29"/>
  <c r="AS165" i="29"/>
  <c r="AT165" i="29"/>
  <c r="AU165" i="29"/>
  <c r="AV165" i="29"/>
  <c r="AW165" i="29"/>
  <c r="C177" i="29"/>
  <c r="D177" i="29"/>
  <c r="E177" i="29"/>
  <c r="F177" i="29"/>
  <c r="G177" i="29"/>
  <c r="H177" i="29"/>
  <c r="I177" i="29"/>
  <c r="J177" i="29"/>
  <c r="K177" i="29"/>
  <c r="L177" i="29"/>
  <c r="M177" i="29"/>
  <c r="N177" i="29"/>
  <c r="P177" i="29"/>
  <c r="Q177" i="29"/>
  <c r="R177" i="29"/>
  <c r="S177" i="29"/>
  <c r="T177" i="29"/>
  <c r="U177" i="29"/>
  <c r="V177" i="29"/>
  <c r="W177" i="29"/>
  <c r="X177" i="29"/>
  <c r="Y177" i="29"/>
  <c r="Z177" i="29"/>
  <c r="AA177" i="29"/>
  <c r="AB177" i="29"/>
  <c r="AC177" i="29"/>
  <c r="AD177" i="29"/>
  <c r="AE177" i="29"/>
  <c r="AF177" i="29"/>
  <c r="AG177" i="29"/>
  <c r="AG182" i="29" s="1"/>
  <c r="AH177" i="29"/>
  <c r="AI177" i="29"/>
  <c r="AJ177" i="29"/>
  <c r="AK177" i="29"/>
  <c r="AL177" i="29"/>
  <c r="AM177" i="29"/>
  <c r="AN177" i="29"/>
  <c r="AO177" i="29"/>
  <c r="AP177" i="29"/>
  <c r="AQ177" i="29"/>
  <c r="AR177" i="29"/>
  <c r="AS177" i="29"/>
  <c r="AT177" i="29"/>
  <c r="AU177" i="29"/>
  <c r="AV177" i="29"/>
  <c r="AW177" i="29"/>
  <c r="B177" i="29"/>
  <c r="C165" i="29"/>
  <c r="D165" i="29"/>
  <c r="E165" i="29"/>
  <c r="F165" i="29"/>
  <c r="G165" i="29"/>
  <c r="H165" i="29"/>
  <c r="I165" i="29"/>
  <c r="J165" i="29"/>
  <c r="K165" i="29"/>
  <c r="L165" i="29"/>
  <c r="L169" i="29" s="1"/>
  <c r="M165" i="29"/>
  <c r="N165" i="29"/>
  <c r="O165" i="29"/>
  <c r="P165" i="29"/>
  <c r="Q165" i="29"/>
  <c r="R165" i="29"/>
  <c r="S165" i="29"/>
  <c r="T165" i="29"/>
  <c r="U165" i="29"/>
  <c r="V165" i="29"/>
  <c r="W165" i="29"/>
  <c r="X165" i="29"/>
  <c r="Y165" i="29"/>
  <c r="Z165" i="29"/>
  <c r="AA165" i="29"/>
  <c r="B165" i="29"/>
  <c r="F153" i="29"/>
  <c r="G153" i="29"/>
  <c r="H153" i="29"/>
  <c r="I153" i="29"/>
  <c r="J153" i="29"/>
  <c r="K153" i="29"/>
  <c r="L153" i="29"/>
  <c r="M153" i="29"/>
  <c r="N153" i="29"/>
  <c r="N155" i="29" s="1"/>
  <c r="O153" i="29"/>
  <c r="P153" i="29"/>
  <c r="Q153" i="29"/>
  <c r="R153" i="29"/>
  <c r="S153" i="29"/>
  <c r="T153" i="29"/>
  <c r="U153" i="29"/>
  <c r="V153" i="29"/>
  <c r="W153" i="29"/>
  <c r="X153" i="29"/>
  <c r="Y153" i="29"/>
  <c r="Z153" i="29"/>
  <c r="AA153" i="29"/>
  <c r="AB153" i="29"/>
  <c r="AC153" i="29"/>
  <c r="AD153" i="29"/>
  <c r="AE153" i="29"/>
  <c r="AF153" i="29"/>
  <c r="AG153" i="29"/>
  <c r="AH153" i="29"/>
  <c r="AH157" i="29" s="1"/>
  <c r="AI153" i="29"/>
  <c r="AJ153" i="29"/>
  <c r="AK153" i="29"/>
  <c r="AL153" i="29"/>
  <c r="AM153" i="29"/>
  <c r="AN153" i="29"/>
  <c r="AO153" i="29"/>
  <c r="AP153" i="29"/>
  <c r="AQ153" i="29"/>
  <c r="AR153" i="29"/>
  <c r="AS153" i="29"/>
  <c r="AT153" i="29"/>
  <c r="AU153" i="29"/>
  <c r="AV153" i="29"/>
  <c r="AW153" i="29"/>
  <c r="C153" i="29"/>
  <c r="D153" i="29"/>
  <c r="E153" i="29"/>
  <c r="B153" i="29"/>
  <c r="AA156" i="29" l="1"/>
  <c r="AE156" i="29"/>
  <c r="AI156" i="29"/>
  <c r="AG156" i="29"/>
  <c r="Z156" i="29"/>
  <c r="AB156" i="29"/>
  <c r="AF156" i="29"/>
  <c r="AJ156" i="29"/>
  <c r="AC156" i="29"/>
  <c r="AK156" i="29"/>
  <c r="AD156" i="29"/>
  <c r="AH156" i="29"/>
  <c r="AA168" i="29"/>
  <c r="AE168" i="29"/>
  <c r="AI168" i="29"/>
  <c r="AK168" i="29"/>
  <c r="Z168" i="29"/>
  <c r="AB168" i="29"/>
  <c r="AF168" i="29"/>
  <c r="AJ168" i="29"/>
  <c r="AC168" i="29"/>
  <c r="AG168" i="29"/>
  <c r="AD168" i="29"/>
  <c r="AH168" i="29"/>
  <c r="AG157" i="29"/>
  <c r="AH169" i="29"/>
  <c r="AH206" i="29"/>
  <c r="AH182" i="29"/>
  <c r="AG194" i="29"/>
  <c r="AF194" i="29"/>
  <c r="AF157" i="29"/>
  <c r="AD194" i="29"/>
  <c r="AB157" i="29"/>
  <c r="AF182" i="29"/>
  <c r="AE182" i="29"/>
  <c r="AF169" i="29"/>
  <c r="AF206" i="29"/>
  <c r="AD169" i="29"/>
  <c r="AE194" i="29"/>
  <c r="AD206" i="29"/>
  <c r="AE157" i="29"/>
  <c r="AD182" i="29"/>
  <c r="AD157" i="29"/>
  <c r="AC182" i="29"/>
  <c r="M178" i="29"/>
  <c r="AF181" i="29"/>
  <c r="AJ181" i="29"/>
  <c r="AN181" i="29"/>
  <c r="AR181" i="29"/>
  <c r="AV181" i="29"/>
  <c r="V180" i="29"/>
  <c r="Z180" i="29"/>
  <c r="AD180" i="29"/>
  <c r="AP181" i="29"/>
  <c r="X180" i="29"/>
  <c r="T180" i="29"/>
  <c r="AG181" i="29"/>
  <c r="AK181" i="29"/>
  <c r="AO181" i="29"/>
  <c r="AS181" i="29"/>
  <c r="AW181" i="29"/>
  <c r="W180" i="29"/>
  <c r="AA180" i="29"/>
  <c r="AE180" i="29"/>
  <c r="AH181" i="29"/>
  <c r="AL181" i="29"/>
  <c r="AT181" i="29"/>
  <c r="AE181" i="29"/>
  <c r="AB180" i="29"/>
  <c r="AI181" i="29"/>
  <c r="AM181" i="29"/>
  <c r="AQ181" i="29"/>
  <c r="AU181" i="29"/>
  <c r="U180" i="29"/>
  <c r="Y180" i="29"/>
  <c r="AC180" i="29"/>
  <c r="AE169" i="29"/>
  <c r="AE206" i="29"/>
  <c r="AC194" i="29"/>
  <c r="AC206" i="29"/>
  <c r="AC169" i="29"/>
  <c r="AC157" i="29"/>
  <c r="AB182" i="29"/>
  <c r="AB194" i="29"/>
  <c r="AB206" i="29"/>
  <c r="AB169" i="29"/>
  <c r="C17"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B17" i="23"/>
  <c r="C16" i="23"/>
  <c r="D16"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B16" i="23"/>
  <c r="AB15" i="5"/>
  <c r="AC15" i="5"/>
  <c r="AD15" i="5"/>
  <c r="AE15" i="5"/>
  <c r="AG15" i="5"/>
  <c r="AH15" i="5"/>
  <c r="AI15" i="5"/>
  <c r="AJ15" i="5"/>
  <c r="AK15" i="5"/>
  <c r="AL15" i="5"/>
  <c r="AM15" i="5"/>
  <c r="AN15" i="5"/>
  <c r="AO15" i="5"/>
  <c r="AP15" i="5"/>
  <c r="AQ15" i="5"/>
  <c r="AR15" i="5"/>
  <c r="AS15" i="5"/>
  <c r="AT15" i="5"/>
  <c r="AU15" i="5"/>
  <c r="AV15" i="5"/>
  <c r="AW15" i="5"/>
  <c r="AB16" i="5"/>
  <c r="AC16" i="5"/>
  <c r="AG16" i="5"/>
  <c r="AH16" i="5"/>
  <c r="AI16" i="5"/>
  <c r="AJ16" i="5"/>
  <c r="AK16" i="5"/>
  <c r="AL16" i="5"/>
  <c r="AM16" i="5"/>
  <c r="AN16" i="5"/>
  <c r="AO16" i="5"/>
  <c r="AP16" i="5"/>
  <c r="AQ16" i="5"/>
  <c r="AR16" i="5"/>
  <c r="AS16" i="5"/>
  <c r="AT16" i="5"/>
  <c r="AU16" i="5"/>
  <c r="AV16" i="5"/>
  <c r="AW16" i="5"/>
  <c r="C15" i="5"/>
  <c r="D15" i="5"/>
  <c r="E15" i="5"/>
  <c r="F15" i="5"/>
  <c r="G15" i="5"/>
  <c r="H15" i="5"/>
  <c r="I15" i="5"/>
  <c r="J15" i="5"/>
  <c r="K15" i="5"/>
  <c r="L15" i="5"/>
  <c r="M15" i="5"/>
  <c r="N15" i="5"/>
  <c r="O15" i="5"/>
  <c r="P15" i="5"/>
  <c r="Q15" i="5"/>
  <c r="R15" i="5"/>
  <c r="S15" i="5"/>
  <c r="T15" i="5"/>
  <c r="U15" i="5"/>
  <c r="V15" i="5"/>
  <c r="W15" i="5"/>
  <c r="X15" i="5"/>
  <c r="Y15" i="5"/>
  <c r="Z15" i="5"/>
  <c r="AA15" i="5"/>
  <c r="B15" i="5"/>
  <c r="B16" i="5"/>
  <c r="C16" i="5"/>
  <c r="D16" i="5"/>
  <c r="E16" i="5"/>
  <c r="F16" i="5"/>
  <c r="G16" i="5"/>
  <c r="H16" i="5"/>
  <c r="I16" i="5"/>
  <c r="J16" i="5"/>
  <c r="K16" i="5"/>
  <c r="L16" i="5"/>
  <c r="M16" i="5"/>
  <c r="N16" i="5"/>
  <c r="O16" i="5"/>
  <c r="P16" i="5"/>
  <c r="Q16" i="5"/>
  <c r="R16" i="5"/>
  <c r="S16" i="5"/>
  <c r="T16" i="5"/>
  <c r="U16" i="5"/>
  <c r="V16" i="5"/>
  <c r="W16" i="5"/>
  <c r="X16" i="5"/>
  <c r="Y16" i="5"/>
  <c r="Z16" i="5"/>
  <c r="AA16" i="5"/>
  <c r="AB10" i="5"/>
  <c r="AC24" i="5"/>
  <c r="AC25" i="5" s="1"/>
  <c r="AD24" i="5"/>
  <c r="AD25" i="5" s="1"/>
  <c r="AE24" i="5"/>
  <c r="AE10" i="5" s="1"/>
  <c r="AF24" i="5"/>
  <c r="AF10" i="5" s="1"/>
  <c r="AG24" i="5"/>
  <c r="AG10" i="5" s="1"/>
  <c r="AH24" i="5"/>
  <c r="AH25" i="5" s="1"/>
  <c r="AI24" i="5"/>
  <c r="AI25" i="5" s="1"/>
  <c r="AJ24" i="5"/>
  <c r="AJ10" i="5" s="1"/>
  <c r="AK24" i="5"/>
  <c r="AK25" i="5" s="1"/>
  <c r="AL24" i="5"/>
  <c r="AL25" i="5" s="1"/>
  <c r="AM24" i="5"/>
  <c r="AM25" i="5" s="1"/>
  <c r="AN24" i="5"/>
  <c r="AN10" i="5" s="1"/>
  <c r="AO24" i="5"/>
  <c r="AO10" i="5" s="1"/>
  <c r="AP24" i="5"/>
  <c r="AP25" i="5" s="1"/>
  <c r="AQ24" i="5"/>
  <c r="AQ25" i="5" s="1"/>
  <c r="AR24" i="5"/>
  <c r="AR25" i="5" s="1"/>
  <c r="AS24" i="5"/>
  <c r="AS25" i="5" s="1"/>
  <c r="AT24" i="5"/>
  <c r="AT25" i="5" s="1"/>
  <c r="AU24" i="5"/>
  <c r="AU10" i="5" s="1"/>
  <c r="AV24" i="5"/>
  <c r="AV10" i="5" s="1"/>
  <c r="AW24" i="5"/>
  <c r="AW10" i="5" s="1"/>
  <c r="AB31" i="5"/>
  <c r="AC31" i="5"/>
  <c r="AD31" i="5"/>
  <c r="AE31" i="5"/>
  <c r="AF31" i="5"/>
  <c r="AG31" i="5"/>
  <c r="AH31" i="5"/>
  <c r="AI31" i="5"/>
  <c r="AJ31" i="5"/>
  <c r="AK31" i="5"/>
  <c r="AL31" i="5"/>
  <c r="AM31" i="5"/>
  <c r="AN31" i="5"/>
  <c r="AO31" i="5"/>
  <c r="AP31" i="5"/>
  <c r="AQ31" i="5"/>
  <c r="AR31" i="5"/>
  <c r="AS31" i="5"/>
  <c r="AT31" i="5"/>
  <c r="AU31" i="5"/>
  <c r="AV31" i="5"/>
  <c r="AW31" i="5"/>
  <c r="AB32" i="5"/>
  <c r="AC32" i="5"/>
  <c r="AD32" i="5"/>
  <c r="AE32" i="5"/>
  <c r="AF32" i="5"/>
  <c r="AG32" i="5"/>
  <c r="AH32" i="5"/>
  <c r="AI32" i="5"/>
  <c r="AJ32" i="5"/>
  <c r="AK32" i="5"/>
  <c r="AL32" i="5"/>
  <c r="AM32" i="5"/>
  <c r="AN32" i="5"/>
  <c r="AO32" i="5"/>
  <c r="AP32" i="5"/>
  <c r="AQ32" i="5"/>
  <c r="AR32" i="5"/>
  <c r="AS32" i="5"/>
  <c r="AT32" i="5"/>
  <c r="AU32" i="5"/>
  <c r="AV32" i="5"/>
  <c r="AW32" i="5"/>
  <c r="AA31" i="5"/>
  <c r="AA32" i="5"/>
  <c r="AA24" i="5"/>
  <c r="AA10" i="5" s="1"/>
  <c r="AU25" i="5" l="1"/>
  <c r="AE25" i="5"/>
  <c r="AJ25" i="5"/>
  <c r="AR10" i="5"/>
  <c r="AA25" i="5"/>
  <c r="AM10" i="5"/>
  <c r="AD10" i="5"/>
  <c r="AB25" i="5"/>
  <c r="AK10" i="5"/>
  <c r="AC10" i="5"/>
  <c r="AN25" i="5"/>
  <c r="AS10" i="5"/>
  <c r="AO25" i="5"/>
  <c r="AP10" i="5"/>
  <c r="AH10" i="5"/>
  <c r="AI10" i="5"/>
  <c r="AW25" i="5"/>
  <c r="AG25" i="5"/>
  <c r="AQ10" i="5"/>
  <c r="AV25" i="5"/>
  <c r="AF25" i="5"/>
  <c r="AT10" i="5"/>
  <c r="AL10" i="5"/>
  <c r="AB446" i="12" l="1"/>
  <c r="AA427" i="12"/>
  <c r="AA412" i="12"/>
  <c r="AA401" i="12"/>
  <c r="AA390" i="12"/>
  <c r="Y390" i="12"/>
  <c r="W390" i="12"/>
  <c r="X390" i="12"/>
  <c r="Z390" i="12"/>
  <c r="AA379" i="12"/>
  <c r="AA348" i="12"/>
  <c r="AA337" i="12"/>
  <c r="AA326" i="12"/>
  <c r="AA315" i="12"/>
  <c r="AA304" i="12"/>
  <c r="AA368" i="12"/>
  <c r="H24" i="16" l="1"/>
  <c r="H25" i="16"/>
  <c r="H26" i="16"/>
  <c r="H27" i="16"/>
  <c r="H28" i="16"/>
  <c r="H29" i="16"/>
  <c r="H30" i="16"/>
  <c r="H31" i="16"/>
  <c r="H32" i="16"/>
  <c r="H33" i="16"/>
  <c r="H34" i="16"/>
  <c r="H23" i="16"/>
  <c r="H12" i="16"/>
  <c r="H13" i="16"/>
  <c r="H14" i="16"/>
  <c r="H15" i="16"/>
  <c r="H16" i="16"/>
  <c r="H17" i="16"/>
  <c r="H18" i="16"/>
  <c r="H19" i="16"/>
  <c r="H20" i="16"/>
  <c r="H21" i="16"/>
  <c r="H22" i="16"/>
  <c r="H11" i="16"/>
  <c r="H24" i="15"/>
  <c r="H25" i="15"/>
  <c r="H26" i="15"/>
  <c r="H27" i="15"/>
  <c r="H28" i="15"/>
  <c r="H29" i="15"/>
  <c r="H30" i="15"/>
  <c r="H31" i="15"/>
  <c r="H32" i="15"/>
  <c r="H33" i="15"/>
  <c r="H34" i="15"/>
  <c r="H23" i="15"/>
  <c r="H12" i="15"/>
  <c r="H13" i="15"/>
  <c r="H14" i="15"/>
  <c r="H15" i="15"/>
  <c r="H16" i="15"/>
  <c r="H17" i="15"/>
  <c r="H18" i="15"/>
  <c r="H19" i="15"/>
  <c r="H20" i="15"/>
  <c r="H21" i="15"/>
  <c r="H22" i="15"/>
  <c r="H11" i="15"/>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35" i="16"/>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35" i="15"/>
  <c r="D112" i="8" l="1"/>
  <c r="C196" i="29" l="1"/>
  <c r="D196" i="29"/>
  <c r="E196" i="29"/>
  <c r="F196" i="29"/>
  <c r="G196" i="29"/>
  <c r="H196" i="29"/>
  <c r="I196" i="29"/>
  <c r="J196" i="29"/>
  <c r="K196" i="29"/>
  <c r="L196" i="29"/>
  <c r="M196" i="29"/>
  <c r="N196" i="29"/>
  <c r="O196" i="29"/>
  <c r="P196" i="29"/>
  <c r="Q196" i="29"/>
  <c r="R196" i="29"/>
  <c r="S196" i="29"/>
  <c r="T196" i="29"/>
  <c r="U196" i="29"/>
  <c r="V196" i="29"/>
  <c r="W196" i="29"/>
  <c r="X196" i="29"/>
  <c r="Y196" i="29"/>
  <c r="Z196" i="29"/>
  <c r="AA196" i="29"/>
  <c r="AB196" i="29"/>
  <c r="AC196" i="29"/>
  <c r="AD196" i="29"/>
  <c r="AE196" i="29"/>
  <c r="AF196" i="29"/>
  <c r="AG196" i="29"/>
  <c r="AH196" i="29"/>
  <c r="AI196" i="29"/>
  <c r="AJ196" i="29"/>
  <c r="AK196" i="29"/>
  <c r="AL196" i="29"/>
  <c r="AM196" i="29"/>
  <c r="AN196" i="29"/>
  <c r="AO196" i="29"/>
  <c r="AP196" i="29"/>
  <c r="AQ196" i="29"/>
  <c r="AR196" i="29"/>
  <c r="AS196" i="29"/>
  <c r="AT196" i="29"/>
  <c r="AU196" i="29"/>
  <c r="AV196" i="29"/>
  <c r="AW196" i="29"/>
  <c r="B196" i="29"/>
  <c r="X206" i="29"/>
  <c r="Y206" i="29"/>
  <c r="V206" i="29"/>
  <c r="M206" i="29"/>
  <c r="C208" i="29"/>
  <c r="D208" i="29"/>
  <c r="E208" i="29"/>
  <c r="F208" i="29"/>
  <c r="G208" i="29"/>
  <c r="H208" i="29"/>
  <c r="I208" i="29"/>
  <c r="J208" i="29"/>
  <c r="K208" i="29"/>
  <c r="L208" i="29"/>
  <c r="M208" i="29"/>
  <c r="N208" i="29"/>
  <c r="O208" i="29"/>
  <c r="P208" i="29"/>
  <c r="Q208" i="29"/>
  <c r="R208" i="29"/>
  <c r="S208" i="29"/>
  <c r="T208" i="29"/>
  <c r="U208" i="29"/>
  <c r="V208" i="29"/>
  <c r="W208" i="29"/>
  <c r="X208" i="29"/>
  <c r="Y208" i="29"/>
  <c r="Z208" i="29"/>
  <c r="AA208" i="29"/>
  <c r="AB208" i="29"/>
  <c r="AC208" i="29"/>
  <c r="AD208" i="29"/>
  <c r="AE208" i="29"/>
  <c r="AF208" i="29"/>
  <c r="AG208" i="29"/>
  <c r="AH208" i="29"/>
  <c r="AI208" i="29"/>
  <c r="AJ208" i="29"/>
  <c r="AK208" i="29"/>
  <c r="AL208" i="29"/>
  <c r="AM208" i="29"/>
  <c r="AN208" i="29"/>
  <c r="AO208" i="29"/>
  <c r="AP208" i="29"/>
  <c r="AQ208" i="29"/>
  <c r="AR208" i="29"/>
  <c r="AS208" i="29"/>
  <c r="AT208" i="29"/>
  <c r="AU208" i="29"/>
  <c r="AV208" i="29"/>
  <c r="AW208" i="29"/>
  <c r="B208" i="29"/>
  <c r="D206" i="29"/>
  <c r="E206" i="29"/>
  <c r="F206" i="29"/>
  <c r="G206" i="29"/>
  <c r="H206" i="29"/>
  <c r="I206" i="29"/>
  <c r="J206" i="29"/>
  <c r="K206" i="29"/>
  <c r="L206" i="29"/>
  <c r="N206" i="29"/>
  <c r="O206" i="29"/>
  <c r="P206" i="29"/>
  <c r="Q206" i="29"/>
  <c r="R206" i="29"/>
  <c r="S206" i="29"/>
  <c r="T206" i="29"/>
  <c r="U206" i="29"/>
  <c r="W206" i="29"/>
  <c r="Z206" i="29"/>
  <c r="AA206" i="29"/>
  <c r="C206" i="29"/>
  <c r="Q194" i="29"/>
  <c r="R194" i="29"/>
  <c r="V194" i="29"/>
  <c r="X194" i="29"/>
  <c r="Y194" i="29"/>
  <c r="AA194" i="29"/>
  <c r="D194" i="29"/>
  <c r="E194" i="29"/>
  <c r="F194" i="29"/>
  <c r="G194" i="29"/>
  <c r="H194" i="29"/>
  <c r="I194" i="29"/>
  <c r="J194" i="29"/>
  <c r="K194" i="29"/>
  <c r="L194" i="29"/>
  <c r="M194" i="29"/>
  <c r="N194" i="29"/>
  <c r="O194" i="29"/>
  <c r="P194" i="29"/>
  <c r="S194" i="29"/>
  <c r="T194" i="29"/>
  <c r="U194" i="29"/>
  <c r="W194" i="29"/>
  <c r="Z194" i="29"/>
  <c r="C194" i="29"/>
  <c r="C184" i="29"/>
  <c r="D184" i="29"/>
  <c r="E184" i="29"/>
  <c r="F184" i="29"/>
  <c r="G184" i="29"/>
  <c r="H184" i="29"/>
  <c r="I184" i="29"/>
  <c r="J184" i="29"/>
  <c r="K184" i="29"/>
  <c r="L184"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B184" i="29"/>
  <c r="Y182" i="29"/>
  <c r="X182" i="29"/>
  <c r="V182" i="29"/>
  <c r="O182" i="29"/>
  <c r="N182" i="29"/>
  <c r="M182" i="29"/>
  <c r="L182" i="29"/>
  <c r="K182" i="29"/>
  <c r="H182" i="29"/>
  <c r="C182" i="29"/>
  <c r="D182" i="29"/>
  <c r="E182" i="29"/>
  <c r="F182" i="29"/>
  <c r="G182" i="29"/>
  <c r="I182" i="29"/>
  <c r="J182" i="29"/>
  <c r="P182" i="29"/>
  <c r="Q182" i="29"/>
  <c r="R182" i="29"/>
  <c r="S182" i="29"/>
  <c r="T182" i="29"/>
  <c r="U182" i="29"/>
  <c r="W182" i="29"/>
  <c r="Z182" i="29"/>
  <c r="AA182" i="29"/>
  <c r="P169" i="29"/>
  <c r="C171" i="29"/>
  <c r="D171" i="29"/>
  <c r="E171" i="29"/>
  <c r="F171" i="29"/>
  <c r="G171" i="29"/>
  <c r="H171" i="29"/>
  <c r="I171" i="29"/>
  <c r="J171" i="29"/>
  <c r="K171" i="29"/>
  <c r="L171" i="29"/>
  <c r="M171" i="29"/>
  <c r="N171"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AL171" i="29"/>
  <c r="AM171" i="29"/>
  <c r="AN171" i="29"/>
  <c r="AO171" i="29"/>
  <c r="AP171" i="29"/>
  <c r="AQ171" i="29"/>
  <c r="AR171" i="29"/>
  <c r="AS171" i="29"/>
  <c r="AT171" i="29"/>
  <c r="AU171" i="29"/>
  <c r="AV171" i="29"/>
  <c r="AW171" i="29"/>
  <c r="B171" i="29"/>
  <c r="D169" i="29"/>
  <c r="E169" i="29"/>
  <c r="F169" i="29"/>
  <c r="G169" i="29"/>
  <c r="H169" i="29"/>
  <c r="I169" i="29"/>
  <c r="J169" i="29"/>
  <c r="K169" i="29"/>
  <c r="M169" i="29"/>
  <c r="N169" i="29"/>
  <c r="O169" i="29"/>
  <c r="Q169" i="29"/>
  <c r="R169" i="29"/>
  <c r="S169" i="29"/>
  <c r="T169" i="29"/>
  <c r="U169" i="29"/>
  <c r="V169" i="29"/>
  <c r="W169" i="29"/>
  <c r="X169" i="29"/>
  <c r="Y169" i="29"/>
  <c r="Z169" i="29"/>
  <c r="AA169" i="29"/>
  <c r="C169" i="29"/>
  <c r="C159" i="29"/>
  <c r="D159" i="29"/>
  <c r="E159" i="29"/>
  <c r="F159" i="29"/>
  <c r="G159" i="29"/>
  <c r="H159" i="29"/>
  <c r="I159" i="29"/>
  <c r="J159" i="29"/>
  <c r="K159" i="29"/>
  <c r="L159"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B159" i="29"/>
  <c r="V157" i="29"/>
  <c r="Y157" i="29"/>
  <c r="D157" i="29"/>
  <c r="E157" i="29"/>
  <c r="F157" i="29"/>
  <c r="G157" i="29"/>
  <c r="H157" i="29"/>
  <c r="I157" i="29"/>
  <c r="J157" i="29"/>
  <c r="K157" i="29"/>
  <c r="L157" i="29"/>
  <c r="M157" i="29"/>
  <c r="N157" i="29"/>
  <c r="O157" i="29"/>
  <c r="P157" i="29"/>
  <c r="Q157" i="29"/>
  <c r="R157" i="29"/>
  <c r="S157" i="29"/>
  <c r="T157" i="29"/>
  <c r="U157" i="29"/>
  <c r="W157" i="29"/>
  <c r="X157" i="29"/>
  <c r="Z157" i="29"/>
  <c r="AA157" i="29"/>
  <c r="C157" i="29"/>
  <c r="AA141" i="10"/>
  <c r="AA140" i="10"/>
  <c r="AA139" i="10"/>
  <c r="AA138" i="10"/>
  <c r="AA137" i="10"/>
  <c r="AA136" i="10"/>
  <c r="AA135" i="10"/>
  <c r="AA134" i="10"/>
  <c r="AA133" i="10"/>
  <c r="AA132" i="10"/>
  <c r="B185" i="29" l="1"/>
  <c r="B186" i="29" s="1"/>
  <c r="Q187" i="29" s="1"/>
  <c r="B172" i="29"/>
  <c r="B173" i="29" s="1"/>
  <c r="P175" i="29" s="1"/>
  <c r="B197" i="29"/>
  <c r="B198" i="29" s="1"/>
  <c r="AP199" i="29" s="1"/>
  <c r="B160" i="29"/>
  <c r="B161" i="29" s="1"/>
  <c r="E162" i="29" s="1"/>
  <c r="B209" i="29"/>
  <c r="B210" i="29" s="1"/>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B32" i="29"/>
  <c r="Y30" i="29"/>
  <c r="V30" i="29"/>
  <c r="L30" i="29"/>
  <c r="C30" i="29"/>
  <c r="D30" i="29"/>
  <c r="E30" i="29"/>
  <c r="F30" i="29"/>
  <c r="G30" i="29"/>
  <c r="H30" i="29"/>
  <c r="I30" i="29"/>
  <c r="J30" i="29"/>
  <c r="K30" i="29"/>
  <c r="M30" i="29"/>
  <c r="N30" i="29"/>
  <c r="O30" i="29"/>
  <c r="P30" i="29"/>
  <c r="Q30" i="29"/>
  <c r="R30" i="29"/>
  <c r="S30" i="29"/>
  <c r="T30" i="29"/>
  <c r="U30" i="29"/>
  <c r="W30" i="29"/>
  <c r="X30" i="29"/>
  <c r="Z30" i="29"/>
  <c r="AA30" i="29"/>
  <c r="Z205" i="29"/>
  <c r="AA205" i="29"/>
  <c r="AB205" i="29"/>
  <c r="AC205" i="29"/>
  <c r="AD205" i="29"/>
  <c r="AE205" i="29"/>
  <c r="AF205" i="29"/>
  <c r="AG205" i="29"/>
  <c r="AH205" i="29"/>
  <c r="AI205" i="29"/>
  <c r="AJ205" i="29"/>
  <c r="AK205" i="29"/>
  <c r="AL205" i="29"/>
  <c r="AM205" i="29"/>
  <c r="AN205" i="29"/>
  <c r="AO205" i="29"/>
  <c r="AP205" i="29"/>
  <c r="AQ205" i="29"/>
  <c r="AR205" i="29"/>
  <c r="AS205" i="29"/>
  <c r="AT205" i="29"/>
  <c r="AU205" i="29"/>
  <c r="AV205" i="29"/>
  <c r="AW205" i="29"/>
  <c r="Y205" i="29"/>
  <c r="O204" i="29"/>
  <c r="P204" i="29"/>
  <c r="Q204" i="29"/>
  <c r="R204" i="29"/>
  <c r="S204" i="29"/>
  <c r="T204" i="29"/>
  <c r="U204" i="29"/>
  <c r="V204" i="29"/>
  <c r="W204" i="29"/>
  <c r="X204" i="29"/>
  <c r="Y204" i="29"/>
  <c r="N204" i="29"/>
  <c r="C203" i="29"/>
  <c r="D203" i="29"/>
  <c r="E203" i="29"/>
  <c r="F203" i="29"/>
  <c r="G203" i="29"/>
  <c r="H203" i="29"/>
  <c r="I203" i="29"/>
  <c r="J203" i="29"/>
  <c r="K203" i="29"/>
  <c r="L203" i="29"/>
  <c r="M203" i="29"/>
  <c r="B203" i="29"/>
  <c r="Z193" i="29"/>
  <c r="AA193" i="29"/>
  <c r="AB193" i="29"/>
  <c r="AC193" i="29"/>
  <c r="AD193" i="29"/>
  <c r="AE193" i="29"/>
  <c r="AF193" i="29"/>
  <c r="AG193" i="29"/>
  <c r="AH193" i="29"/>
  <c r="AI193" i="29"/>
  <c r="AJ193" i="29"/>
  <c r="AK193" i="29"/>
  <c r="AL193" i="29"/>
  <c r="AM193" i="29"/>
  <c r="AN193" i="29"/>
  <c r="AO193" i="29"/>
  <c r="AP193" i="29"/>
  <c r="AQ193" i="29"/>
  <c r="AR193" i="29"/>
  <c r="AS193" i="29"/>
  <c r="AT193" i="29"/>
  <c r="AU193" i="29"/>
  <c r="AV193" i="29"/>
  <c r="AW193" i="29"/>
  <c r="Y193" i="29"/>
  <c r="O192" i="29"/>
  <c r="P192" i="29"/>
  <c r="Q192" i="29"/>
  <c r="R192" i="29"/>
  <c r="S192" i="29"/>
  <c r="T192" i="29"/>
  <c r="U192" i="29"/>
  <c r="V192" i="29"/>
  <c r="W192" i="29"/>
  <c r="X192" i="29"/>
  <c r="Y192" i="29"/>
  <c r="N192" i="29"/>
  <c r="O155" i="29"/>
  <c r="P155" i="29"/>
  <c r="Q155" i="29"/>
  <c r="R155" i="29"/>
  <c r="S155" i="29"/>
  <c r="T155" i="29"/>
  <c r="U155" i="29"/>
  <c r="V155" i="29"/>
  <c r="W155" i="29"/>
  <c r="X155" i="29"/>
  <c r="Y155" i="29"/>
  <c r="C154" i="29"/>
  <c r="D154" i="29"/>
  <c r="E154" i="29"/>
  <c r="F154" i="29"/>
  <c r="G154" i="29"/>
  <c r="H154" i="29"/>
  <c r="I154" i="29"/>
  <c r="J154" i="29"/>
  <c r="K154" i="29"/>
  <c r="L154" i="29"/>
  <c r="M154" i="29"/>
  <c r="B154" i="29"/>
  <c r="D191" i="29"/>
  <c r="E191" i="29"/>
  <c r="F191" i="29"/>
  <c r="I191" i="29"/>
  <c r="J191" i="29"/>
  <c r="M191" i="29"/>
  <c r="B191" i="29"/>
  <c r="O179" i="29"/>
  <c r="R179" i="29"/>
  <c r="F178" i="29"/>
  <c r="I178" i="29"/>
  <c r="B178" i="29"/>
  <c r="O167" i="29"/>
  <c r="P167" i="29"/>
  <c r="Q167" i="29"/>
  <c r="R167" i="29"/>
  <c r="S167" i="29"/>
  <c r="T167" i="29"/>
  <c r="U167" i="29"/>
  <c r="V167" i="29"/>
  <c r="W167" i="29"/>
  <c r="X167" i="29"/>
  <c r="Y167" i="29"/>
  <c r="N167" i="29"/>
  <c r="AB24" i="29"/>
  <c r="AC24" i="29"/>
  <c r="AD24" i="29"/>
  <c r="AE24" i="29"/>
  <c r="AF24" i="29"/>
  <c r="AG24" i="29"/>
  <c r="AH24" i="29"/>
  <c r="AI24" i="29"/>
  <c r="AJ24" i="29"/>
  <c r="AK24" i="29"/>
  <c r="AL24" i="29"/>
  <c r="AM24" i="29"/>
  <c r="AN24" i="29"/>
  <c r="AO24" i="29"/>
  <c r="AP24" i="29"/>
  <c r="AQ24" i="29"/>
  <c r="AR24" i="29"/>
  <c r="AS24" i="29"/>
  <c r="AT24" i="29"/>
  <c r="AU24" i="29"/>
  <c r="AV24" i="29"/>
  <c r="AW24" i="29"/>
  <c r="Z24" i="29"/>
  <c r="AA24" i="29"/>
  <c r="Y24" i="29"/>
  <c r="U23" i="29"/>
  <c r="V23" i="29"/>
  <c r="W23" i="29"/>
  <c r="X23" i="29"/>
  <c r="T23" i="29"/>
  <c r="R22" i="29"/>
  <c r="Q22" i="29"/>
  <c r="P22" i="29"/>
  <c r="O22" i="29"/>
  <c r="L21" i="29"/>
  <c r="K21" i="29"/>
  <c r="J21" i="29"/>
  <c r="I21" i="29"/>
  <c r="H21" i="29"/>
  <c r="G20" i="29"/>
  <c r="F20" i="29"/>
  <c r="E20" i="29"/>
  <c r="D20" i="29"/>
  <c r="C20" i="29"/>
  <c r="Z27" i="29"/>
  <c r="AA27" i="29"/>
  <c r="Y27" i="29"/>
  <c r="O26" i="29"/>
  <c r="P26" i="29"/>
  <c r="Q26" i="29"/>
  <c r="R26" i="29"/>
  <c r="S26" i="29"/>
  <c r="T26" i="29"/>
  <c r="U26" i="29"/>
  <c r="V26" i="29"/>
  <c r="W26" i="29"/>
  <c r="X26" i="29"/>
  <c r="Y26" i="29"/>
  <c r="N26" i="29"/>
  <c r="C152" i="29"/>
  <c r="D152" i="29"/>
  <c r="E152" i="29"/>
  <c r="F152" i="29"/>
  <c r="G152" i="29"/>
  <c r="H152" i="29"/>
  <c r="I152" i="29"/>
  <c r="J152" i="29"/>
  <c r="K152" i="29"/>
  <c r="L152"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B152" i="29"/>
  <c r="C25" i="29"/>
  <c r="D25" i="29"/>
  <c r="E25" i="29"/>
  <c r="F25" i="29"/>
  <c r="G25" i="29"/>
  <c r="H25" i="29"/>
  <c r="I25" i="29"/>
  <c r="J25" i="29"/>
  <c r="K25" i="29"/>
  <c r="L25" i="29"/>
  <c r="M25" i="29"/>
  <c r="B25" i="29"/>
  <c r="AM199" i="29" l="1"/>
  <c r="M162" i="29"/>
  <c r="AC199" i="29"/>
  <c r="Y200" i="29"/>
  <c r="I162" i="29"/>
  <c r="F199" i="29"/>
  <c r="Q162" i="29"/>
  <c r="C174" i="29"/>
  <c r="V175" i="29"/>
  <c r="AU175" i="29"/>
  <c r="AO174" i="29"/>
  <c r="AW175" i="29"/>
  <c r="G162" i="29"/>
  <c r="F175" i="29"/>
  <c r="AH175" i="29"/>
  <c r="AV175" i="29"/>
  <c r="Y175" i="29"/>
  <c r="AE175" i="29"/>
  <c r="K175" i="29"/>
  <c r="AQ174" i="29"/>
  <c r="O174" i="29"/>
  <c r="R174" i="29"/>
  <c r="AQ175" i="29"/>
  <c r="AD174" i="29"/>
  <c r="AJ175" i="29"/>
  <c r="AM175" i="29"/>
  <c r="S175" i="29"/>
  <c r="S174" i="29"/>
  <c r="AD175" i="29"/>
  <c r="T175" i="29"/>
  <c r="AT175" i="29"/>
  <c r="N174" i="29"/>
  <c r="Q175" i="29"/>
  <c r="O175" i="29"/>
  <c r="C175" i="29"/>
  <c r="Z200" i="29"/>
  <c r="E174" i="29"/>
  <c r="I174" i="29"/>
  <c r="AK174" i="29"/>
  <c r="Y174" i="29"/>
  <c r="AP174" i="29"/>
  <c r="AV174" i="29"/>
  <c r="AB174" i="29"/>
  <c r="G174" i="29"/>
  <c r="AE174" i="29"/>
  <c r="AS174" i="29"/>
  <c r="AR175" i="29"/>
  <c r="M174" i="29"/>
  <c r="I175" i="29"/>
  <c r="AJ174" i="29"/>
  <c r="AG174" i="29"/>
  <c r="AT174" i="29"/>
  <c r="V174" i="29"/>
  <c r="AW174" i="29"/>
  <c r="B174" i="29"/>
  <c r="AH174" i="29"/>
  <c r="AF174" i="29"/>
  <c r="T174" i="29"/>
  <c r="U174" i="29"/>
  <c r="F174" i="29"/>
  <c r="Z175" i="29"/>
  <c r="AS175" i="29"/>
  <c r="AK175" i="29"/>
  <c r="M175" i="29"/>
  <c r="AU174" i="29"/>
  <c r="L175" i="29"/>
  <c r="Z174" i="29"/>
  <c r="H174" i="29"/>
  <c r="L174" i="29"/>
  <c r="AB175" i="29"/>
  <c r="AL188" i="29"/>
  <c r="W188" i="29"/>
  <c r="AS188" i="29"/>
  <c r="AQ188" i="29"/>
  <c r="U188" i="29"/>
  <c r="C188" i="29"/>
  <c r="AF187" i="29"/>
  <c r="AI188" i="29"/>
  <c r="Y188" i="29"/>
  <c r="G187" i="29"/>
  <c r="J188" i="29"/>
  <c r="AA187" i="29"/>
  <c r="T188" i="29"/>
  <c r="AK187" i="29"/>
  <c r="D187" i="29"/>
  <c r="AL187" i="29"/>
  <c r="AF188" i="29"/>
  <c r="AE188" i="29"/>
  <c r="AT187" i="29"/>
  <c r="AN187" i="29"/>
  <c r="R187" i="29"/>
  <c r="O187" i="29"/>
  <c r="R188" i="29"/>
  <c r="AI187" i="29"/>
  <c r="AB188" i="29"/>
  <c r="AS187" i="29"/>
  <c r="AI174" i="29"/>
  <c r="AF175" i="29"/>
  <c r="F188" i="29"/>
  <c r="AL174" i="29"/>
  <c r="AA174" i="29"/>
  <c r="J174" i="29"/>
  <c r="AN174" i="29"/>
  <c r="W175" i="29"/>
  <c r="D174" i="29"/>
  <c r="AP175" i="29"/>
  <c r="AU188" i="29"/>
  <c r="S188" i="29"/>
  <c r="Q188" i="29"/>
  <c r="AG187" i="29"/>
  <c r="N187" i="29"/>
  <c r="F187" i="29"/>
  <c r="AD187" i="29"/>
  <c r="AP187" i="29"/>
  <c r="AL175" i="29"/>
  <c r="AN175" i="29"/>
  <c r="U187" i="29"/>
  <c r="J187" i="29"/>
  <c r="I187" i="29"/>
  <c r="P188" i="29"/>
  <c r="AR187" i="29"/>
  <c r="S187" i="29"/>
  <c r="W187" i="29"/>
  <c r="Z188" i="29"/>
  <c r="AQ187" i="29"/>
  <c r="AJ188" i="29"/>
  <c r="G188" i="29"/>
  <c r="E188" i="29"/>
  <c r="I188" i="29"/>
  <c r="AN188" i="29"/>
  <c r="N188" i="29"/>
  <c r="AE187" i="29"/>
  <c r="AH188" i="29"/>
  <c r="B187" i="29"/>
  <c r="AR188" i="29"/>
  <c r="E175" i="29"/>
  <c r="AM174" i="29"/>
  <c r="K174" i="29"/>
  <c r="H175" i="29"/>
  <c r="AC174" i="29"/>
  <c r="AO175" i="29"/>
  <c r="X174" i="29"/>
  <c r="G175" i="29"/>
  <c r="AI175" i="29"/>
  <c r="AB187" i="29"/>
  <c r="AW187" i="29"/>
  <c r="AV187" i="29"/>
  <c r="AO187" i="29"/>
  <c r="H187" i="29"/>
  <c r="B188" i="29"/>
  <c r="AA188" i="29"/>
  <c r="M188" i="29"/>
  <c r="N175" i="29"/>
  <c r="K187" i="29"/>
  <c r="Z187" i="29"/>
  <c r="Y187" i="29"/>
  <c r="AT188" i="29"/>
  <c r="L188" i="29"/>
  <c r="H188" i="29"/>
  <c r="T187" i="29"/>
  <c r="V188" i="29"/>
  <c r="AM187" i="29"/>
  <c r="AP188" i="29"/>
  <c r="E187" i="29"/>
  <c r="R175" i="29"/>
  <c r="X175" i="29"/>
  <c r="W174" i="29"/>
  <c r="U175" i="29"/>
  <c r="J175" i="29"/>
  <c r="B175" i="29"/>
  <c r="AG175" i="29"/>
  <c r="P174" i="29"/>
  <c r="AR174" i="29"/>
  <c r="AA175" i="29"/>
  <c r="AW188" i="29"/>
  <c r="AJ187" i="29"/>
  <c r="AH187" i="29"/>
  <c r="AK188" i="29"/>
  <c r="AO188" i="29"/>
  <c r="L187" i="29"/>
  <c r="O188" i="29"/>
  <c r="AJ200" i="29"/>
  <c r="D175" i="29"/>
  <c r="Q174" i="29"/>
  <c r="AM188" i="29"/>
  <c r="D188" i="29"/>
  <c r="K188" i="29"/>
  <c r="AC187" i="29"/>
  <c r="AD188" i="29"/>
  <c r="AU187" i="29"/>
  <c r="C187" i="29"/>
  <c r="M187" i="29"/>
  <c r="X188" i="29"/>
  <c r="X187" i="29"/>
  <c r="V187" i="29"/>
  <c r="AV188" i="29"/>
  <c r="AC188" i="29"/>
  <c r="AG188" i="29"/>
  <c r="P187" i="29"/>
  <c r="AJ212" i="29"/>
  <c r="AS211" i="29"/>
  <c r="AK212" i="29"/>
  <c r="AT211" i="29"/>
  <c r="AV212" i="29"/>
  <c r="I212" i="29"/>
  <c r="R211" i="29"/>
  <c r="B212" i="29"/>
  <c r="K211" i="29"/>
  <c r="S212" i="29"/>
  <c r="AB211" i="29"/>
  <c r="O212" i="29"/>
  <c r="AN211" i="29"/>
  <c r="G212" i="29"/>
  <c r="C212" i="29"/>
  <c r="U212" i="29"/>
  <c r="AF212" i="29"/>
  <c r="Y212" i="29"/>
  <c r="AP212" i="29"/>
  <c r="AI212" i="29"/>
  <c r="AT212" i="29"/>
  <c r="AR212" i="29"/>
  <c r="M212" i="29"/>
  <c r="V211" i="29"/>
  <c r="E212" i="29"/>
  <c r="I211" i="29"/>
  <c r="Q212" i="29"/>
  <c r="Z211" i="29"/>
  <c r="AH212" i="29"/>
  <c r="S211" i="29"/>
  <c r="AA212" i="29"/>
  <c r="AJ211" i="29"/>
  <c r="O211" i="29"/>
  <c r="H211" i="29"/>
  <c r="W211" i="29"/>
  <c r="E211" i="29"/>
  <c r="AD211" i="29"/>
  <c r="Q211" i="29"/>
  <c r="AH211" i="29"/>
  <c r="B211" i="29"/>
  <c r="AR211" i="29"/>
  <c r="AM212" i="29"/>
  <c r="AV211" i="29"/>
  <c r="AD212" i="29"/>
  <c r="K212" i="29"/>
  <c r="AW211" i="29"/>
  <c r="AL212" i="29"/>
  <c r="C211" i="29"/>
  <c r="AB212" i="29"/>
  <c r="L199" i="29"/>
  <c r="U200" i="29"/>
  <c r="AN199" i="29"/>
  <c r="G199" i="29"/>
  <c r="V200" i="29"/>
  <c r="AU212" i="29"/>
  <c r="AF211" i="29"/>
  <c r="AL211" i="29"/>
  <c r="U199" i="29"/>
  <c r="AJ199" i="29"/>
  <c r="AB200" i="29"/>
  <c r="AI200" i="29"/>
  <c r="H199" i="29"/>
  <c r="W200" i="29"/>
  <c r="AE211" i="29"/>
  <c r="M211" i="29"/>
  <c r="B33" i="29"/>
  <c r="B34" i="29" s="1"/>
  <c r="G36" i="29" s="1"/>
  <c r="AN212" i="29"/>
  <c r="AC200" i="29"/>
  <c r="AH200" i="29"/>
  <c r="R199" i="29"/>
  <c r="B199" i="29"/>
  <c r="AD200" i="29"/>
  <c r="N199" i="29"/>
  <c r="AT199" i="29"/>
  <c r="AE200" i="29"/>
  <c r="O199" i="29"/>
  <c r="AU199" i="29"/>
  <c r="AF200" i="29"/>
  <c r="P199" i="29"/>
  <c r="AV199" i="29"/>
  <c r="AG200" i="29"/>
  <c r="T200" i="29"/>
  <c r="E199" i="29"/>
  <c r="AG199" i="29"/>
  <c r="K199" i="29"/>
  <c r="D200" i="29"/>
  <c r="T199" i="29"/>
  <c r="AB199" i="29"/>
  <c r="AS199" i="29"/>
  <c r="AA200" i="29"/>
  <c r="D199" i="29"/>
  <c r="AV200" i="29"/>
  <c r="L200" i="29"/>
  <c r="AQ199" i="29"/>
  <c r="AI199" i="29"/>
  <c r="M199" i="29"/>
  <c r="C199" i="29"/>
  <c r="J200" i="29"/>
  <c r="AP200" i="29"/>
  <c r="Z199" i="29"/>
  <c r="F200" i="29"/>
  <c r="AL200" i="29"/>
  <c r="V199" i="29"/>
  <c r="G200" i="29"/>
  <c r="AM200" i="29"/>
  <c r="W199" i="29"/>
  <c r="H200" i="29"/>
  <c r="AN200" i="29"/>
  <c r="X199" i="29"/>
  <c r="I200" i="29"/>
  <c r="AO200" i="29"/>
  <c r="AQ200" i="29"/>
  <c r="Y199" i="29"/>
  <c r="S199" i="29"/>
  <c r="AA199" i="29"/>
  <c r="AS200" i="29"/>
  <c r="S200" i="29"/>
  <c r="AR199" i="29"/>
  <c r="C200" i="29"/>
  <c r="E200" i="29"/>
  <c r="AK199" i="29"/>
  <c r="K200" i="29"/>
  <c r="R200" i="29"/>
  <c r="B200" i="29"/>
  <c r="AH199" i="29"/>
  <c r="N200" i="29"/>
  <c r="AT200" i="29"/>
  <c r="AD199" i="29"/>
  <c r="O200" i="29"/>
  <c r="AU200" i="29"/>
  <c r="AE199" i="29"/>
  <c r="P200" i="29"/>
  <c r="AF199" i="29"/>
  <c r="Q200" i="29"/>
  <c r="AW200" i="29"/>
  <c r="AO199" i="29"/>
  <c r="M200" i="29"/>
  <c r="AK200" i="29"/>
  <c r="AR200" i="29"/>
  <c r="AP211" i="29"/>
  <c r="W212" i="29"/>
  <c r="T211" i="29"/>
  <c r="AG212" i="29"/>
  <c r="AC212" i="29"/>
  <c r="AW199" i="29"/>
  <c r="Q199" i="29"/>
  <c r="I199" i="29"/>
  <c r="X200" i="29"/>
  <c r="AL199" i="29"/>
  <c r="J199" i="29"/>
  <c r="AC175" i="29"/>
  <c r="AC163" i="29"/>
  <c r="I163" i="29"/>
  <c r="U163" i="29"/>
  <c r="AH163" i="29"/>
  <c r="AU163" i="29"/>
  <c r="L162" i="29"/>
  <c r="Z162" i="29"/>
  <c r="AL162" i="29"/>
  <c r="B162" i="29"/>
  <c r="J163" i="29"/>
  <c r="AW163" i="29"/>
  <c r="AA162" i="29"/>
  <c r="AN162" i="29"/>
  <c r="M163" i="29"/>
  <c r="AM163" i="29"/>
  <c r="AD162" i="29"/>
  <c r="F162" i="29"/>
  <c r="T162" i="29"/>
  <c r="W163" i="29"/>
  <c r="AI163" i="29"/>
  <c r="N162" i="29"/>
  <c r="Z163" i="29"/>
  <c r="R162" i="29"/>
  <c r="AQ162" i="29"/>
  <c r="AA163" i="29"/>
  <c r="AF162" i="29"/>
  <c r="C163" i="29"/>
  <c r="AP163" i="29"/>
  <c r="AH162" i="29"/>
  <c r="AE163" i="29"/>
  <c r="K163" i="29"/>
  <c r="Y163" i="29"/>
  <c r="AK163" i="29"/>
  <c r="C162" i="29"/>
  <c r="P162" i="29"/>
  <c r="AB162" i="29"/>
  <c r="AP162" i="29"/>
  <c r="D162" i="29"/>
  <c r="O163" i="29"/>
  <c r="AO163" i="29"/>
  <c r="S162" i="29"/>
  <c r="AR162" i="29"/>
  <c r="Q163" i="29"/>
  <c r="H162" i="29"/>
  <c r="AT162" i="29"/>
  <c r="E163" i="29"/>
  <c r="R163" i="29"/>
  <c r="S163" i="29"/>
  <c r="AI162" i="29"/>
  <c r="AV162" i="29"/>
  <c r="B163" i="29"/>
  <c r="J162" i="29"/>
  <c r="G163" i="29"/>
  <c r="X162" i="29"/>
  <c r="AG163" i="29"/>
  <c r="AJ162" i="29"/>
  <c r="AQ163" i="29"/>
  <c r="AS163" i="29"/>
  <c r="K162" i="29"/>
  <c r="V162" i="29"/>
  <c r="AO162" i="29"/>
  <c r="V163" i="29"/>
  <c r="AF163" i="29"/>
  <c r="AW162" i="29"/>
  <c r="AB163" i="29"/>
  <c r="AS162" i="29"/>
  <c r="AD163" i="29"/>
  <c r="AU162" i="29"/>
  <c r="V212" i="29"/>
  <c r="G211" i="29"/>
  <c r="AM211" i="29"/>
  <c r="L211" i="29"/>
  <c r="AQ211" i="29"/>
  <c r="Z212" i="29"/>
  <c r="J211" i="29"/>
  <c r="AO211" i="29"/>
  <c r="X212" i="29"/>
  <c r="N211" i="29"/>
  <c r="AK211" i="29"/>
  <c r="T212" i="29"/>
  <c r="AK162" i="29"/>
  <c r="AM162" i="29"/>
  <c r="AN163" i="29"/>
  <c r="AJ163" i="29"/>
  <c r="AL163" i="29"/>
  <c r="F212" i="29"/>
  <c r="H163" i="29"/>
  <c r="AU211" i="29"/>
  <c r="AE212" i="29"/>
  <c r="D211" i="29"/>
  <c r="AI211" i="29"/>
  <c r="R212" i="29"/>
  <c r="AW212" i="29"/>
  <c r="AG211" i="29"/>
  <c r="P212" i="29"/>
  <c r="F211" i="29"/>
  <c r="AC211" i="29"/>
  <c r="L212" i="29"/>
  <c r="O162" i="29"/>
  <c r="X163" i="29"/>
  <c r="T163" i="29"/>
  <c r="AV163" i="29"/>
  <c r="AR163" i="29"/>
  <c r="AT163" i="29"/>
  <c r="X211" i="29"/>
  <c r="P211" i="29"/>
  <c r="N212" i="29"/>
  <c r="AQ212" i="29"/>
  <c r="AA211" i="29"/>
  <c r="J212" i="29"/>
  <c r="AO212" i="29"/>
  <c r="Y211" i="29"/>
  <c r="H212" i="29"/>
  <c r="AS212" i="29"/>
  <c r="U211" i="29"/>
  <c r="D212" i="29"/>
  <c r="Y162" i="29"/>
  <c r="D163" i="29"/>
  <c r="U162" i="29"/>
  <c r="F163" i="29"/>
  <c r="W162" i="29"/>
  <c r="P163" i="29"/>
  <c r="AG162" i="29"/>
  <c r="L163" i="29"/>
  <c r="AC162" i="29"/>
  <c r="N163" i="29"/>
  <c r="AE162" i="29"/>
  <c r="K191" i="29"/>
  <c r="G191" i="29"/>
  <c r="C191" i="29"/>
  <c r="L191" i="29"/>
  <c r="H191" i="29"/>
  <c r="J178" i="29"/>
  <c r="M179" i="29"/>
  <c r="S179" i="29"/>
  <c r="E178" i="29"/>
  <c r="N179" i="29"/>
  <c r="K178" i="29"/>
  <c r="G178" i="29"/>
  <c r="C178" i="29"/>
  <c r="P179" i="29"/>
  <c r="L178" i="29"/>
  <c r="H178" i="29"/>
  <c r="D178" i="29"/>
  <c r="Q179" i="29"/>
  <c r="H166" i="29"/>
  <c r="K166" i="29"/>
  <c r="G166" i="29"/>
  <c r="C166" i="29"/>
  <c r="L166" i="29"/>
  <c r="D166" i="29"/>
  <c r="B166" i="29"/>
  <c r="J166" i="29"/>
  <c r="F166" i="29"/>
  <c r="M166" i="29"/>
  <c r="I166" i="29"/>
  <c r="E166" i="29"/>
  <c r="U412" i="12"/>
  <c r="S412" i="12"/>
  <c r="Q412" i="12"/>
  <c r="O412" i="12"/>
  <c r="M412" i="12"/>
  <c r="L412" i="12"/>
  <c r="K412" i="12"/>
  <c r="I412" i="12"/>
  <c r="H412" i="12"/>
  <c r="J412" i="12"/>
  <c r="N412" i="12"/>
  <c r="P412" i="12"/>
  <c r="R412" i="12"/>
  <c r="T412" i="12"/>
  <c r="C350" i="12"/>
  <c r="D350" i="12"/>
  <c r="E350" i="12"/>
  <c r="F350" i="12"/>
  <c r="G350" i="12"/>
  <c r="H350" i="12"/>
  <c r="I350" i="12"/>
  <c r="J350" i="12"/>
  <c r="K350" i="12"/>
  <c r="L350" i="12"/>
  <c r="M350" i="12"/>
  <c r="N350" i="12"/>
  <c r="O350" i="12"/>
  <c r="P350" i="12"/>
  <c r="Q350" i="12"/>
  <c r="R350" i="12"/>
  <c r="S350" i="12"/>
  <c r="T350" i="12"/>
  <c r="U350" i="12"/>
  <c r="V350" i="12"/>
  <c r="W350" i="12"/>
  <c r="X350" i="12"/>
  <c r="Y350" i="12"/>
  <c r="Z350" i="12"/>
  <c r="AA350" i="12"/>
  <c r="AB350" i="12"/>
  <c r="AC350" i="12"/>
  <c r="AD350" i="12"/>
  <c r="AE350" i="12"/>
  <c r="AF350" i="12"/>
  <c r="AG350" i="12"/>
  <c r="AH350" i="12"/>
  <c r="AI350" i="12"/>
  <c r="AJ350" i="12"/>
  <c r="AK350" i="12"/>
  <c r="AL350" i="12"/>
  <c r="AM350" i="12"/>
  <c r="AN350" i="12"/>
  <c r="AO350" i="12"/>
  <c r="AP350" i="12"/>
  <c r="AQ350" i="12"/>
  <c r="AR350" i="12"/>
  <c r="AS350" i="12"/>
  <c r="AT350" i="12"/>
  <c r="AU350" i="12"/>
  <c r="AV350" i="12"/>
  <c r="AW350" i="12"/>
  <c r="B350" i="12"/>
  <c r="D35" i="29" l="1"/>
  <c r="F35" i="29"/>
  <c r="M35" i="29"/>
  <c r="Y36" i="29"/>
  <c r="AB35" i="29"/>
  <c r="AL35" i="29"/>
  <c r="AE36" i="29"/>
  <c r="AJ35" i="29"/>
  <c r="AQ35" i="29"/>
  <c r="AP36" i="29"/>
  <c r="W36" i="29"/>
  <c r="K35" i="29"/>
  <c r="AO35" i="29"/>
  <c r="AL36" i="29"/>
  <c r="AU35" i="29"/>
  <c r="I35" i="29"/>
  <c r="S35" i="29"/>
  <c r="H35" i="29"/>
  <c r="G35" i="29"/>
  <c r="Q35" i="29"/>
  <c r="AB36" i="29"/>
  <c r="U36" i="29"/>
  <c r="C35" i="29"/>
  <c r="AF36" i="29"/>
  <c r="AK35" i="29"/>
  <c r="AH35" i="29"/>
  <c r="AQ36" i="29"/>
  <c r="E35" i="29"/>
  <c r="AC36" i="29"/>
  <c r="R35" i="29"/>
  <c r="AV35" i="29"/>
  <c r="AS35" i="29"/>
  <c r="N35" i="29"/>
  <c r="J35" i="29"/>
  <c r="N36" i="29"/>
  <c r="X36" i="29"/>
  <c r="K36" i="29"/>
  <c r="AT35" i="29"/>
  <c r="Z36" i="29"/>
  <c r="W35" i="29"/>
  <c r="Z35" i="29"/>
  <c r="AN35" i="29"/>
  <c r="S36" i="29"/>
  <c r="T36" i="29"/>
  <c r="AE35" i="29"/>
  <c r="AI35" i="29"/>
  <c r="AW35" i="29"/>
  <c r="P35" i="29"/>
  <c r="C36" i="29"/>
  <c r="AA36" i="29"/>
  <c r="L35" i="29"/>
  <c r="AR35" i="29"/>
  <c r="D36" i="29"/>
  <c r="AJ36" i="29"/>
  <c r="U35" i="29"/>
  <c r="E36" i="29"/>
  <c r="AK36" i="29"/>
  <c r="V35" i="29"/>
  <c r="B36" i="29"/>
  <c r="AD36" i="29"/>
  <c r="AH36" i="29"/>
  <c r="AG36" i="29"/>
  <c r="AT36" i="29"/>
  <c r="R36" i="29"/>
  <c r="AM35" i="29"/>
  <c r="B35" i="29"/>
  <c r="AW36" i="29"/>
  <c r="AG35" i="29"/>
  <c r="AV36" i="29"/>
  <c r="P36" i="29"/>
  <c r="AF35" i="29"/>
  <c r="AU36" i="29"/>
  <c r="O36" i="29"/>
  <c r="AI36" i="29"/>
  <c r="T35" i="29"/>
  <c r="L36" i="29"/>
  <c r="AR36" i="29"/>
  <c r="AC35" i="29"/>
  <c r="M36" i="29"/>
  <c r="AS36" i="29"/>
  <c r="AD35" i="29"/>
  <c r="AO36" i="29"/>
  <c r="F36" i="29"/>
  <c r="J36" i="29"/>
  <c r="Q36" i="29"/>
  <c r="V36" i="29"/>
  <c r="AP35" i="29"/>
  <c r="O35" i="29"/>
  <c r="AA35" i="29"/>
  <c r="I36" i="29"/>
  <c r="Y35" i="29"/>
  <c r="AN36" i="29"/>
  <c r="H36" i="29"/>
  <c r="X35" i="29"/>
  <c r="AM36" i="29"/>
  <c r="C414" i="12"/>
  <c r="D414" i="12"/>
  <c r="E414" i="12"/>
  <c r="F414" i="12"/>
  <c r="G414" i="12"/>
  <c r="H414" i="12"/>
  <c r="I414" i="12"/>
  <c r="J414" i="12"/>
  <c r="K414" i="12"/>
  <c r="L414" i="12"/>
  <c r="M414" i="12"/>
  <c r="N414" i="12"/>
  <c r="O414" i="12"/>
  <c r="P414" i="12"/>
  <c r="Q414" i="12"/>
  <c r="R414" i="12"/>
  <c r="S414" i="12"/>
  <c r="T414" i="12"/>
  <c r="U414" i="12"/>
  <c r="V414" i="12"/>
  <c r="W414" i="12"/>
  <c r="X414" i="12"/>
  <c r="Y414" i="12"/>
  <c r="Z414" i="12"/>
  <c r="AA414" i="12"/>
  <c r="AB414" i="12"/>
  <c r="AC414" i="12"/>
  <c r="AD414" i="12"/>
  <c r="AE414" i="12"/>
  <c r="AF414" i="12"/>
  <c r="AG414" i="12"/>
  <c r="AH414" i="12"/>
  <c r="AI414" i="12"/>
  <c r="AJ414" i="12"/>
  <c r="AK414" i="12"/>
  <c r="AL414" i="12"/>
  <c r="AM414" i="12"/>
  <c r="AN414" i="12"/>
  <c r="AO414" i="12"/>
  <c r="AP414" i="12"/>
  <c r="AQ414" i="12"/>
  <c r="AR414" i="12"/>
  <c r="AS414" i="12"/>
  <c r="AT414" i="12"/>
  <c r="AU414" i="12"/>
  <c r="AV414" i="12"/>
  <c r="AW414" i="12"/>
  <c r="B414" i="12"/>
  <c r="C368" i="12"/>
  <c r="C429" i="12"/>
  <c r="D429" i="12"/>
  <c r="E429" i="12"/>
  <c r="F429" i="12"/>
  <c r="G429" i="12"/>
  <c r="H429" i="12"/>
  <c r="I429" i="12"/>
  <c r="J429" i="12"/>
  <c r="K429" i="12"/>
  <c r="L429" i="12"/>
  <c r="M429" i="12"/>
  <c r="N429" i="12"/>
  <c r="O429" i="12"/>
  <c r="P429" i="12"/>
  <c r="Q429" i="12"/>
  <c r="R429" i="12"/>
  <c r="S429" i="12"/>
  <c r="T429" i="12"/>
  <c r="U429" i="12"/>
  <c r="V429" i="12"/>
  <c r="W429" i="12"/>
  <c r="X429" i="12"/>
  <c r="Y429" i="12"/>
  <c r="Z429" i="12"/>
  <c r="AA429" i="12"/>
  <c r="AB429" i="12"/>
  <c r="AC429" i="12"/>
  <c r="AD429" i="12"/>
  <c r="AE429" i="12"/>
  <c r="AF429" i="12"/>
  <c r="AG429" i="12"/>
  <c r="AH429" i="12"/>
  <c r="AI429" i="12"/>
  <c r="AJ429" i="12"/>
  <c r="AK429" i="12"/>
  <c r="AL429" i="12"/>
  <c r="AM429" i="12"/>
  <c r="AN429" i="12"/>
  <c r="AO429" i="12"/>
  <c r="AP429" i="12"/>
  <c r="AQ429" i="12"/>
  <c r="AR429" i="12"/>
  <c r="AS429" i="12"/>
  <c r="AT429" i="12"/>
  <c r="AU429" i="12"/>
  <c r="AV429" i="12"/>
  <c r="AW429" i="12"/>
  <c r="B429" i="12"/>
  <c r="C403" i="12"/>
  <c r="D403" i="12"/>
  <c r="E403" i="12"/>
  <c r="F403" i="12"/>
  <c r="G403" i="12"/>
  <c r="H403" i="12"/>
  <c r="I403" i="12"/>
  <c r="J403" i="12"/>
  <c r="K403" i="12"/>
  <c r="L403" i="12"/>
  <c r="M403" i="12"/>
  <c r="N403" i="12"/>
  <c r="O403" i="12"/>
  <c r="P403" i="12"/>
  <c r="Q403" i="12"/>
  <c r="R403" i="12"/>
  <c r="S403" i="12"/>
  <c r="T403" i="12"/>
  <c r="U403" i="12"/>
  <c r="V403" i="12"/>
  <c r="W403" i="12"/>
  <c r="X403" i="12"/>
  <c r="Y403" i="12"/>
  <c r="Z403" i="12"/>
  <c r="AA403" i="12"/>
  <c r="AB403" i="12"/>
  <c r="AC403" i="12"/>
  <c r="AD403" i="12"/>
  <c r="AE403" i="12"/>
  <c r="AF403" i="12"/>
  <c r="AG403" i="12"/>
  <c r="AH403" i="12"/>
  <c r="AI403" i="12"/>
  <c r="AJ403" i="12"/>
  <c r="AK403" i="12"/>
  <c r="AL403" i="12"/>
  <c r="AM403" i="12"/>
  <c r="AN403" i="12"/>
  <c r="AO403" i="12"/>
  <c r="AP403" i="12"/>
  <c r="AQ403" i="12"/>
  <c r="AR403" i="12"/>
  <c r="AS403" i="12"/>
  <c r="AT403" i="12"/>
  <c r="AU403" i="12"/>
  <c r="AV403" i="12"/>
  <c r="AW403" i="12"/>
  <c r="B403" i="12"/>
  <c r="C392" i="12"/>
  <c r="D392" i="12"/>
  <c r="E392" i="12"/>
  <c r="F392" i="12"/>
  <c r="G392" i="12"/>
  <c r="H392" i="12"/>
  <c r="I392" i="12"/>
  <c r="J392" i="12"/>
  <c r="K392" i="12"/>
  <c r="L392" i="12"/>
  <c r="M392" i="12"/>
  <c r="N392" i="12"/>
  <c r="O392" i="12"/>
  <c r="P392" i="12"/>
  <c r="Q392" i="12"/>
  <c r="R392" i="12"/>
  <c r="S392" i="12"/>
  <c r="T392" i="12"/>
  <c r="U392" i="12"/>
  <c r="V392" i="12"/>
  <c r="W392" i="12"/>
  <c r="X392" i="12"/>
  <c r="Y392" i="12"/>
  <c r="Z392" i="12"/>
  <c r="AA392" i="12"/>
  <c r="AB392" i="12"/>
  <c r="AC392" i="12"/>
  <c r="AD392" i="12"/>
  <c r="AE392" i="12"/>
  <c r="AF392" i="12"/>
  <c r="AG392" i="12"/>
  <c r="AH392" i="12"/>
  <c r="AI392" i="12"/>
  <c r="AJ392" i="12"/>
  <c r="AK392" i="12"/>
  <c r="AL392" i="12"/>
  <c r="AM392" i="12"/>
  <c r="AN392" i="12"/>
  <c r="AO392" i="12"/>
  <c r="AP392" i="12"/>
  <c r="AQ392" i="12"/>
  <c r="AR392" i="12"/>
  <c r="AS392" i="12"/>
  <c r="AT392" i="12"/>
  <c r="AU392" i="12"/>
  <c r="AV392" i="12"/>
  <c r="AW392" i="12"/>
  <c r="B392" i="12"/>
  <c r="C381" i="12"/>
  <c r="D381" i="12"/>
  <c r="E381" i="12"/>
  <c r="F381" i="12"/>
  <c r="G381" i="12"/>
  <c r="H381" i="12"/>
  <c r="I381" i="12"/>
  <c r="J381" i="12"/>
  <c r="K381" i="12"/>
  <c r="L381" i="12"/>
  <c r="M381" i="12"/>
  <c r="N381" i="12"/>
  <c r="O381" i="12"/>
  <c r="P381" i="12"/>
  <c r="Q381" i="12"/>
  <c r="R381" i="12"/>
  <c r="S381" i="12"/>
  <c r="T381" i="12"/>
  <c r="U381" i="12"/>
  <c r="V381" i="12"/>
  <c r="W381" i="12"/>
  <c r="X381" i="12"/>
  <c r="Y381" i="12"/>
  <c r="Z381" i="12"/>
  <c r="AA381" i="12"/>
  <c r="AB381" i="12"/>
  <c r="AC381" i="12"/>
  <c r="AD381" i="12"/>
  <c r="AE381" i="12"/>
  <c r="AF381" i="12"/>
  <c r="AG381" i="12"/>
  <c r="AH381" i="12"/>
  <c r="AI381" i="12"/>
  <c r="AJ381" i="12"/>
  <c r="AK381" i="12"/>
  <c r="AL381" i="12"/>
  <c r="AM381" i="12"/>
  <c r="AN381" i="12"/>
  <c r="AO381" i="12"/>
  <c r="AP381" i="12"/>
  <c r="AQ381" i="12"/>
  <c r="AR381" i="12"/>
  <c r="AS381" i="12"/>
  <c r="AT381" i="12"/>
  <c r="AU381" i="12"/>
  <c r="AV381" i="12"/>
  <c r="AW381" i="12"/>
  <c r="B381" i="12"/>
  <c r="B315" i="28" l="1"/>
  <c r="C313" i="28"/>
  <c r="Y427" i="12" l="1"/>
  <c r="Z427" i="12" l="1"/>
  <c r="Z379" i="12"/>
  <c r="Z370" i="12"/>
  <c r="Z348" i="12"/>
  <c r="Z337" i="12"/>
  <c r="Z326" i="12"/>
  <c r="Z315" i="12"/>
  <c r="Z304" i="12"/>
  <c r="Z368" i="12"/>
  <c r="Y365" i="28"/>
  <c r="Y364" i="28"/>
  <c r="N354" i="28"/>
  <c r="Y322" i="28"/>
  <c r="Y321" i="28"/>
  <c r="C409" i="28"/>
  <c r="D409" i="28"/>
  <c r="E409" i="28"/>
  <c r="F409" i="28"/>
  <c r="G409" i="28"/>
  <c r="H409" i="28"/>
  <c r="I409" i="28"/>
  <c r="J409" i="28"/>
  <c r="K409" i="28"/>
  <c r="L409" i="28"/>
  <c r="M409" i="28"/>
  <c r="N409" i="28"/>
  <c r="O409" i="28"/>
  <c r="P409" i="28"/>
  <c r="Q409" i="28"/>
  <c r="R409" i="28"/>
  <c r="S409" i="28"/>
  <c r="T409" i="28"/>
  <c r="U409" i="28"/>
  <c r="V409" i="28"/>
  <c r="W409" i="28"/>
  <c r="Y409" i="28"/>
  <c r="X409" i="28"/>
  <c r="Y407" i="28"/>
  <c r="X407" i="28"/>
  <c r="B400" i="28"/>
  <c r="C400" i="28"/>
  <c r="D400" i="28"/>
  <c r="E400" i="28"/>
  <c r="F400" i="28"/>
  <c r="G400" i="28"/>
  <c r="H400" i="28"/>
  <c r="I400" i="28"/>
  <c r="J400" i="28"/>
  <c r="K400" i="28"/>
  <c r="L400" i="28"/>
  <c r="M400" i="28"/>
  <c r="N400" i="28"/>
  <c r="O400" i="28"/>
  <c r="P400" i="28"/>
  <c r="Q400" i="28"/>
  <c r="R400" i="28"/>
  <c r="S400" i="28"/>
  <c r="T400" i="28"/>
  <c r="U400" i="28"/>
  <c r="V400" i="28"/>
  <c r="W400" i="28"/>
  <c r="Y400" i="28"/>
  <c r="X400" i="28"/>
  <c r="Y398" i="28"/>
  <c r="X398" i="28"/>
  <c r="Y397" i="28"/>
  <c r="X397" i="28"/>
  <c r="B388" i="28"/>
  <c r="C388" i="28"/>
  <c r="D388" i="28"/>
  <c r="E388" i="28"/>
  <c r="F388" i="28"/>
  <c r="G388" i="28"/>
  <c r="H388" i="28"/>
  <c r="I388" i="28"/>
  <c r="J388" i="28"/>
  <c r="K388" i="28"/>
  <c r="L388" i="28"/>
  <c r="M388" i="28"/>
  <c r="N388" i="28"/>
  <c r="O388" i="28"/>
  <c r="P388" i="28"/>
  <c r="Q388" i="28"/>
  <c r="R388" i="28"/>
  <c r="S388" i="28"/>
  <c r="T388" i="28"/>
  <c r="U388" i="28"/>
  <c r="V388" i="28"/>
  <c r="W388" i="28"/>
  <c r="Y388" i="28"/>
  <c r="X388" i="28"/>
  <c r="Y386" i="28"/>
  <c r="X386" i="28"/>
  <c r="B380" i="28"/>
  <c r="C380" i="28"/>
  <c r="D380" i="28"/>
  <c r="E380" i="28"/>
  <c r="F380" i="28"/>
  <c r="G380" i="28"/>
  <c r="H380" i="28"/>
  <c r="I380" i="28"/>
  <c r="J380" i="28"/>
  <c r="K380" i="28"/>
  <c r="L380" i="28"/>
  <c r="M380" i="28"/>
  <c r="N380" i="28"/>
  <c r="O380" i="28"/>
  <c r="P380" i="28"/>
  <c r="Q380" i="28"/>
  <c r="R380" i="28"/>
  <c r="S380" i="28"/>
  <c r="T380" i="28"/>
  <c r="U380" i="28"/>
  <c r="V380" i="28"/>
  <c r="W380" i="28"/>
  <c r="Y380" i="28"/>
  <c r="X380" i="28"/>
  <c r="Y378" i="28"/>
  <c r="Y377" i="28"/>
  <c r="X377" i="28"/>
  <c r="X378" i="28"/>
  <c r="B368" i="28"/>
  <c r="C368" i="28"/>
  <c r="D368" i="28"/>
  <c r="E368" i="28"/>
  <c r="F368" i="28"/>
  <c r="G368" i="28"/>
  <c r="H368" i="28"/>
  <c r="I368" i="28"/>
  <c r="J368" i="28"/>
  <c r="K368" i="28"/>
  <c r="L368" i="28"/>
  <c r="M368" i="28"/>
  <c r="N368" i="28"/>
  <c r="O368" i="28"/>
  <c r="P368" i="28"/>
  <c r="Q368" i="28"/>
  <c r="R368" i="28"/>
  <c r="S368" i="28"/>
  <c r="T368" i="28"/>
  <c r="U368" i="28"/>
  <c r="V368" i="28"/>
  <c r="W368" i="28"/>
  <c r="Y368" i="28"/>
  <c r="X368" i="28"/>
  <c r="Y366" i="28"/>
  <c r="X366" i="28"/>
  <c r="N364" i="28"/>
  <c r="O364" i="28"/>
  <c r="P364" i="28"/>
  <c r="Q364" i="28"/>
  <c r="R364" i="28"/>
  <c r="S364" i="28"/>
  <c r="T364" i="28"/>
  <c r="U364" i="28"/>
  <c r="V364" i="28"/>
  <c r="W364" i="28"/>
  <c r="X364" i="28"/>
  <c r="O366" i="28"/>
  <c r="B358" i="28"/>
  <c r="C358" i="28"/>
  <c r="D358" i="28"/>
  <c r="E358" i="28"/>
  <c r="F358" i="28"/>
  <c r="G358" i="28"/>
  <c r="H358" i="28"/>
  <c r="I358" i="28"/>
  <c r="J358" i="28"/>
  <c r="K358" i="28"/>
  <c r="L358" i="28"/>
  <c r="M358" i="28"/>
  <c r="N358" i="28"/>
  <c r="O358" i="28"/>
  <c r="P358" i="28"/>
  <c r="Q358" i="28"/>
  <c r="R358" i="28"/>
  <c r="S358" i="28"/>
  <c r="T358" i="28"/>
  <c r="U358" i="28"/>
  <c r="V358" i="28"/>
  <c r="W358" i="28"/>
  <c r="Y358" i="28"/>
  <c r="X358" i="28"/>
  <c r="Y356" i="28"/>
  <c r="X356" i="28"/>
  <c r="W354" i="28"/>
  <c r="X354" i="28"/>
  <c r="B337" i="28"/>
  <c r="C337" i="28"/>
  <c r="D337" i="28"/>
  <c r="E337" i="28"/>
  <c r="F337" i="28"/>
  <c r="G337" i="28"/>
  <c r="H337" i="28"/>
  <c r="I337" i="28"/>
  <c r="J337" i="28"/>
  <c r="K337" i="28"/>
  <c r="L337" i="28"/>
  <c r="M337" i="28"/>
  <c r="N337" i="28"/>
  <c r="O337" i="28"/>
  <c r="P337" i="28"/>
  <c r="Q337" i="28"/>
  <c r="R337" i="28"/>
  <c r="S337" i="28"/>
  <c r="T337" i="28"/>
  <c r="U337" i="28"/>
  <c r="V337" i="28"/>
  <c r="W337" i="28"/>
  <c r="Y337" i="28"/>
  <c r="X337" i="28"/>
  <c r="Y333" i="28"/>
  <c r="X333" i="28"/>
  <c r="B325" i="28"/>
  <c r="C325" i="28"/>
  <c r="D325" i="28"/>
  <c r="E325" i="28"/>
  <c r="F325" i="28"/>
  <c r="G325" i="28"/>
  <c r="H325" i="28"/>
  <c r="I325" i="28"/>
  <c r="J325" i="28"/>
  <c r="K325" i="28"/>
  <c r="L325" i="28"/>
  <c r="M325" i="28"/>
  <c r="N325" i="28"/>
  <c r="O325" i="28"/>
  <c r="P325" i="28"/>
  <c r="Q325" i="28"/>
  <c r="R325" i="28"/>
  <c r="T325" i="28"/>
  <c r="U325" i="28"/>
  <c r="V325" i="28"/>
  <c r="W325" i="28"/>
  <c r="Y325" i="28"/>
  <c r="X325" i="28"/>
  <c r="Y323" i="28"/>
  <c r="X323" i="28"/>
  <c r="N321" i="28"/>
  <c r="O321" i="28"/>
  <c r="P321" i="28"/>
  <c r="Q321" i="28"/>
  <c r="R321" i="28"/>
  <c r="T321" i="28"/>
  <c r="U321" i="28"/>
  <c r="V321" i="28"/>
  <c r="W321" i="28"/>
  <c r="X321" i="28"/>
  <c r="D315" i="28"/>
  <c r="E315" i="28"/>
  <c r="F315" i="28"/>
  <c r="G315" i="28"/>
  <c r="H315" i="28"/>
  <c r="I315" i="28"/>
  <c r="J315" i="28"/>
  <c r="K315" i="28"/>
  <c r="L315" i="28"/>
  <c r="M315" i="28"/>
  <c r="N315" i="28"/>
  <c r="O315" i="28"/>
  <c r="P315" i="28"/>
  <c r="Q315" i="28"/>
  <c r="R315" i="28"/>
  <c r="S315" i="28"/>
  <c r="T315" i="28"/>
  <c r="U315" i="28"/>
  <c r="V315" i="28"/>
  <c r="W315" i="28"/>
  <c r="Y315" i="28"/>
  <c r="X315" i="28"/>
  <c r="Y343" i="28"/>
  <c r="C345" i="28"/>
  <c r="D345" i="28"/>
  <c r="E345" i="28"/>
  <c r="F345" i="28"/>
  <c r="G345" i="28"/>
  <c r="H345" i="28"/>
  <c r="I345" i="28"/>
  <c r="J345" i="28"/>
  <c r="K345" i="28"/>
  <c r="L345" i="28"/>
  <c r="M345" i="28"/>
  <c r="N345" i="28"/>
  <c r="O345" i="28"/>
  <c r="P345" i="28"/>
  <c r="Q345" i="28"/>
  <c r="R345" i="28"/>
  <c r="S345" i="28"/>
  <c r="T345" i="28"/>
  <c r="U345" i="28"/>
  <c r="V345" i="28"/>
  <c r="W345" i="28"/>
  <c r="X345" i="28"/>
  <c r="Y345" i="28"/>
  <c r="X343" i="28"/>
  <c r="Y335" i="28"/>
  <c r="X335" i="28"/>
  <c r="Y313" i="28"/>
  <c r="V313" i="28"/>
  <c r="U313" i="28"/>
  <c r="W313" i="28"/>
  <c r="Z24" i="5"/>
  <c r="Z31" i="5"/>
  <c r="Z32" i="5"/>
  <c r="X427" i="12"/>
  <c r="Z25" i="5" l="1"/>
  <c r="Z10" i="5"/>
  <c r="AA446" i="12"/>
  <c r="C339" i="12" l="1"/>
  <c r="D339" i="12"/>
  <c r="E339" i="12"/>
  <c r="F339" i="12"/>
  <c r="G339" i="12"/>
  <c r="H339" i="12"/>
  <c r="I339" i="12"/>
  <c r="J339" i="12"/>
  <c r="K339" i="12"/>
  <c r="L339" i="12"/>
  <c r="M339" i="12"/>
  <c r="N339" i="12"/>
  <c r="O339" i="12"/>
  <c r="P339" i="12"/>
  <c r="Q339" i="12"/>
  <c r="R339" i="12"/>
  <c r="S339" i="12"/>
  <c r="T339" i="12"/>
  <c r="U339" i="12"/>
  <c r="V339" i="12"/>
  <c r="W339" i="12"/>
  <c r="X339" i="12"/>
  <c r="Y339" i="12"/>
  <c r="Z339" i="12"/>
  <c r="AA339" i="12"/>
  <c r="AB339" i="12"/>
  <c r="AC339" i="12"/>
  <c r="AD339" i="12"/>
  <c r="AE339" i="12"/>
  <c r="AF339" i="12"/>
  <c r="AG339" i="12"/>
  <c r="AH339" i="12"/>
  <c r="AI339" i="12"/>
  <c r="AJ339" i="12"/>
  <c r="AK339" i="12"/>
  <c r="AL339" i="12"/>
  <c r="AM339" i="12"/>
  <c r="AN339" i="12"/>
  <c r="AO339" i="12"/>
  <c r="AP339" i="12"/>
  <c r="AQ339" i="12"/>
  <c r="AR339" i="12"/>
  <c r="AS339" i="12"/>
  <c r="AT339" i="12"/>
  <c r="AU339" i="12"/>
  <c r="AV339" i="12"/>
  <c r="AW339" i="12"/>
  <c r="B339" i="12"/>
  <c r="C328" i="12"/>
  <c r="D328" i="12"/>
  <c r="E328" i="12"/>
  <c r="F328" i="12"/>
  <c r="G328" i="12"/>
  <c r="H328" i="12"/>
  <c r="I328" i="12"/>
  <c r="J328" i="12"/>
  <c r="K328" i="12"/>
  <c r="L328" i="12"/>
  <c r="M328" i="12"/>
  <c r="N328" i="12"/>
  <c r="O328" i="12"/>
  <c r="P328" i="12"/>
  <c r="Q328" i="12"/>
  <c r="R328" i="12"/>
  <c r="S328" i="12"/>
  <c r="T328" i="12"/>
  <c r="U328" i="12"/>
  <c r="V328" i="12"/>
  <c r="W328" i="12"/>
  <c r="X328" i="12"/>
  <c r="Y328" i="12"/>
  <c r="Z328" i="12"/>
  <c r="AA328" i="12"/>
  <c r="AB328" i="12"/>
  <c r="AC328" i="12"/>
  <c r="AD328" i="12"/>
  <c r="AE328" i="12"/>
  <c r="AF328" i="12"/>
  <c r="AG328" i="12"/>
  <c r="AH328" i="12"/>
  <c r="AI328" i="12"/>
  <c r="AJ328" i="12"/>
  <c r="AK328" i="12"/>
  <c r="AL328" i="12"/>
  <c r="AM328" i="12"/>
  <c r="AN328" i="12"/>
  <c r="AO328" i="12"/>
  <c r="AP328" i="12"/>
  <c r="AQ328" i="12"/>
  <c r="AR328" i="12"/>
  <c r="AS328" i="12"/>
  <c r="AT328" i="12"/>
  <c r="AU328" i="12"/>
  <c r="AV328" i="12"/>
  <c r="AW328" i="12"/>
  <c r="B328" i="12"/>
  <c r="B5" i="48" l="1"/>
  <c r="C370" i="12" l="1"/>
  <c r="D370" i="12"/>
  <c r="E370" i="12"/>
  <c r="F370" i="12"/>
  <c r="G370" i="12"/>
  <c r="H370" i="12"/>
  <c r="I370" i="12"/>
  <c r="J370" i="12"/>
  <c r="K370" i="12"/>
  <c r="L370" i="12"/>
  <c r="M370" i="12"/>
  <c r="N370" i="12"/>
  <c r="O370" i="12"/>
  <c r="P370" i="12"/>
  <c r="Q370" i="12"/>
  <c r="R370" i="12"/>
  <c r="S370" i="12"/>
  <c r="T370" i="12"/>
  <c r="U370" i="12"/>
  <c r="V370" i="12"/>
  <c r="W370" i="12"/>
  <c r="X370" i="12"/>
  <c r="Y370" i="12"/>
  <c r="AA370" i="12"/>
  <c r="AB370" i="12"/>
  <c r="AC370" i="12"/>
  <c r="AD370" i="12"/>
  <c r="AE370" i="12"/>
  <c r="AF370" i="12"/>
  <c r="AG370" i="12"/>
  <c r="AH370" i="12"/>
  <c r="AI370" i="12"/>
  <c r="AJ370" i="12"/>
  <c r="AK370" i="12"/>
  <c r="AL370" i="12"/>
  <c r="AM370" i="12"/>
  <c r="AN370" i="12"/>
  <c r="AO370" i="12"/>
  <c r="AP370" i="12"/>
  <c r="AQ370" i="12"/>
  <c r="AR370" i="12"/>
  <c r="AS370" i="12"/>
  <c r="AT370" i="12"/>
  <c r="AU370" i="12"/>
  <c r="AV370" i="12"/>
  <c r="AW370" i="12"/>
  <c r="B370" i="12"/>
  <c r="L427" i="12"/>
  <c r="S427" i="12"/>
  <c r="Q427" i="12"/>
  <c r="P427" i="12"/>
  <c r="O427" i="12"/>
  <c r="J427" i="12"/>
  <c r="K427" i="12"/>
  <c r="M427" i="12"/>
  <c r="N427" i="12"/>
  <c r="R427" i="12"/>
  <c r="T427" i="12"/>
  <c r="U427" i="12"/>
  <c r="V427" i="12"/>
  <c r="W427" i="12"/>
  <c r="I427" i="12"/>
  <c r="Z412" i="12"/>
  <c r="Y412" i="12"/>
  <c r="X412" i="12"/>
  <c r="F412" i="12"/>
  <c r="E412" i="12"/>
  <c r="D412" i="12"/>
  <c r="C412" i="12"/>
  <c r="G412" i="12"/>
  <c r="V412" i="12"/>
  <c r="W412" i="12"/>
  <c r="D401" i="12"/>
  <c r="E401" i="12"/>
  <c r="F401" i="12"/>
  <c r="G401" i="12"/>
  <c r="H401" i="12"/>
  <c r="I401" i="12"/>
  <c r="J401" i="12"/>
  <c r="K401" i="12"/>
  <c r="L401" i="12"/>
  <c r="M401" i="12"/>
  <c r="N401" i="12"/>
  <c r="O401" i="12"/>
  <c r="P401" i="12"/>
  <c r="Q401" i="12"/>
  <c r="R401" i="12"/>
  <c r="S401" i="12"/>
  <c r="T401" i="12"/>
  <c r="U401" i="12"/>
  <c r="V401" i="12"/>
  <c r="W401" i="12"/>
  <c r="X401" i="12"/>
  <c r="Y401" i="12"/>
  <c r="Z401" i="12"/>
  <c r="C401" i="12"/>
  <c r="S390" i="12"/>
  <c r="M390" i="12"/>
  <c r="K390" i="12"/>
  <c r="H390" i="12"/>
  <c r="E390" i="12"/>
  <c r="C390" i="12"/>
  <c r="D390" i="12"/>
  <c r="F390" i="12"/>
  <c r="G390" i="12"/>
  <c r="I390" i="12"/>
  <c r="J390" i="12"/>
  <c r="L390" i="12"/>
  <c r="N390" i="12"/>
  <c r="O390" i="12"/>
  <c r="P390" i="12"/>
  <c r="Q390" i="12"/>
  <c r="R390" i="12"/>
  <c r="T390" i="12"/>
  <c r="U390" i="12"/>
  <c r="V390" i="12"/>
  <c r="Y379" i="12"/>
  <c r="X379" i="12"/>
  <c r="V379" i="12"/>
  <c r="U379" i="12"/>
  <c r="S379" i="12"/>
  <c r="Q379" i="12"/>
  <c r="O379" i="12"/>
  <c r="K379" i="12"/>
  <c r="I379" i="12"/>
  <c r="H379" i="12"/>
  <c r="F379" i="12"/>
  <c r="D379" i="12"/>
  <c r="C379" i="12"/>
  <c r="E379" i="12"/>
  <c r="G379" i="12"/>
  <c r="J379" i="12"/>
  <c r="L379" i="12"/>
  <c r="M379" i="12"/>
  <c r="N379" i="12"/>
  <c r="P379" i="12"/>
  <c r="R379" i="12"/>
  <c r="T379" i="12"/>
  <c r="W379" i="12"/>
  <c r="X368" i="12"/>
  <c r="U368" i="12"/>
  <c r="S368" i="12"/>
  <c r="R368" i="12"/>
  <c r="Q368" i="12"/>
  <c r="O368" i="12"/>
  <c r="M368" i="12"/>
  <c r="I368" i="12"/>
  <c r="H368" i="12"/>
  <c r="F368" i="12"/>
  <c r="E368" i="12"/>
  <c r="D368" i="12"/>
  <c r="G368" i="12"/>
  <c r="J368" i="12"/>
  <c r="K368" i="12"/>
  <c r="L368" i="12"/>
  <c r="N368" i="12"/>
  <c r="P368" i="12"/>
  <c r="T368" i="12"/>
  <c r="V368" i="12"/>
  <c r="W368" i="12"/>
  <c r="Y368" i="12"/>
  <c r="B393" i="12" l="1"/>
  <c r="B394" i="12" s="1"/>
  <c r="B415" i="12"/>
  <c r="B416" i="12" s="1"/>
  <c r="AV418" i="12" s="1"/>
  <c r="B371" i="12"/>
  <c r="B372" i="12" s="1"/>
  <c r="B404" i="12"/>
  <c r="B405" i="12" s="1"/>
  <c r="B430" i="12"/>
  <c r="B431" i="12" s="1"/>
  <c r="B382" i="12"/>
  <c r="B383" i="12" s="1"/>
  <c r="C317" i="12"/>
  <c r="D317" i="12"/>
  <c r="E317" i="12"/>
  <c r="F317" i="12"/>
  <c r="G317" i="12"/>
  <c r="H317" i="12"/>
  <c r="I317" i="12"/>
  <c r="J317" i="12"/>
  <c r="K317" i="12"/>
  <c r="L317" i="12"/>
  <c r="M317" i="12"/>
  <c r="N317" i="12"/>
  <c r="O317" i="12"/>
  <c r="P317" i="12"/>
  <c r="Q317" i="12"/>
  <c r="R317" i="12"/>
  <c r="S317" i="12"/>
  <c r="T317" i="12"/>
  <c r="U317" i="12"/>
  <c r="V317" i="12"/>
  <c r="W317" i="12"/>
  <c r="X317" i="12"/>
  <c r="Y317" i="12"/>
  <c r="Z317" i="12"/>
  <c r="AA317" i="12"/>
  <c r="AB317" i="12"/>
  <c r="AC317" i="12"/>
  <c r="AD317" i="12"/>
  <c r="AE317" i="12"/>
  <c r="AF317" i="12"/>
  <c r="AG317" i="12"/>
  <c r="AH317" i="12"/>
  <c r="AI317" i="12"/>
  <c r="AJ317" i="12"/>
  <c r="AK317" i="12"/>
  <c r="AL317" i="12"/>
  <c r="AM317" i="12"/>
  <c r="AN317" i="12"/>
  <c r="AO317" i="12"/>
  <c r="AP317" i="12"/>
  <c r="AQ317" i="12"/>
  <c r="AR317" i="12"/>
  <c r="AS317" i="12"/>
  <c r="AT317" i="12"/>
  <c r="AU317" i="12"/>
  <c r="AV317" i="12"/>
  <c r="AW317" i="12"/>
  <c r="B317" i="12"/>
  <c r="C306" i="12"/>
  <c r="D306" i="12"/>
  <c r="E306" i="12"/>
  <c r="F306" i="12"/>
  <c r="G306" i="12"/>
  <c r="H306" i="12"/>
  <c r="I306" i="12"/>
  <c r="J306" i="12"/>
  <c r="K306" i="12"/>
  <c r="L306" i="12"/>
  <c r="M306" i="12"/>
  <c r="N306" i="12"/>
  <c r="O306" i="12"/>
  <c r="P306" i="12"/>
  <c r="Q306" i="12"/>
  <c r="R306" i="12"/>
  <c r="S306" i="12"/>
  <c r="T306" i="12"/>
  <c r="U306" i="12"/>
  <c r="V306" i="12"/>
  <c r="W306" i="12"/>
  <c r="X306" i="12"/>
  <c r="Y306" i="12"/>
  <c r="Z306" i="12"/>
  <c r="AA306" i="12"/>
  <c r="AB306" i="12"/>
  <c r="AC306" i="12"/>
  <c r="AD306" i="12"/>
  <c r="AE306" i="12"/>
  <c r="AF306" i="12"/>
  <c r="AG306" i="12"/>
  <c r="AH306" i="12"/>
  <c r="AI306" i="12"/>
  <c r="AJ306" i="12"/>
  <c r="AK306" i="12"/>
  <c r="AL306" i="12"/>
  <c r="AM306" i="12"/>
  <c r="AN306" i="12"/>
  <c r="AO306" i="12"/>
  <c r="AP306" i="12"/>
  <c r="AQ306" i="12"/>
  <c r="AR306" i="12"/>
  <c r="AS306" i="12"/>
  <c r="AT306" i="12"/>
  <c r="AU306" i="12"/>
  <c r="AV306" i="12"/>
  <c r="AW306" i="12"/>
  <c r="B306" i="12"/>
  <c r="X337" i="12"/>
  <c r="R337" i="12"/>
  <c r="P337" i="12"/>
  <c r="L337" i="12"/>
  <c r="K337" i="12"/>
  <c r="J337" i="12"/>
  <c r="I337" i="12"/>
  <c r="C337" i="12"/>
  <c r="D337" i="12"/>
  <c r="E337" i="12"/>
  <c r="F337" i="12"/>
  <c r="G337" i="12"/>
  <c r="H337" i="12"/>
  <c r="M337" i="12"/>
  <c r="N337" i="12"/>
  <c r="O337" i="12"/>
  <c r="Q337" i="12"/>
  <c r="S337" i="12"/>
  <c r="T337" i="12"/>
  <c r="U337" i="12"/>
  <c r="V337" i="12"/>
  <c r="W337" i="12"/>
  <c r="Y337" i="12"/>
  <c r="X326" i="12"/>
  <c r="V326" i="12"/>
  <c r="U326" i="12"/>
  <c r="P326" i="12"/>
  <c r="O326" i="12"/>
  <c r="L326" i="12"/>
  <c r="J326" i="12"/>
  <c r="I326" i="12"/>
  <c r="G326" i="12"/>
  <c r="F326" i="12"/>
  <c r="D326" i="12"/>
  <c r="E326" i="12"/>
  <c r="H326" i="12"/>
  <c r="K326" i="12"/>
  <c r="M326" i="12"/>
  <c r="N326" i="12"/>
  <c r="Q326" i="12"/>
  <c r="R326" i="12"/>
  <c r="S326" i="12"/>
  <c r="T326" i="12"/>
  <c r="W326" i="12"/>
  <c r="Y326" i="12"/>
  <c r="C326" i="12"/>
  <c r="X315" i="12"/>
  <c r="W315" i="12"/>
  <c r="V315" i="12"/>
  <c r="L315" i="12"/>
  <c r="K315" i="12"/>
  <c r="I315" i="12"/>
  <c r="H315" i="12"/>
  <c r="D315" i="12"/>
  <c r="E315" i="12"/>
  <c r="F315" i="12"/>
  <c r="G315" i="12"/>
  <c r="J315" i="12"/>
  <c r="M315" i="12"/>
  <c r="N315" i="12"/>
  <c r="O315" i="12"/>
  <c r="P315" i="12"/>
  <c r="Q315" i="12"/>
  <c r="R315" i="12"/>
  <c r="S315" i="12"/>
  <c r="T315" i="12"/>
  <c r="U315" i="12"/>
  <c r="Y315" i="12"/>
  <c r="C315" i="12"/>
  <c r="Y304" i="12"/>
  <c r="X304" i="12"/>
  <c r="V304" i="12"/>
  <c r="U304" i="12"/>
  <c r="R304" i="12"/>
  <c r="L304" i="12"/>
  <c r="J304" i="12"/>
  <c r="I304" i="12"/>
  <c r="G304" i="12"/>
  <c r="F304" i="12"/>
  <c r="D304" i="12"/>
  <c r="E304" i="12"/>
  <c r="H304" i="12"/>
  <c r="K304" i="12"/>
  <c r="M304" i="12"/>
  <c r="N304" i="12"/>
  <c r="O304" i="12"/>
  <c r="P304" i="12"/>
  <c r="Q304" i="12"/>
  <c r="S304" i="12"/>
  <c r="T304" i="12"/>
  <c r="W304" i="12"/>
  <c r="C304" i="12"/>
  <c r="B5" i="29"/>
  <c r="J41" i="34"/>
  <c r="B5" i="46"/>
  <c r="H395" i="12" l="1"/>
  <c r="B396" i="12"/>
  <c r="E434" i="12"/>
  <c r="C437" i="12"/>
  <c r="S437" i="12"/>
  <c r="AI437" i="12"/>
  <c r="D436" i="12"/>
  <c r="T436" i="12"/>
  <c r="AJ436" i="12"/>
  <c r="C435" i="12"/>
  <c r="S435" i="12"/>
  <c r="AI435" i="12"/>
  <c r="AD434" i="12"/>
  <c r="V436" i="12"/>
  <c r="B437" i="12"/>
  <c r="AG435" i="12"/>
  <c r="N437" i="12"/>
  <c r="AD437" i="12"/>
  <c r="AT437" i="12"/>
  <c r="AI436" i="12"/>
  <c r="R435" i="12"/>
  <c r="AT435" i="12"/>
  <c r="L437" i="12"/>
  <c r="AB437" i="12"/>
  <c r="AR437" i="12"/>
  <c r="M436" i="12"/>
  <c r="AC436" i="12"/>
  <c r="AS436" i="12"/>
  <c r="L435" i="12"/>
  <c r="AB435" i="12"/>
  <c r="AR435" i="12"/>
  <c r="I437" i="12"/>
  <c r="Y437" i="12"/>
  <c r="AO437" i="12"/>
  <c r="N436" i="12"/>
  <c r="AT436" i="12"/>
  <c r="AC435" i="12"/>
  <c r="J437" i="12"/>
  <c r="AA436" i="12"/>
  <c r="F435" i="12"/>
  <c r="AP435" i="12"/>
  <c r="C434" i="12"/>
  <c r="AA434" i="12"/>
  <c r="R434" i="12"/>
  <c r="AV434" i="12"/>
  <c r="O434" i="12"/>
  <c r="AU434" i="12"/>
  <c r="L434" i="12"/>
  <c r="U434" i="12"/>
  <c r="X434" i="12"/>
  <c r="AW434" i="12"/>
  <c r="K437" i="12"/>
  <c r="AB436" i="12"/>
  <c r="K435" i="12"/>
  <c r="AQ435" i="12"/>
  <c r="AL436" i="12"/>
  <c r="AW435" i="12"/>
  <c r="O436" i="12"/>
  <c r="D437" i="12"/>
  <c r="AJ437" i="12"/>
  <c r="U436" i="12"/>
  <c r="D435" i="12"/>
  <c r="AJ435" i="12"/>
  <c r="Q437" i="12"/>
  <c r="AW437" i="12"/>
  <c r="M435" i="12"/>
  <c r="K436" i="12"/>
  <c r="V435" i="12"/>
  <c r="T434" i="12"/>
  <c r="F434" i="12"/>
  <c r="Y434" i="12"/>
  <c r="G434" i="12"/>
  <c r="AI434" i="12"/>
  <c r="AE437" i="12"/>
  <c r="AF436" i="12"/>
  <c r="AE435" i="12"/>
  <c r="J436" i="12"/>
  <c r="Y435" i="12"/>
  <c r="Z437" i="12"/>
  <c r="W436" i="12"/>
  <c r="AL435" i="12"/>
  <c r="X437" i="12"/>
  <c r="I436" i="12"/>
  <c r="AO436" i="12"/>
  <c r="X435" i="12"/>
  <c r="B435" i="12"/>
  <c r="AK437" i="12"/>
  <c r="AH436" i="12"/>
  <c r="G437" i="12"/>
  <c r="W437" i="12"/>
  <c r="AM437" i="12"/>
  <c r="H436" i="12"/>
  <c r="X436" i="12"/>
  <c r="AN436" i="12"/>
  <c r="G435" i="12"/>
  <c r="W435" i="12"/>
  <c r="AM435" i="12"/>
  <c r="AT434" i="12"/>
  <c r="AD436" i="12"/>
  <c r="I435" i="12"/>
  <c r="AO435" i="12"/>
  <c r="R437" i="12"/>
  <c r="AH437" i="12"/>
  <c r="G436" i="12"/>
  <c r="AQ436" i="12"/>
  <c r="Z435" i="12"/>
  <c r="AP434" i="12"/>
  <c r="P437" i="12"/>
  <c r="AF437" i="12"/>
  <c r="AV437" i="12"/>
  <c r="Q436" i="12"/>
  <c r="AG436" i="12"/>
  <c r="AW436" i="12"/>
  <c r="P435" i="12"/>
  <c r="AF435" i="12"/>
  <c r="AV435" i="12"/>
  <c r="M437" i="12"/>
  <c r="AC437" i="12"/>
  <c r="AS437" i="12"/>
  <c r="R436" i="12"/>
  <c r="E435" i="12"/>
  <c r="AK435" i="12"/>
  <c r="C436" i="12"/>
  <c r="AE436" i="12"/>
  <c r="N435" i="12"/>
  <c r="Z434" i="12"/>
  <c r="AJ434" i="12"/>
  <c r="AS434" i="12"/>
  <c r="V434" i="12"/>
  <c r="AF434" i="12"/>
  <c r="AO434" i="12"/>
  <c r="S434" i="12"/>
  <c r="AQ434" i="12"/>
  <c r="AM434" i="12"/>
  <c r="K434" i="12"/>
  <c r="N434" i="12"/>
  <c r="AA437" i="12"/>
  <c r="AQ437" i="12"/>
  <c r="L436" i="12"/>
  <c r="AR436" i="12"/>
  <c r="AA435" i="12"/>
  <c r="E437" i="12"/>
  <c r="Q435" i="12"/>
  <c r="V437" i="12"/>
  <c r="AL437" i="12"/>
  <c r="B436" i="12"/>
  <c r="AD435" i="12"/>
  <c r="T437" i="12"/>
  <c r="E436" i="12"/>
  <c r="AK436" i="12"/>
  <c r="T435" i="12"/>
  <c r="AH434" i="12"/>
  <c r="AG437" i="12"/>
  <c r="Z436" i="12"/>
  <c r="AS435" i="12"/>
  <c r="AM436" i="12"/>
  <c r="J434" i="12"/>
  <c r="AC434" i="12"/>
  <c r="P434" i="12"/>
  <c r="AR434" i="12"/>
  <c r="H434" i="12"/>
  <c r="AG434" i="12"/>
  <c r="O437" i="12"/>
  <c r="AU437" i="12"/>
  <c r="P436" i="12"/>
  <c r="AV436" i="12"/>
  <c r="O435" i="12"/>
  <c r="AU435" i="12"/>
  <c r="AP436" i="12"/>
  <c r="F437" i="12"/>
  <c r="AP437" i="12"/>
  <c r="J435" i="12"/>
  <c r="H437" i="12"/>
  <c r="AN437" i="12"/>
  <c r="Y436" i="12"/>
  <c r="H435" i="12"/>
  <c r="AN435" i="12"/>
  <c r="U437" i="12"/>
  <c r="F436" i="12"/>
  <c r="U435" i="12"/>
  <c r="AL434" i="12"/>
  <c r="AE434" i="12"/>
  <c r="B434" i="12"/>
  <c r="Q434" i="12"/>
  <c r="S436" i="12"/>
  <c r="D434" i="12"/>
  <c r="I434" i="12"/>
  <c r="AN434" i="12"/>
  <c r="AU436" i="12"/>
  <c r="M434" i="12"/>
  <c r="AB434" i="12"/>
  <c r="AH435" i="12"/>
  <c r="W434" i="12"/>
  <c r="AK434" i="12"/>
  <c r="R433" i="12"/>
  <c r="AH433" i="12"/>
  <c r="B433" i="12"/>
  <c r="R432" i="12"/>
  <c r="AH432" i="12"/>
  <c r="B432" i="12"/>
  <c r="AR432" i="12"/>
  <c r="E433" i="12"/>
  <c r="U433" i="12"/>
  <c r="AK433" i="12"/>
  <c r="E432" i="12"/>
  <c r="U432" i="12"/>
  <c r="AK432" i="12"/>
  <c r="D433" i="12"/>
  <c r="X433" i="12"/>
  <c r="AN433" i="12"/>
  <c r="H432" i="12"/>
  <c r="AB432" i="12"/>
  <c r="C433" i="12"/>
  <c r="W433" i="12"/>
  <c r="AM433" i="12"/>
  <c r="G432" i="12"/>
  <c r="W432" i="12"/>
  <c r="AQ432" i="12"/>
  <c r="N433" i="12"/>
  <c r="AD433" i="12"/>
  <c r="AT433" i="12"/>
  <c r="N432" i="12"/>
  <c r="AD432" i="12"/>
  <c r="AT432" i="12"/>
  <c r="AF432" i="12"/>
  <c r="AU432" i="12"/>
  <c r="Q433" i="12"/>
  <c r="AG433" i="12"/>
  <c r="AW433" i="12"/>
  <c r="Q432" i="12"/>
  <c r="AG432" i="12"/>
  <c r="AW432" i="12"/>
  <c r="T433" i="12"/>
  <c r="AJ433" i="12"/>
  <c r="D432" i="12"/>
  <c r="X432" i="12"/>
  <c r="AV432" i="12"/>
  <c r="S433" i="12"/>
  <c r="AI433" i="12"/>
  <c r="C432" i="12"/>
  <c r="S432" i="12"/>
  <c r="AM432" i="12"/>
  <c r="J433" i="12"/>
  <c r="Z433" i="12"/>
  <c r="AP433" i="12"/>
  <c r="J432" i="12"/>
  <c r="Z432" i="12"/>
  <c r="AP432" i="12"/>
  <c r="T432" i="12"/>
  <c r="AE432" i="12"/>
  <c r="M433" i="12"/>
  <c r="AC433" i="12"/>
  <c r="AS433" i="12"/>
  <c r="M432" i="12"/>
  <c r="AC432" i="12"/>
  <c r="AS432" i="12"/>
  <c r="P433" i="12"/>
  <c r="AF433" i="12"/>
  <c r="AV433" i="12"/>
  <c r="P432" i="12"/>
  <c r="AN432" i="12"/>
  <c r="O433" i="12"/>
  <c r="AE433" i="12"/>
  <c r="AU433" i="12"/>
  <c r="O432" i="12"/>
  <c r="AI432" i="12"/>
  <c r="F433" i="12"/>
  <c r="V433" i="12"/>
  <c r="AL433" i="12"/>
  <c r="F432" i="12"/>
  <c r="V432" i="12"/>
  <c r="AL432" i="12"/>
  <c r="H433" i="12"/>
  <c r="G433" i="12"/>
  <c r="I433" i="12"/>
  <c r="Y433" i="12"/>
  <c r="AO433" i="12"/>
  <c r="I432" i="12"/>
  <c r="Y432" i="12"/>
  <c r="AO432" i="12"/>
  <c r="L433" i="12"/>
  <c r="AB433" i="12"/>
  <c r="AR433" i="12"/>
  <c r="L432" i="12"/>
  <c r="AJ432" i="12"/>
  <c r="K433" i="12"/>
  <c r="AA433" i="12"/>
  <c r="AQ433" i="12"/>
  <c r="K432" i="12"/>
  <c r="AA432" i="12"/>
  <c r="AK396" i="12"/>
  <c r="AJ418" i="12"/>
  <c r="F418" i="12"/>
  <c r="AM418" i="12"/>
  <c r="AW417" i="12"/>
  <c r="AB418" i="12"/>
  <c r="AW418" i="12"/>
  <c r="AG418" i="12"/>
  <c r="X418" i="12"/>
  <c r="K418" i="12"/>
  <c r="R417" i="12"/>
  <c r="AF417" i="12"/>
  <c r="AK418" i="12"/>
  <c r="AJ417" i="12"/>
  <c r="AB417" i="12"/>
  <c r="V418" i="12"/>
  <c r="Y418" i="12"/>
  <c r="E418" i="12"/>
  <c r="G418" i="12"/>
  <c r="AC417" i="12"/>
  <c r="AA418" i="12"/>
  <c r="AI417" i="12"/>
  <c r="AD417" i="12"/>
  <c r="Z417" i="12"/>
  <c r="AU417" i="12"/>
  <c r="F417" i="12"/>
  <c r="H418" i="12"/>
  <c r="O417" i="12"/>
  <c r="AU418" i="12"/>
  <c r="Y417" i="12"/>
  <c r="AA417" i="12"/>
  <c r="AT418" i="12"/>
  <c r="AL418" i="12"/>
  <c r="AH418" i="12"/>
  <c r="AS417" i="12"/>
  <c r="J417" i="12"/>
  <c r="D417" i="12"/>
  <c r="AS418" i="12"/>
  <c r="B417" i="12"/>
  <c r="AF418" i="12"/>
  <c r="AR417" i="12"/>
  <c r="U418" i="12"/>
  <c r="W418" i="12"/>
  <c r="AG417" i="12"/>
  <c r="AQ417" i="12"/>
  <c r="M418" i="12"/>
  <c r="Q418" i="12"/>
  <c r="I418" i="12"/>
  <c r="T417" i="12"/>
  <c r="N417" i="12"/>
  <c r="I417" i="12"/>
  <c r="AK417" i="12"/>
  <c r="N418" i="12"/>
  <c r="J418" i="12"/>
  <c r="D418" i="12"/>
  <c r="M417" i="12"/>
  <c r="G417" i="12"/>
  <c r="AN417" i="12"/>
  <c r="R418" i="12"/>
  <c r="C417" i="12"/>
  <c r="U395" i="12"/>
  <c r="AC395" i="12"/>
  <c r="AR418" i="12"/>
  <c r="AH417" i="12"/>
  <c r="O418" i="12"/>
  <c r="V417" i="12"/>
  <c r="C418" i="12"/>
  <c r="AD418" i="12"/>
  <c r="L417" i="12"/>
  <c r="AM417" i="12"/>
  <c r="T418" i="12"/>
  <c r="AE417" i="12"/>
  <c r="L418" i="12"/>
  <c r="W417" i="12"/>
  <c r="AI418" i="12"/>
  <c r="AT417" i="12"/>
  <c r="AP417" i="12"/>
  <c r="E417" i="12"/>
  <c r="Q417" i="12"/>
  <c r="AN418" i="12"/>
  <c r="P418" i="12"/>
  <c r="X417" i="12"/>
  <c r="AG395" i="12"/>
  <c r="O396" i="12"/>
  <c r="AS396" i="12"/>
  <c r="G395" i="12"/>
  <c r="M395" i="12"/>
  <c r="AO396" i="12"/>
  <c r="AT395" i="12"/>
  <c r="S396" i="12"/>
  <c r="F396" i="12"/>
  <c r="M396" i="12"/>
  <c r="AP396" i="12"/>
  <c r="AL396" i="12"/>
  <c r="AJ396" i="12"/>
  <c r="AM395" i="12"/>
  <c r="Q396" i="12"/>
  <c r="AB396" i="12"/>
  <c r="W395" i="12"/>
  <c r="AW395" i="12"/>
  <c r="T396" i="12"/>
  <c r="AN395" i="12"/>
  <c r="AE395" i="12"/>
  <c r="O395" i="12"/>
  <c r="L396" i="12"/>
  <c r="B395" i="12"/>
  <c r="AC396" i="12"/>
  <c r="Q395" i="12"/>
  <c r="AT396" i="12"/>
  <c r="K396" i="12"/>
  <c r="E396" i="12"/>
  <c r="J395" i="12"/>
  <c r="Z396" i="12"/>
  <c r="AM396" i="12"/>
  <c r="AK395" i="12"/>
  <c r="R396" i="12"/>
  <c r="AV395" i="12"/>
  <c r="N396" i="12"/>
  <c r="AE396" i="12"/>
  <c r="V396" i="12"/>
  <c r="AO395" i="12"/>
  <c r="X396" i="12"/>
  <c r="AI396" i="12"/>
  <c r="X395" i="12"/>
  <c r="H396" i="12"/>
  <c r="AA396" i="12"/>
  <c r="Z395" i="12"/>
  <c r="E395" i="12"/>
  <c r="P395" i="12"/>
  <c r="I395" i="12"/>
  <c r="AB395" i="12"/>
  <c r="R395" i="12"/>
  <c r="V395" i="12"/>
  <c r="C396" i="12"/>
  <c r="G396" i="12"/>
  <c r="N395" i="12"/>
  <c r="AQ395" i="12"/>
  <c r="AF395" i="12"/>
  <c r="F395" i="12"/>
  <c r="AI395" i="12"/>
  <c r="I396" i="12"/>
  <c r="AG396" i="12"/>
  <c r="AH395" i="12"/>
  <c r="AQ396" i="12"/>
  <c r="AP395" i="12"/>
  <c r="K395" i="12"/>
  <c r="AJ395" i="12"/>
  <c r="AD395" i="12"/>
  <c r="Y396" i="12"/>
  <c r="AH396" i="12"/>
  <c r="AS395" i="12"/>
  <c r="S395" i="12"/>
  <c r="J396" i="12"/>
  <c r="D396" i="12"/>
  <c r="P396" i="12"/>
  <c r="AA395" i="12"/>
  <c r="Y395" i="12"/>
  <c r="AR395" i="12"/>
  <c r="W396" i="12"/>
  <c r="U396" i="12"/>
  <c r="C395" i="12"/>
  <c r="AU395" i="12"/>
  <c r="AR396" i="12"/>
  <c r="AL395" i="12"/>
  <c r="AV396" i="12"/>
  <c r="T395" i="12"/>
  <c r="AU396" i="12"/>
  <c r="AN396" i="12"/>
  <c r="L395" i="12"/>
  <c r="AD396" i="12"/>
  <c r="AF396" i="12"/>
  <c r="D395" i="12"/>
  <c r="AW396" i="12"/>
  <c r="AQ418" i="12"/>
  <c r="AO418" i="12"/>
  <c r="U417" i="12"/>
  <c r="B418" i="12"/>
  <c r="AC418" i="12"/>
  <c r="H417" i="12"/>
  <c r="AL417" i="12"/>
  <c r="S418" i="12"/>
  <c r="AP418" i="12"/>
  <c r="P417" i="12"/>
  <c r="K417" i="12"/>
  <c r="AV417" i="12"/>
  <c r="AO417" i="12"/>
  <c r="Z418" i="12"/>
  <c r="S417" i="12"/>
  <c r="AE418" i="12"/>
  <c r="C374" i="12"/>
  <c r="T373" i="12"/>
  <c r="AJ374" i="12"/>
  <c r="E374" i="12"/>
  <c r="V373" i="12"/>
  <c r="Y374" i="12"/>
  <c r="AP373" i="12"/>
  <c r="O374" i="12"/>
  <c r="P374" i="12"/>
  <c r="C373" i="12"/>
  <c r="AM373" i="12"/>
  <c r="K373" i="12"/>
  <c r="S374" i="12"/>
  <c r="E373" i="12"/>
  <c r="AL373" i="12"/>
  <c r="AO374" i="12"/>
  <c r="AU374" i="12"/>
  <c r="AI373" i="12"/>
  <c r="X374" i="12"/>
  <c r="AR373" i="12"/>
  <c r="AC374" i="12"/>
  <c r="AD374" i="12"/>
  <c r="B373" i="12"/>
  <c r="AI374" i="12"/>
  <c r="AK374" i="12"/>
  <c r="AT374" i="12"/>
  <c r="V374" i="12"/>
  <c r="K374" i="12"/>
  <c r="AB373" i="12"/>
  <c r="AR374" i="12"/>
  <c r="M374" i="12"/>
  <c r="AD373" i="12"/>
  <c r="AG374" i="12"/>
  <c r="B374" i="12"/>
  <c r="AE374" i="12"/>
  <c r="AF374" i="12"/>
  <c r="S373" i="12"/>
  <c r="W374" i="12"/>
  <c r="G374" i="12"/>
  <c r="AJ373" i="12"/>
  <c r="U374" i="12"/>
  <c r="J374" i="12"/>
  <c r="AV374" i="12"/>
  <c r="AM374" i="12"/>
  <c r="AT373" i="12"/>
  <c r="H373" i="12"/>
  <c r="D374" i="12"/>
  <c r="U373" i="12"/>
  <c r="J373" i="12"/>
  <c r="AG373" i="12"/>
  <c r="I373" i="12"/>
  <c r="AQ374" i="12"/>
  <c r="L374" i="12"/>
  <c r="AC373" i="12"/>
  <c r="AS374" i="12"/>
  <c r="N374" i="12"/>
  <c r="R373" i="12"/>
  <c r="O373" i="12"/>
  <c r="AV373" i="12"/>
  <c r="AW373" i="12"/>
  <c r="AL374" i="12"/>
  <c r="AN373" i="12"/>
  <c r="Y373" i="12"/>
  <c r="L373" i="12"/>
  <c r="AB374" i="12"/>
  <c r="AS373" i="12"/>
  <c r="N373" i="12"/>
  <c r="Q374" i="12"/>
  <c r="AH373" i="12"/>
  <c r="AU373" i="12"/>
  <c r="AQ373" i="12"/>
  <c r="AH374" i="12"/>
  <c r="W373" i="12"/>
  <c r="AP374" i="12"/>
  <c r="AA373" i="12"/>
  <c r="AA374" i="12"/>
  <c r="AW374" i="12"/>
  <c r="Q373" i="12"/>
  <c r="F374" i="12"/>
  <c r="X373" i="12"/>
  <c r="D373" i="12"/>
  <c r="T374" i="12"/>
  <c r="AK373" i="12"/>
  <c r="F373" i="12"/>
  <c r="I374" i="12"/>
  <c r="Z373" i="12"/>
  <c r="AE373" i="12"/>
  <c r="Z374" i="12"/>
  <c r="R374" i="12"/>
  <c r="G373" i="12"/>
  <c r="H374" i="12"/>
  <c r="AO373" i="12"/>
  <c r="M373" i="12"/>
  <c r="P373" i="12"/>
  <c r="AN374" i="12"/>
  <c r="AF373" i="12"/>
  <c r="AN385" i="12"/>
  <c r="R385" i="12"/>
  <c r="O384" i="12"/>
  <c r="AH384" i="12"/>
  <c r="AF384" i="12"/>
  <c r="AE385" i="12"/>
  <c r="W384" i="12"/>
  <c r="AQ385" i="12"/>
  <c r="L385" i="12"/>
  <c r="AB384" i="12"/>
  <c r="AS385" i="12"/>
  <c r="V385" i="12"/>
  <c r="AL384" i="12"/>
  <c r="I384" i="12"/>
  <c r="J384" i="12"/>
  <c r="B384" i="12"/>
  <c r="J385" i="12"/>
  <c r="AV385" i="12"/>
  <c r="C384" i="12"/>
  <c r="T385" i="12"/>
  <c r="AJ384" i="12"/>
  <c r="E384" i="12"/>
  <c r="AD385" i="12"/>
  <c r="AT384" i="12"/>
  <c r="Q384" i="12"/>
  <c r="AN384" i="12"/>
  <c r="AM385" i="12"/>
  <c r="AE384" i="12"/>
  <c r="Z385" i="12"/>
  <c r="K384" i="12"/>
  <c r="AB385" i="12"/>
  <c r="AR384" i="12"/>
  <c r="M384" i="12"/>
  <c r="AL385" i="12"/>
  <c r="I385" i="12"/>
  <c r="Y384" i="12"/>
  <c r="R384" i="12"/>
  <c r="P385" i="12"/>
  <c r="H384" i="12"/>
  <c r="AV384" i="12"/>
  <c r="C385" i="12"/>
  <c r="S384" i="12"/>
  <c r="AJ385" i="12"/>
  <c r="E385" i="12"/>
  <c r="U384" i="12"/>
  <c r="AT385" i="12"/>
  <c r="Q385" i="12"/>
  <c r="AG384" i="12"/>
  <c r="AU385" i="12"/>
  <c r="AM384" i="12"/>
  <c r="AH385" i="12"/>
  <c r="Z384" i="12"/>
  <c r="K385" i="12"/>
  <c r="AA384" i="12"/>
  <c r="AR385" i="12"/>
  <c r="M385" i="12"/>
  <c r="AC384" i="12"/>
  <c r="F384" i="12"/>
  <c r="Y385" i="12"/>
  <c r="AO384" i="12"/>
  <c r="X385" i="12"/>
  <c r="P384" i="12"/>
  <c r="O385" i="12"/>
  <c r="G384" i="12"/>
  <c r="AU384" i="12"/>
  <c r="S385" i="12"/>
  <c r="AI384" i="12"/>
  <c r="D384" i="12"/>
  <c r="U385" i="12"/>
  <c r="AK384" i="12"/>
  <c r="N384" i="12"/>
  <c r="AG385" i="12"/>
  <c r="AW384" i="12"/>
  <c r="G385" i="12"/>
  <c r="AP385" i="12"/>
  <c r="H385" i="12"/>
  <c r="AF385" i="12"/>
  <c r="X384" i="12"/>
  <c r="AA385" i="12"/>
  <c r="AQ384" i="12"/>
  <c r="L384" i="12"/>
  <c r="AC385" i="12"/>
  <c r="AS384" i="12"/>
  <c r="V384" i="12"/>
  <c r="AK385" i="12"/>
  <c r="N385" i="12"/>
  <c r="F385" i="12"/>
  <c r="B385" i="12"/>
  <c r="AD384" i="12"/>
  <c r="AP384" i="12"/>
  <c r="AO385" i="12"/>
  <c r="AW385" i="12"/>
  <c r="AI385" i="12"/>
  <c r="D385" i="12"/>
  <c r="T384" i="12"/>
  <c r="W385" i="12"/>
  <c r="B340" i="12"/>
  <c r="B341" i="12" s="1"/>
  <c r="J342" i="12" s="1"/>
  <c r="B329" i="12"/>
  <c r="B330" i="12" s="1"/>
  <c r="B307" i="12"/>
  <c r="B308" i="12" s="1"/>
  <c r="E310" i="12" s="1"/>
  <c r="B318" i="12"/>
  <c r="B319" i="12" s="1"/>
  <c r="K15" i="48"/>
  <c r="L15" i="48"/>
  <c r="M15" i="48"/>
  <c r="J15" i="48"/>
  <c r="B4" i="48" l="1"/>
  <c r="Q331" i="12"/>
  <c r="I331" i="12"/>
  <c r="Z332" i="12"/>
  <c r="AI332" i="12"/>
  <c r="M332" i="12"/>
  <c r="AP331" i="12"/>
  <c r="B332" i="12"/>
  <c r="K332" i="12"/>
  <c r="U331" i="12"/>
  <c r="B331" i="12"/>
  <c r="AE331" i="12"/>
  <c r="AQ331" i="12"/>
  <c r="E332" i="12"/>
  <c r="AH331" i="12"/>
  <c r="K331" i="12"/>
  <c r="C332" i="12"/>
  <c r="AB331" i="12"/>
  <c r="N331" i="12"/>
  <c r="G331" i="12"/>
  <c r="AK332" i="12"/>
  <c r="M331" i="12"/>
  <c r="AE332" i="12"/>
  <c r="AS331" i="12"/>
  <c r="G332" i="12"/>
  <c r="J331" i="12"/>
  <c r="Y332" i="12"/>
  <c r="P332" i="12"/>
  <c r="AR331" i="12"/>
  <c r="V331" i="12"/>
  <c r="C331" i="12"/>
  <c r="AF332" i="12"/>
  <c r="T331" i="12"/>
  <c r="AW332" i="12"/>
  <c r="T332" i="12"/>
  <c r="AL332" i="12"/>
  <c r="AM332" i="12"/>
  <c r="AC332" i="12"/>
  <c r="R332" i="12"/>
  <c r="AN332" i="12"/>
  <c r="AC331" i="12"/>
  <c r="AT331" i="12"/>
  <c r="AI331" i="12"/>
  <c r="O331" i="12"/>
  <c r="W332" i="12"/>
  <c r="AV331" i="12"/>
  <c r="H332" i="12"/>
  <c r="X332" i="12"/>
  <c r="P331" i="12"/>
  <c r="AA331" i="12"/>
  <c r="Y331" i="12"/>
  <c r="AK331" i="12"/>
  <c r="AN331" i="12"/>
  <c r="R331" i="12"/>
  <c r="AT332" i="12"/>
  <c r="H331" i="12"/>
  <c r="AG332" i="12"/>
  <c r="AU331" i="12"/>
  <c r="F332" i="12"/>
  <c r="AR332" i="12"/>
  <c r="AQ332" i="12"/>
  <c r="AB332" i="12"/>
  <c r="F321" i="12"/>
  <c r="V320" i="12"/>
  <c r="AN321" i="12"/>
  <c r="J321" i="12"/>
  <c r="Z320" i="12"/>
  <c r="AI321" i="12"/>
  <c r="AG321" i="12"/>
  <c r="K320" i="12"/>
  <c r="M320" i="12"/>
  <c r="AB320" i="12"/>
  <c r="AQ320" i="12"/>
  <c r="L321" i="12"/>
  <c r="AC321" i="12"/>
  <c r="AM320" i="12"/>
  <c r="AQ321" i="12"/>
  <c r="AT320" i="12"/>
  <c r="AH321" i="12"/>
  <c r="AR321" i="12"/>
  <c r="Y320" i="12"/>
  <c r="AO321" i="12"/>
  <c r="T320" i="12"/>
  <c r="N321" i="12"/>
  <c r="AD320" i="12"/>
  <c r="AV321" i="12"/>
  <c r="R321" i="12"/>
  <c r="AH320" i="12"/>
  <c r="M321" i="12"/>
  <c r="AU321" i="12"/>
  <c r="W320" i="12"/>
  <c r="AA320" i="12"/>
  <c r="AO320" i="12"/>
  <c r="I321" i="12"/>
  <c r="AB321" i="12"/>
  <c r="V321" i="12"/>
  <c r="AL320" i="12"/>
  <c r="H320" i="12"/>
  <c r="Z321" i="12"/>
  <c r="AP320" i="12"/>
  <c r="L320" i="12"/>
  <c r="AJ320" i="12"/>
  <c r="G321" i="12"/>
  <c r="Y321" i="12"/>
  <c r="AD321" i="12"/>
  <c r="P320" i="12"/>
  <c r="B320" i="12"/>
  <c r="AW320" i="12"/>
  <c r="G320" i="12"/>
  <c r="AL321" i="12"/>
  <c r="I320" i="12"/>
  <c r="U321" i="12"/>
  <c r="AT321" i="12"/>
  <c r="P321" i="12"/>
  <c r="AF320" i="12"/>
  <c r="B321" i="12"/>
  <c r="K321" i="12"/>
  <c r="U320" i="12"/>
  <c r="O321" i="12"/>
  <c r="T321" i="12"/>
  <c r="AK321" i="12"/>
  <c r="D320" i="12"/>
  <c r="S320" i="12"/>
  <c r="AG320" i="12"/>
  <c r="D321" i="12"/>
  <c r="AF321" i="12"/>
  <c r="R320" i="12"/>
  <c r="Q321" i="12"/>
  <c r="AW321" i="12"/>
  <c r="AC320" i="12"/>
  <c r="E321" i="12"/>
  <c r="H321" i="12"/>
  <c r="AP321" i="12"/>
  <c r="AI320" i="12"/>
  <c r="AM321" i="12"/>
  <c r="F320" i="12"/>
  <c r="X321" i="12"/>
  <c r="AN320" i="12"/>
  <c r="J320" i="12"/>
  <c r="S321" i="12"/>
  <c r="AU320" i="12"/>
  <c r="AE321" i="12"/>
  <c r="AJ321" i="12"/>
  <c r="C320" i="12"/>
  <c r="Q320" i="12"/>
  <c r="AE320" i="12"/>
  <c r="AS320" i="12"/>
  <c r="N320" i="12"/>
  <c r="AV320" i="12"/>
  <c r="AA321" i="12"/>
  <c r="AS321" i="12"/>
  <c r="O320" i="12"/>
  <c r="AR320" i="12"/>
  <c r="W321" i="12"/>
  <c r="X320" i="12"/>
  <c r="C321" i="12"/>
  <c r="AK320" i="12"/>
  <c r="E320" i="12"/>
  <c r="AS332" i="12"/>
  <c r="X331" i="12"/>
  <c r="S331" i="12"/>
  <c r="W331" i="12"/>
  <c r="D331" i="12"/>
  <c r="AD331" i="12"/>
  <c r="I332" i="12"/>
  <c r="AH332" i="12"/>
  <c r="E331" i="12"/>
  <c r="S332" i="12"/>
  <c r="AM331" i="12"/>
  <c r="AG331" i="12"/>
  <c r="O332" i="12"/>
  <c r="AO332" i="12"/>
  <c r="L332" i="12"/>
  <c r="D332" i="12"/>
  <c r="U332" i="12"/>
  <c r="AU332" i="12"/>
  <c r="Z331" i="12"/>
  <c r="AW331" i="12"/>
  <c r="AO331" i="12"/>
  <c r="AJ331" i="12"/>
  <c r="N332" i="12"/>
  <c r="V332" i="12"/>
  <c r="AF331" i="12"/>
  <c r="J332" i="12"/>
  <c r="AV332" i="12"/>
  <c r="L331" i="12"/>
  <c r="AL331" i="12"/>
  <c r="Q332" i="12"/>
  <c r="AP332" i="12"/>
  <c r="AD332" i="12"/>
  <c r="AA332" i="12"/>
  <c r="F331" i="12"/>
  <c r="AJ332" i="12"/>
  <c r="AE309" i="12"/>
  <c r="P309" i="12"/>
  <c r="AN309" i="12"/>
  <c r="AU309" i="12"/>
  <c r="AV309" i="12"/>
  <c r="B309" i="12"/>
  <c r="C310" i="12"/>
  <c r="K310" i="12"/>
  <c r="T309" i="12"/>
  <c r="S310" i="12"/>
  <c r="W309" i="12"/>
  <c r="C309" i="12"/>
  <c r="H310" i="12"/>
  <c r="AJ310" i="12"/>
  <c r="AF309" i="12"/>
  <c r="K309" i="12"/>
  <c r="I309" i="12"/>
  <c r="AC309" i="12"/>
  <c r="S309" i="12"/>
  <c r="Z310" i="12"/>
  <c r="W310" i="12"/>
  <c r="AB310" i="12"/>
  <c r="AG309" i="12"/>
  <c r="AE310" i="12"/>
  <c r="AR310" i="12"/>
  <c r="AA310" i="12"/>
  <c r="AH310" i="12"/>
  <c r="X309" i="12"/>
  <c r="AJ309" i="12"/>
  <c r="AA309" i="12"/>
  <c r="AH309" i="12"/>
  <c r="AP310" i="12"/>
  <c r="I310" i="12"/>
  <c r="E309" i="12"/>
  <c r="AI309" i="12"/>
  <c r="AP309" i="12"/>
  <c r="B310" i="12"/>
  <c r="AW310" i="12"/>
  <c r="AT310" i="12"/>
  <c r="AQ309" i="12"/>
  <c r="D310" i="12"/>
  <c r="AI310" i="12"/>
  <c r="AW309" i="12"/>
  <c r="Q309" i="12"/>
  <c r="Q310" i="12"/>
  <c r="P310" i="12"/>
  <c r="AM310" i="12"/>
  <c r="AK309" i="12"/>
  <c r="M309" i="12"/>
  <c r="M310" i="12"/>
  <c r="D309" i="12"/>
  <c r="L310" i="12"/>
  <c r="AQ310" i="12"/>
  <c r="J309" i="12"/>
  <c r="J310" i="12"/>
  <c r="Y310" i="12"/>
  <c r="X310" i="12"/>
  <c r="AU310" i="12"/>
  <c r="AS309" i="12"/>
  <c r="U309" i="12"/>
  <c r="U310" i="12"/>
  <c r="L309" i="12"/>
  <c r="T310" i="12"/>
  <c r="Z309" i="12"/>
  <c r="R309" i="12"/>
  <c r="R310" i="12"/>
  <c r="AO310" i="12"/>
  <c r="AF310" i="12"/>
  <c r="AD309" i="12"/>
  <c r="F309" i="12"/>
  <c r="F310" i="12"/>
  <c r="AC310" i="12"/>
  <c r="AV310" i="12"/>
  <c r="AL309" i="12"/>
  <c r="N309" i="12"/>
  <c r="N310" i="12"/>
  <c r="AK310" i="12"/>
  <c r="AM309" i="12"/>
  <c r="G309" i="12"/>
  <c r="V309" i="12"/>
  <c r="V310" i="12"/>
  <c r="AS310" i="12"/>
  <c r="H309" i="12"/>
  <c r="O309" i="12"/>
  <c r="O310" i="12"/>
  <c r="AD310" i="12"/>
  <c r="AB309" i="12"/>
  <c r="AO309" i="12"/>
  <c r="Y309" i="12"/>
  <c r="AG310" i="12"/>
  <c r="AN310" i="12"/>
  <c r="AT309" i="12"/>
  <c r="G310" i="12"/>
  <c r="AL310" i="12"/>
  <c r="AR309" i="12"/>
  <c r="AK342" i="12"/>
  <c r="L342" i="12"/>
  <c r="AV342" i="12"/>
  <c r="T343" i="12"/>
  <c r="T342" i="12"/>
  <c r="AK343" i="12"/>
  <c r="W342" i="12"/>
  <c r="F343" i="12"/>
  <c r="AM343" i="12"/>
  <c r="Z342" i="12"/>
  <c r="I343" i="12"/>
  <c r="Q342" i="12"/>
  <c r="I342" i="12"/>
  <c r="D343" i="12"/>
  <c r="E342" i="12"/>
  <c r="AB342" i="12"/>
  <c r="K343" i="12"/>
  <c r="AS343" i="12"/>
  <c r="AE342" i="12"/>
  <c r="N343" i="12"/>
  <c r="AU343" i="12"/>
  <c r="AH342" i="12"/>
  <c r="Q343" i="12"/>
  <c r="AF343" i="12"/>
  <c r="AT342" i="12"/>
  <c r="AE343" i="12"/>
  <c r="AQ342" i="12"/>
  <c r="B342" i="12"/>
  <c r="Z343" i="12"/>
  <c r="AJ342" i="12"/>
  <c r="AM342" i="12"/>
  <c r="AP342" i="12"/>
  <c r="AJ343" i="12"/>
  <c r="X343" i="12"/>
  <c r="N342" i="12"/>
  <c r="P342" i="12"/>
  <c r="Y342" i="12"/>
  <c r="AH343" i="12"/>
  <c r="L343" i="12"/>
  <c r="K342" i="12"/>
  <c r="AR343" i="12"/>
  <c r="AI343" i="12"/>
  <c r="V342" i="12"/>
  <c r="E343" i="12"/>
  <c r="AL343" i="12"/>
  <c r="X342" i="12"/>
  <c r="G343" i="12"/>
  <c r="AO343" i="12"/>
  <c r="AB343" i="12"/>
  <c r="R343" i="12"/>
  <c r="C342" i="12"/>
  <c r="AC343" i="12"/>
  <c r="O342" i="12"/>
  <c r="R342" i="12"/>
  <c r="S342" i="12"/>
  <c r="C343" i="12"/>
  <c r="J343" i="12"/>
  <c r="AN343" i="12"/>
  <c r="AO342" i="12"/>
  <c r="S343" i="12"/>
  <c r="F342" i="12"/>
  <c r="V343" i="12"/>
  <c r="H342" i="12"/>
  <c r="Y343" i="12"/>
  <c r="AS342" i="12"/>
  <c r="AC342" i="12"/>
  <c r="AR342" i="12"/>
  <c r="AA343" i="12"/>
  <c r="AU342" i="12"/>
  <c r="AD343" i="12"/>
  <c r="B343" i="12"/>
  <c r="AG343" i="12"/>
  <c r="H343" i="12"/>
  <c r="U342" i="12"/>
  <c r="AV343" i="12"/>
  <c r="M342" i="12"/>
  <c r="AG342" i="12"/>
  <c r="AQ343" i="12"/>
  <c r="AD342" i="12"/>
  <c r="M343" i="12"/>
  <c r="AT343" i="12"/>
  <c r="AF342" i="12"/>
  <c r="O343" i="12"/>
  <c r="AW343" i="12"/>
  <c r="AP343" i="12"/>
  <c r="AA342" i="12"/>
  <c r="AI342" i="12"/>
  <c r="AW342" i="12"/>
  <c r="P343" i="12"/>
  <c r="D342" i="12"/>
  <c r="AL342" i="12"/>
  <c r="U343" i="12"/>
  <c r="G342" i="12"/>
  <c r="AN342" i="12"/>
  <c r="W343" i="12"/>
  <c r="K15" i="46"/>
  <c r="L15" i="46"/>
  <c r="M15" i="46"/>
  <c r="J15" i="46"/>
  <c r="B4" i="46" l="1"/>
  <c r="B8" i="32"/>
  <c r="M20" i="34" s="1"/>
  <c r="B4" i="32"/>
  <c r="R20" i="34" s="1"/>
  <c r="I20" i="34" s="1"/>
  <c r="B5" i="32"/>
  <c r="V20" i="34" s="1"/>
  <c r="R23" i="34" l="1"/>
  <c r="D96" i="13" l="1"/>
  <c r="F348" i="12" l="1"/>
  <c r="G348" i="12"/>
  <c r="I348" i="12"/>
  <c r="J348" i="12"/>
  <c r="K348" i="12"/>
  <c r="L348" i="12"/>
  <c r="V348" i="12"/>
  <c r="X348" i="12"/>
  <c r="Y348" i="12"/>
  <c r="D348" i="12"/>
  <c r="E348" i="12"/>
  <c r="H348" i="12"/>
  <c r="M348" i="12"/>
  <c r="N348" i="12"/>
  <c r="O348" i="12"/>
  <c r="P348" i="12"/>
  <c r="Q348" i="12"/>
  <c r="R348" i="12"/>
  <c r="S348" i="12"/>
  <c r="T348" i="12"/>
  <c r="U348" i="12"/>
  <c r="W348" i="12"/>
  <c r="C348" i="12"/>
  <c r="W366" i="28"/>
  <c r="U366" i="28"/>
  <c r="R366" i="28"/>
  <c r="M366" i="28"/>
  <c r="L366" i="28"/>
  <c r="J366" i="28"/>
  <c r="E366" i="28"/>
  <c r="D366" i="28"/>
  <c r="F366" i="28"/>
  <c r="G366" i="28"/>
  <c r="H366" i="28"/>
  <c r="I366" i="28"/>
  <c r="K366" i="28"/>
  <c r="N366" i="28"/>
  <c r="P366" i="28"/>
  <c r="Q366" i="28"/>
  <c r="S366" i="28"/>
  <c r="T366" i="28"/>
  <c r="V366" i="28"/>
  <c r="C366" i="28"/>
  <c r="W323" i="28"/>
  <c r="U323" i="28"/>
  <c r="T323" i="28"/>
  <c r="Q323" i="28"/>
  <c r="O323" i="28"/>
  <c r="M323" i="28"/>
  <c r="L323" i="28"/>
  <c r="J323" i="28"/>
  <c r="I323" i="28"/>
  <c r="E323" i="28"/>
  <c r="D323" i="28"/>
  <c r="F323" i="28"/>
  <c r="G323" i="28"/>
  <c r="H323" i="28"/>
  <c r="K323" i="28"/>
  <c r="N323" i="28"/>
  <c r="P323" i="28"/>
  <c r="R323" i="28"/>
  <c r="V323" i="28"/>
  <c r="C323" i="28"/>
  <c r="D407" i="28"/>
  <c r="W386" i="28"/>
  <c r="U386" i="28"/>
  <c r="T386" i="28"/>
  <c r="R386" i="28"/>
  <c r="P386" i="28"/>
  <c r="O386" i="28"/>
  <c r="M386" i="28"/>
  <c r="L386" i="28"/>
  <c r="J386" i="28"/>
  <c r="D386" i="28"/>
  <c r="E386" i="28"/>
  <c r="F386" i="28"/>
  <c r="G386" i="28"/>
  <c r="H386" i="28"/>
  <c r="I386" i="28"/>
  <c r="K386" i="28"/>
  <c r="N386" i="28"/>
  <c r="Q386" i="28"/>
  <c r="S386" i="28"/>
  <c r="V386" i="28"/>
  <c r="C386" i="28"/>
  <c r="W343" i="28"/>
  <c r="T343" i="28"/>
  <c r="R343" i="28"/>
  <c r="O343" i="28"/>
  <c r="L343" i="28"/>
  <c r="J343" i="28"/>
  <c r="I343" i="28"/>
  <c r="E343" i="28"/>
  <c r="D343" i="28"/>
  <c r="F343" i="28"/>
  <c r="G343" i="28"/>
  <c r="H343" i="28"/>
  <c r="K343" i="28"/>
  <c r="M343" i="28"/>
  <c r="N343" i="28"/>
  <c r="P343" i="28"/>
  <c r="Q343" i="28"/>
  <c r="S343" i="28"/>
  <c r="U343" i="28"/>
  <c r="V343" i="28"/>
  <c r="C343" i="28"/>
  <c r="S326" i="28" l="1"/>
  <c r="AB389" i="28"/>
  <c r="AB390" i="28" s="1"/>
  <c r="AJ389" i="28"/>
  <c r="AJ390" i="28" s="1"/>
  <c r="AR389" i="28"/>
  <c r="AR390" i="28" s="1"/>
  <c r="AC389" i="28"/>
  <c r="AC390" i="28" s="1"/>
  <c r="AK389" i="28"/>
  <c r="AK390" i="28" s="1"/>
  <c r="AS389" i="28"/>
  <c r="AS390" i="28" s="1"/>
  <c r="AD389" i="28"/>
  <c r="AD390" i="28" s="1"/>
  <c r="AL389" i="28"/>
  <c r="AL390" i="28" s="1"/>
  <c r="AT389" i="28"/>
  <c r="AT390" i="28" s="1"/>
  <c r="AH389" i="28"/>
  <c r="AH390" i="28" s="1"/>
  <c r="AV389" i="28"/>
  <c r="AV390" i="28" s="1"/>
  <c r="AI389" i="28"/>
  <c r="AI390" i="28" s="1"/>
  <c r="AW389" i="28"/>
  <c r="AW390" i="28" s="1"/>
  <c r="AM389" i="28"/>
  <c r="AM390" i="28" s="1"/>
  <c r="AN389" i="28"/>
  <c r="AN390" i="28" s="1"/>
  <c r="AQ389" i="28"/>
  <c r="AQ390" i="28" s="1"/>
  <c r="AU389" i="28"/>
  <c r="AU390" i="28" s="1"/>
  <c r="AO389" i="28"/>
  <c r="AO390" i="28" s="1"/>
  <c r="AP389" i="28"/>
  <c r="AP390" i="28" s="1"/>
  <c r="Z389" i="28"/>
  <c r="Z390" i="28" s="1"/>
  <c r="AA389" i="28"/>
  <c r="AA390" i="28" s="1"/>
  <c r="AG389" i="28"/>
  <c r="AG390" i="28" s="1"/>
  <c r="AE389" i="28"/>
  <c r="AE390" i="28" s="1"/>
  <c r="AF389" i="28"/>
  <c r="AF390" i="28" s="1"/>
  <c r="AF326" i="28"/>
  <c r="AN326" i="28"/>
  <c r="AV326" i="28"/>
  <c r="AA326" i="28"/>
  <c r="AJ326" i="28"/>
  <c r="AS326" i="28"/>
  <c r="AW326" i="28"/>
  <c r="AB326" i="28"/>
  <c r="AK326" i="28"/>
  <c r="AT326" i="28"/>
  <c r="AM326" i="28"/>
  <c r="AC326" i="28"/>
  <c r="AL326" i="28"/>
  <c r="AU326" i="28"/>
  <c r="AD326" i="28"/>
  <c r="Z326" i="28"/>
  <c r="AI326" i="28"/>
  <c r="AR326" i="28"/>
  <c r="AQ326" i="28"/>
  <c r="AH326" i="28"/>
  <c r="AG326" i="28"/>
  <c r="AO326" i="28"/>
  <c r="AE326" i="28"/>
  <c r="AP326" i="28"/>
  <c r="AB369" i="28"/>
  <c r="AJ369" i="28"/>
  <c r="AR369" i="28"/>
  <c r="AC369" i="28"/>
  <c r="AK369" i="28"/>
  <c r="AS369" i="28"/>
  <c r="AD369" i="28"/>
  <c r="AL369" i="28"/>
  <c r="AT369" i="28"/>
  <c r="AH369" i="28"/>
  <c r="AV369" i="28"/>
  <c r="AI369" i="28"/>
  <c r="AW369" i="28"/>
  <c r="AM369" i="28"/>
  <c r="AA369" i="28"/>
  <c r="AU369" i="28"/>
  <c r="AE369" i="28"/>
  <c r="AF369" i="28"/>
  <c r="AG369" i="28"/>
  <c r="Z369" i="28"/>
  <c r="AQ369" i="28"/>
  <c r="AO369" i="28"/>
  <c r="AN369" i="28"/>
  <c r="AP369" i="28"/>
  <c r="AC346" i="28"/>
  <c r="AK346" i="28"/>
  <c r="AS346" i="28"/>
  <c r="AD346" i="28"/>
  <c r="AL346" i="28"/>
  <c r="AT346" i="28"/>
  <c r="AW346" i="28"/>
  <c r="AE346" i="28"/>
  <c r="AM346" i="28"/>
  <c r="AU346" i="28"/>
  <c r="Z346" i="28"/>
  <c r="AN346" i="28"/>
  <c r="AB346" i="28"/>
  <c r="AQ346" i="28"/>
  <c r="AH346" i="28"/>
  <c r="AF346" i="28"/>
  <c r="AR346" i="28"/>
  <c r="AG346" i="28"/>
  <c r="AV346" i="28"/>
  <c r="AA346" i="28"/>
  <c r="AP346" i="28"/>
  <c r="C346" i="28"/>
  <c r="J347" i="28" s="1"/>
  <c r="AI346" i="28"/>
  <c r="AJ346" i="28"/>
  <c r="AO346" i="28"/>
  <c r="E326" i="28"/>
  <c r="M326" i="28"/>
  <c r="U326" i="28"/>
  <c r="H326" i="28"/>
  <c r="X326" i="28"/>
  <c r="F326" i="28"/>
  <c r="N326" i="28"/>
  <c r="V326" i="28"/>
  <c r="B326" i="28"/>
  <c r="S327" i="28" s="1"/>
  <c r="G326" i="28"/>
  <c r="O326" i="28"/>
  <c r="W326" i="28"/>
  <c r="P326" i="28"/>
  <c r="I326" i="28"/>
  <c r="Q326" i="28"/>
  <c r="Y326" i="28"/>
  <c r="C326" i="28"/>
  <c r="K326" i="28"/>
  <c r="D326" i="28"/>
  <c r="L326" i="28"/>
  <c r="T326" i="28"/>
  <c r="J326" i="28"/>
  <c r="R326" i="28"/>
  <c r="H389" i="28"/>
  <c r="H390" i="28" s="1"/>
  <c r="P389" i="28"/>
  <c r="P390" i="28" s="1"/>
  <c r="X389" i="28"/>
  <c r="X390" i="28" s="1"/>
  <c r="M389" i="28"/>
  <c r="M390" i="28" s="1"/>
  <c r="I389" i="28"/>
  <c r="I390" i="28" s="1"/>
  <c r="Q389" i="28"/>
  <c r="Q390" i="28" s="1"/>
  <c r="Y389" i="28"/>
  <c r="Y390" i="28" s="1"/>
  <c r="C389" i="28"/>
  <c r="C390" i="28" s="1"/>
  <c r="L389" i="28"/>
  <c r="L390" i="28" s="1"/>
  <c r="E389" i="28"/>
  <c r="E390" i="28" s="1"/>
  <c r="U389" i="28"/>
  <c r="U390" i="28" s="1"/>
  <c r="J389" i="28"/>
  <c r="J390" i="28" s="1"/>
  <c r="R389" i="28"/>
  <c r="R390" i="28" s="1"/>
  <c r="K389" i="28"/>
  <c r="K390" i="28" s="1"/>
  <c r="S389" i="28"/>
  <c r="S390" i="28" s="1"/>
  <c r="D389" i="28"/>
  <c r="D390" i="28" s="1"/>
  <c r="T389" i="28"/>
  <c r="T390" i="28" s="1"/>
  <c r="F389" i="28"/>
  <c r="F390" i="28" s="1"/>
  <c r="N389" i="28"/>
  <c r="N390" i="28" s="1"/>
  <c r="V389" i="28"/>
  <c r="V390" i="28" s="1"/>
  <c r="B389" i="28"/>
  <c r="B390" i="28" s="1"/>
  <c r="G389" i="28"/>
  <c r="G390" i="28" s="1"/>
  <c r="O389" i="28"/>
  <c r="O390" i="28" s="1"/>
  <c r="W389" i="28"/>
  <c r="W390" i="28" s="1"/>
  <c r="B351" i="12"/>
  <c r="B352" i="12" s="1"/>
  <c r="G369" i="28"/>
  <c r="O369" i="28"/>
  <c r="W369" i="28"/>
  <c r="S369" i="28"/>
  <c r="H369" i="28"/>
  <c r="P369" i="28"/>
  <c r="X369" i="28"/>
  <c r="C369" i="28"/>
  <c r="I369" i="28"/>
  <c r="Q369" i="28"/>
  <c r="Y369" i="28"/>
  <c r="J369" i="28"/>
  <c r="R369" i="28"/>
  <c r="B369" i="28"/>
  <c r="K369" i="28"/>
  <c r="E369" i="28"/>
  <c r="M369" i="28"/>
  <c r="U369" i="28"/>
  <c r="F369" i="28"/>
  <c r="N369" i="28"/>
  <c r="V369" i="28"/>
  <c r="D369" i="28"/>
  <c r="L369" i="28"/>
  <c r="T369" i="28"/>
  <c r="D346" i="28"/>
  <c r="L346" i="28"/>
  <c r="T346" i="28"/>
  <c r="O346" i="28"/>
  <c r="P346" i="28"/>
  <c r="E346" i="28"/>
  <c r="M346" i="28"/>
  <c r="U346" i="28"/>
  <c r="G346" i="28"/>
  <c r="X346" i="28"/>
  <c r="F346" i="28"/>
  <c r="N346" i="28"/>
  <c r="V346" i="28"/>
  <c r="W346" i="28"/>
  <c r="H346" i="28"/>
  <c r="J346" i="28"/>
  <c r="R346" i="28"/>
  <c r="I346" i="28"/>
  <c r="K346" i="28"/>
  <c r="Q346" i="28"/>
  <c r="S346" i="28"/>
  <c r="Y346" i="28"/>
  <c r="U398" i="28"/>
  <c r="T398" i="28"/>
  <c r="S398" i="28"/>
  <c r="Q398" i="28"/>
  <c r="P398" i="28"/>
  <c r="M398" i="28"/>
  <c r="L398" i="28"/>
  <c r="J398" i="28"/>
  <c r="I398" i="28"/>
  <c r="G398" i="28"/>
  <c r="E398" i="28"/>
  <c r="C398" i="28"/>
  <c r="D398" i="28"/>
  <c r="F398" i="28"/>
  <c r="H398" i="28"/>
  <c r="K398" i="28"/>
  <c r="N398" i="28"/>
  <c r="O398" i="28"/>
  <c r="R398" i="28"/>
  <c r="V398" i="28"/>
  <c r="W398" i="28"/>
  <c r="W378" i="28"/>
  <c r="T378" i="28"/>
  <c r="S378" i="28"/>
  <c r="P378" i="28"/>
  <c r="M378" i="28"/>
  <c r="L378" i="28"/>
  <c r="J378" i="28"/>
  <c r="F378" i="28"/>
  <c r="C378" i="28"/>
  <c r="D378" i="28"/>
  <c r="E378" i="28"/>
  <c r="G378" i="28"/>
  <c r="H378" i="28"/>
  <c r="I378" i="28"/>
  <c r="K378" i="28"/>
  <c r="N378" i="28"/>
  <c r="O378" i="28"/>
  <c r="Q378" i="28"/>
  <c r="R378" i="28"/>
  <c r="U378" i="28"/>
  <c r="V378" i="28"/>
  <c r="U356" i="28"/>
  <c r="S356" i="28"/>
  <c r="Q356" i="28"/>
  <c r="O356" i="28"/>
  <c r="N356" i="28"/>
  <c r="L356" i="28"/>
  <c r="I356" i="28"/>
  <c r="H356" i="28"/>
  <c r="E356" i="28"/>
  <c r="D356" i="28"/>
  <c r="F356" i="28"/>
  <c r="G356" i="28"/>
  <c r="J356" i="28"/>
  <c r="K356" i="28"/>
  <c r="M356" i="28"/>
  <c r="P356" i="28"/>
  <c r="R356" i="28"/>
  <c r="T356" i="28"/>
  <c r="V356" i="28"/>
  <c r="W356" i="28"/>
  <c r="C356" i="28"/>
  <c r="V335" i="28"/>
  <c r="T335" i="28"/>
  <c r="S335" i="28"/>
  <c r="Q335" i="28"/>
  <c r="O335" i="28"/>
  <c r="L335" i="28"/>
  <c r="J335" i="28"/>
  <c r="I335" i="28"/>
  <c r="E335" i="28"/>
  <c r="D335" i="28"/>
  <c r="C335" i="28"/>
  <c r="F335" i="28"/>
  <c r="G335" i="28"/>
  <c r="H335" i="28"/>
  <c r="K335" i="28"/>
  <c r="M335" i="28"/>
  <c r="N335" i="28"/>
  <c r="P335" i="28"/>
  <c r="R335" i="28"/>
  <c r="U335" i="28"/>
  <c r="W335" i="28"/>
  <c r="T313" i="28"/>
  <c r="S313" i="28"/>
  <c r="Q313" i="28"/>
  <c r="O313" i="28"/>
  <c r="N313" i="28"/>
  <c r="L313" i="28"/>
  <c r="J313" i="28"/>
  <c r="I313" i="28"/>
  <c r="E313" i="28"/>
  <c r="D313" i="28"/>
  <c r="F313" i="28"/>
  <c r="G313" i="28"/>
  <c r="H313" i="28"/>
  <c r="K313" i="28"/>
  <c r="M313" i="28"/>
  <c r="P313" i="28"/>
  <c r="R313" i="28"/>
  <c r="W407" i="28"/>
  <c r="T407" i="28"/>
  <c r="R407" i="28"/>
  <c r="Q407" i="28"/>
  <c r="P407" i="28"/>
  <c r="M407" i="28"/>
  <c r="L407" i="28"/>
  <c r="J407" i="28"/>
  <c r="E407" i="28"/>
  <c r="F407" i="28"/>
  <c r="G407" i="28"/>
  <c r="H407" i="28"/>
  <c r="I407" i="28"/>
  <c r="K407" i="28"/>
  <c r="N407" i="28"/>
  <c r="O407" i="28"/>
  <c r="S407" i="28"/>
  <c r="U407" i="28"/>
  <c r="V407" i="28"/>
  <c r="B410" i="28" l="1"/>
  <c r="AE410" i="28"/>
  <c r="AF410" i="28"/>
  <c r="AO410" i="28"/>
  <c r="AA410" i="28"/>
  <c r="AB370" i="28"/>
  <c r="AJ370" i="28"/>
  <c r="AR370" i="28"/>
  <c r="AC370" i="28"/>
  <c r="AK370" i="28"/>
  <c r="AS370" i="28"/>
  <c r="AD370" i="28"/>
  <c r="AL370" i="28"/>
  <c r="AT370" i="28"/>
  <c r="AI370" i="28"/>
  <c r="AW370" i="28"/>
  <c r="AM370" i="28"/>
  <c r="Z370" i="28"/>
  <c r="AN370" i="28"/>
  <c r="AQ370" i="28"/>
  <c r="AA370" i="28"/>
  <c r="AU370" i="28"/>
  <c r="AE370" i="28"/>
  <c r="AV370" i="28"/>
  <c r="AF370" i="28"/>
  <c r="AP370" i="28"/>
  <c r="AG370" i="28"/>
  <c r="AH370" i="28"/>
  <c r="AO370" i="28"/>
  <c r="AR410" i="28"/>
  <c r="AE316" i="28"/>
  <c r="AI316" i="28"/>
  <c r="AP316" i="28"/>
  <c r="AD316" i="28"/>
  <c r="AL316" i="28"/>
  <c r="AM316" i="28"/>
  <c r="AR316" i="28"/>
  <c r="AO316" i="28"/>
  <c r="AV316" i="28"/>
  <c r="AJ316" i="28"/>
  <c r="AS316" i="28"/>
  <c r="C316" i="28"/>
  <c r="AN316" i="28"/>
  <c r="AU316" i="28"/>
  <c r="AB316" i="28"/>
  <c r="AC316" i="28"/>
  <c r="AH316" i="28"/>
  <c r="AA316" i="28"/>
  <c r="AQ316" i="28"/>
  <c r="AW316" i="28"/>
  <c r="AF316" i="28"/>
  <c r="AK316" i="28"/>
  <c r="AG316" i="28"/>
  <c r="AT316" i="28"/>
  <c r="Z316" i="28"/>
  <c r="AD381" i="28"/>
  <c r="AL381" i="28"/>
  <c r="AT381" i="28"/>
  <c r="AE381" i="28"/>
  <c r="AM381" i="28"/>
  <c r="AU381" i="28"/>
  <c r="AF381" i="28"/>
  <c r="AN381" i="28"/>
  <c r="AV381" i="28"/>
  <c r="AG381" i="28"/>
  <c r="AR381" i="28"/>
  <c r="AH381" i="28"/>
  <c r="AS381" i="28"/>
  <c r="AI381" i="28"/>
  <c r="AW381" i="28"/>
  <c r="AP381" i="28"/>
  <c r="AB381" i="28"/>
  <c r="Z381" i="28"/>
  <c r="AQ381" i="28"/>
  <c r="AA381" i="28"/>
  <c r="AO381" i="28"/>
  <c r="AC381" i="28"/>
  <c r="AJ381" i="28"/>
  <c r="AK381" i="28"/>
  <c r="AT410" i="28"/>
  <c r="AB410" i="28"/>
  <c r="AV410" i="28"/>
  <c r="AD401" i="28"/>
  <c r="AL401" i="28"/>
  <c r="AT401" i="28"/>
  <c r="AE401" i="28"/>
  <c r="AM401" i="28"/>
  <c r="AU401" i="28"/>
  <c r="AF401" i="28"/>
  <c r="AN401" i="28"/>
  <c r="AV401" i="28"/>
  <c r="AG401" i="28"/>
  <c r="AR401" i="28"/>
  <c r="AH401" i="28"/>
  <c r="AS401" i="28"/>
  <c r="AI401" i="28"/>
  <c r="AW401" i="28"/>
  <c r="AC401" i="28"/>
  <c r="AJ401" i="28"/>
  <c r="AP401" i="28"/>
  <c r="AK401" i="28"/>
  <c r="AO401" i="28"/>
  <c r="AB401" i="28"/>
  <c r="AA401" i="28"/>
  <c r="AQ401" i="28"/>
  <c r="Z401" i="28"/>
  <c r="AJ410" i="28"/>
  <c r="AA359" i="28"/>
  <c r="AI359" i="28"/>
  <c r="AQ359" i="28"/>
  <c r="AB359" i="28"/>
  <c r="AJ359" i="28"/>
  <c r="AR359" i="28"/>
  <c r="AC359" i="28"/>
  <c r="AK359" i="28"/>
  <c r="AS359" i="28"/>
  <c r="AE359" i="28"/>
  <c r="AP359" i="28"/>
  <c r="AF359" i="28"/>
  <c r="AT359" i="28"/>
  <c r="AN359" i="28"/>
  <c r="AO359" i="28"/>
  <c r="Z359" i="28"/>
  <c r="AU359" i="28"/>
  <c r="AD359" i="28"/>
  <c r="AV359" i="28"/>
  <c r="AM359" i="28"/>
  <c r="AH359" i="28"/>
  <c r="AL359" i="28"/>
  <c r="AW359" i="28"/>
  <c r="AG359" i="28"/>
  <c r="AP410" i="28"/>
  <c r="AG410" i="28"/>
  <c r="AE391" i="28"/>
  <c r="AM391" i="28"/>
  <c r="AU391" i="28"/>
  <c r="AE392" i="28"/>
  <c r="AM392" i="28"/>
  <c r="AU392" i="28"/>
  <c r="AF391" i="28"/>
  <c r="AN391" i="28"/>
  <c r="AV391" i="28"/>
  <c r="AF392" i="28"/>
  <c r="AN392" i="28"/>
  <c r="AV392" i="28"/>
  <c r="AG391" i="28"/>
  <c r="AO391" i="28"/>
  <c r="AW391" i="28"/>
  <c r="AG392" i="28"/>
  <c r="AO392" i="28"/>
  <c r="AW392" i="28"/>
  <c r="AB391" i="28"/>
  <c r="AP391" i="28"/>
  <c r="AC392" i="28"/>
  <c r="AQ392" i="28"/>
  <c r="AC391" i="28"/>
  <c r="AQ391" i="28"/>
  <c r="AD392" i="28"/>
  <c r="AR392" i="28"/>
  <c r="AD391" i="28"/>
  <c r="AR391" i="28"/>
  <c r="AH392" i="28"/>
  <c r="AS392" i="28"/>
  <c r="AI391" i="28"/>
  <c r="AB392" i="28"/>
  <c r="AL391" i="28"/>
  <c r="AS391" i="28"/>
  <c r="AJ391" i="28"/>
  <c r="AI392" i="28"/>
  <c r="AK391" i="28"/>
  <c r="AJ392" i="28"/>
  <c r="AK392" i="28"/>
  <c r="AL392" i="28"/>
  <c r="AH391" i="28"/>
  <c r="AA392" i="28"/>
  <c r="Z392" i="28"/>
  <c r="AP392" i="28"/>
  <c r="AT392" i="28"/>
  <c r="AT391" i="28"/>
  <c r="Z391" i="28"/>
  <c r="AA391" i="28"/>
  <c r="AC410" i="28"/>
  <c r="AL410" i="28"/>
  <c r="AN410" i="28"/>
  <c r="AD347" i="28"/>
  <c r="AL347" i="28"/>
  <c r="AT347" i="28"/>
  <c r="AE347" i="28"/>
  <c r="AM347" i="28"/>
  <c r="AU347" i="28"/>
  <c r="AF347" i="28"/>
  <c r="AN347" i="28"/>
  <c r="AV347" i="28"/>
  <c r="AB347" i="28"/>
  <c r="AP347" i="28"/>
  <c r="AI347" i="28"/>
  <c r="AJ347" i="28"/>
  <c r="AO347" i="28"/>
  <c r="AK347" i="28"/>
  <c r="Z347" i="28"/>
  <c r="AH347" i="28"/>
  <c r="AA347" i="28"/>
  <c r="AS347" i="28"/>
  <c r="AC347" i="28"/>
  <c r="AG347" i="28"/>
  <c r="AW347" i="28"/>
  <c r="AQ347" i="28"/>
  <c r="AR347" i="28"/>
  <c r="AI410" i="28"/>
  <c r="AK410" i="28"/>
  <c r="AU410" i="28"/>
  <c r="Z338" i="28"/>
  <c r="AH338" i="28"/>
  <c r="AP338" i="28"/>
  <c r="AB338" i="28"/>
  <c r="AK338" i="28"/>
  <c r="AT338" i="28"/>
  <c r="AN338" i="28"/>
  <c r="AC338" i="28"/>
  <c r="AL338" i="28"/>
  <c r="AU338" i="28"/>
  <c r="AD338" i="28"/>
  <c r="AM338" i="28"/>
  <c r="AV338" i="28"/>
  <c r="AE338" i="28"/>
  <c r="AW338" i="28"/>
  <c r="AA338" i="28"/>
  <c r="AJ338" i="28"/>
  <c r="AS338" i="28"/>
  <c r="AR338" i="28"/>
  <c r="AO338" i="28"/>
  <c r="AF338" i="28"/>
  <c r="AG338" i="28"/>
  <c r="AQ338" i="28"/>
  <c r="AI338" i="28"/>
  <c r="AQ410" i="28"/>
  <c r="Z410" i="28"/>
  <c r="AM410" i="28"/>
  <c r="AF327" i="28"/>
  <c r="AN327" i="28"/>
  <c r="AV327" i="28"/>
  <c r="AD327" i="28"/>
  <c r="AM327" i="28"/>
  <c r="AW327" i="28"/>
  <c r="AQ327" i="28"/>
  <c r="AE327" i="28"/>
  <c r="AO327" i="28"/>
  <c r="AG327" i="28"/>
  <c r="AP327" i="28"/>
  <c r="AH327" i="28"/>
  <c r="AC327" i="28"/>
  <c r="AL327" i="28"/>
  <c r="AU327" i="28"/>
  <c r="AS327" i="28"/>
  <c r="Z327" i="28"/>
  <c r="AT327" i="28"/>
  <c r="AA327" i="28"/>
  <c r="AB327" i="28"/>
  <c r="AJ327" i="28"/>
  <c r="AK327" i="28"/>
  <c r="AR327" i="28"/>
  <c r="AI327" i="28"/>
  <c r="AH410" i="28"/>
  <c r="AW410" i="28"/>
  <c r="AS410" i="28"/>
  <c r="AD410" i="28"/>
  <c r="AK354" i="12"/>
  <c r="AE353" i="12"/>
  <c r="AC353" i="12"/>
  <c r="AF354" i="12"/>
  <c r="AW354" i="12"/>
  <c r="AA354" i="12"/>
  <c r="AT354" i="12"/>
  <c r="AS354" i="12"/>
  <c r="AM353" i="12"/>
  <c r="AS353" i="12"/>
  <c r="AN354" i="12"/>
  <c r="AH353" i="12"/>
  <c r="AQ354" i="12"/>
  <c r="AM354" i="12"/>
  <c r="AR354" i="12"/>
  <c r="AG354" i="12"/>
  <c r="AV353" i="12"/>
  <c r="AD353" i="12"/>
  <c r="AU353" i="12"/>
  <c r="AE354" i="12"/>
  <c r="AV354" i="12"/>
  <c r="AP353" i="12"/>
  <c r="AJ353" i="12"/>
  <c r="AL353" i="12"/>
  <c r="AI354" i="12"/>
  <c r="AG353" i="12"/>
  <c r="AH354" i="12"/>
  <c r="AL354" i="12"/>
  <c r="AN353" i="12"/>
  <c r="AI353" i="12"/>
  <c r="AJ354" i="12"/>
  <c r="AT353" i="12"/>
  <c r="AB353" i="12"/>
  <c r="AU354" i="12"/>
  <c r="AO353" i="12"/>
  <c r="AP354" i="12"/>
  <c r="AK353" i="12"/>
  <c r="AD354" i="12"/>
  <c r="AR353" i="12"/>
  <c r="AF353" i="12"/>
  <c r="AW353" i="12"/>
  <c r="AA353" i="12"/>
  <c r="AB354" i="12"/>
  <c r="AC354" i="12"/>
  <c r="AO354" i="12"/>
  <c r="AQ353" i="12"/>
  <c r="G410" i="28"/>
  <c r="V410" i="28"/>
  <c r="C410" i="28"/>
  <c r="K410" i="28"/>
  <c r="I410" i="28"/>
  <c r="M410" i="28"/>
  <c r="Y410" i="28"/>
  <c r="W410" i="28"/>
  <c r="I338" i="28"/>
  <c r="Q338" i="28"/>
  <c r="X338" i="28"/>
  <c r="L338" i="28"/>
  <c r="E338" i="28"/>
  <c r="B338" i="28"/>
  <c r="J338" i="28"/>
  <c r="R338" i="28"/>
  <c r="C338" i="28"/>
  <c r="K338" i="28"/>
  <c r="S338" i="28"/>
  <c r="D338" i="28"/>
  <c r="T338" i="28"/>
  <c r="M338" i="28"/>
  <c r="U338" i="28"/>
  <c r="G338" i="28"/>
  <c r="O338" i="28"/>
  <c r="W338" i="28"/>
  <c r="H338" i="28"/>
  <c r="P338" i="28"/>
  <c r="Y338" i="28"/>
  <c r="F338" i="28"/>
  <c r="V338" i="28"/>
  <c r="N338" i="28"/>
  <c r="E410" i="28"/>
  <c r="Q410" i="28"/>
  <c r="O410" i="28"/>
  <c r="H370" i="28"/>
  <c r="P370" i="28"/>
  <c r="X370" i="28"/>
  <c r="I370" i="28"/>
  <c r="Q370" i="28"/>
  <c r="Y370" i="28"/>
  <c r="D370" i="28"/>
  <c r="T370" i="28"/>
  <c r="J370" i="28"/>
  <c r="R370" i="28"/>
  <c r="B370" i="28"/>
  <c r="Q372" i="28" s="1"/>
  <c r="C370" i="28"/>
  <c r="K370" i="28"/>
  <c r="S370" i="28"/>
  <c r="L370" i="28"/>
  <c r="F370" i="28"/>
  <c r="N370" i="28"/>
  <c r="V370" i="28"/>
  <c r="G370" i="28"/>
  <c r="O370" i="28"/>
  <c r="W370" i="28"/>
  <c r="U370" i="28"/>
  <c r="M370" i="28"/>
  <c r="E370" i="28"/>
  <c r="T410" i="28"/>
  <c r="L410" i="28"/>
  <c r="K316" i="28"/>
  <c r="S316" i="28"/>
  <c r="O316" i="28"/>
  <c r="D316" i="28"/>
  <c r="L316" i="28"/>
  <c r="T316" i="28"/>
  <c r="N316" i="28"/>
  <c r="G316" i="28"/>
  <c r="W316" i="28"/>
  <c r="E316" i="28"/>
  <c r="M316" i="28"/>
  <c r="U316" i="28"/>
  <c r="F316" i="28"/>
  <c r="V316" i="28"/>
  <c r="I316" i="28"/>
  <c r="Q316" i="28"/>
  <c r="X316" i="28"/>
  <c r="P316" i="28"/>
  <c r="R316" i="28"/>
  <c r="H316" i="28"/>
  <c r="J316" i="28"/>
  <c r="Y316" i="28"/>
  <c r="F381" i="28"/>
  <c r="N381" i="28"/>
  <c r="V381" i="28"/>
  <c r="G381" i="28"/>
  <c r="O381" i="28"/>
  <c r="W381" i="28"/>
  <c r="R381" i="28"/>
  <c r="H381" i="28"/>
  <c r="P381" i="28"/>
  <c r="X381" i="28"/>
  <c r="I381" i="28"/>
  <c r="Q381" i="28"/>
  <c r="Y381" i="28"/>
  <c r="J381" i="28"/>
  <c r="B381" i="28"/>
  <c r="D381" i="28"/>
  <c r="L381" i="28"/>
  <c r="T381" i="28"/>
  <c r="E381" i="28"/>
  <c r="M381" i="28"/>
  <c r="U381" i="28"/>
  <c r="C381" i="28"/>
  <c r="K381" i="28"/>
  <c r="S381" i="28"/>
  <c r="X347" i="28"/>
  <c r="B347" i="28"/>
  <c r="Y347" i="28"/>
  <c r="H410" i="28"/>
  <c r="N410" i="28"/>
  <c r="X410" i="28"/>
  <c r="C359" i="28"/>
  <c r="K359" i="28"/>
  <c r="S359" i="28"/>
  <c r="F359" i="28"/>
  <c r="V359" i="28"/>
  <c r="D359" i="28"/>
  <c r="L359" i="28"/>
  <c r="T359" i="28"/>
  <c r="N359" i="28"/>
  <c r="O359" i="28"/>
  <c r="E359" i="28"/>
  <c r="M359" i="28"/>
  <c r="U359" i="28"/>
  <c r="G359" i="28"/>
  <c r="W359" i="28"/>
  <c r="I359" i="28"/>
  <c r="Q359" i="28"/>
  <c r="X359" i="28"/>
  <c r="J359" i="28"/>
  <c r="R359" i="28"/>
  <c r="H359" i="28"/>
  <c r="P359" i="28"/>
  <c r="Y359" i="28"/>
  <c r="P410" i="28"/>
  <c r="R410" i="28"/>
  <c r="S410" i="28"/>
  <c r="F410" i="28"/>
  <c r="C392" i="28"/>
  <c r="Y392" i="28"/>
  <c r="X392" i="28"/>
  <c r="X391" i="28"/>
  <c r="Y391" i="28"/>
  <c r="D410" i="28"/>
  <c r="H401" i="28"/>
  <c r="P401" i="28"/>
  <c r="X401" i="28"/>
  <c r="E401" i="28"/>
  <c r="I401" i="28"/>
  <c r="Q401" i="28"/>
  <c r="Y401" i="28"/>
  <c r="D401" i="28"/>
  <c r="T401" i="28"/>
  <c r="U401" i="28"/>
  <c r="J401" i="28"/>
  <c r="R401" i="28"/>
  <c r="B401" i="28"/>
  <c r="C401" i="28"/>
  <c r="K401" i="28"/>
  <c r="S401" i="28"/>
  <c r="L401" i="28"/>
  <c r="M401" i="28"/>
  <c r="F401" i="28"/>
  <c r="N401" i="28"/>
  <c r="V401" i="28"/>
  <c r="G401" i="28"/>
  <c r="O401" i="28"/>
  <c r="W401" i="28"/>
  <c r="U410" i="28"/>
  <c r="J410" i="28"/>
  <c r="F327" i="28"/>
  <c r="N327" i="28"/>
  <c r="V327" i="28"/>
  <c r="Q327" i="28"/>
  <c r="J327" i="28"/>
  <c r="G327" i="28"/>
  <c r="O327" i="28"/>
  <c r="W327" i="28"/>
  <c r="I327" i="28"/>
  <c r="H327" i="28"/>
  <c r="P327" i="28"/>
  <c r="X327" i="28"/>
  <c r="Y327" i="28"/>
  <c r="R327" i="28"/>
  <c r="D327" i="28"/>
  <c r="L327" i="28"/>
  <c r="T327" i="28"/>
  <c r="E327" i="28"/>
  <c r="M327" i="28"/>
  <c r="U327" i="28"/>
  <c r="K327" i="28"/>
  <c r="C327" i="28"/>
  <c r="B327" i="28"/>
  <c r="K353" i="12"/>
  <c r="Z354" i="12"/>
  <c r="Z353" i="12"/>
  <c r="U354" i="12"/>
  <c r="T354" i="12"/>
  <c r="I354" i="12"/>
  <c r="V354" i="12"/>
  <c r="Y353" i="12"/>
  <c r="H353" i="12"/>
  <c r="J353" i="12"/>
  <c r="U353" i="12"/>
  <c r="X354" i="12"/>
  <c r="V353" i="12"/>
  <c r="G354" i="12"/>
  <c r="C353" i="12"/>
  <c r="C354" i="12"/>
  <c r="R354" i="12"/>
  <c r="R353" i="12"/>
  <c r="N354" i="12"/>
  <c r="Q353" i="12"/>
  <c r="D354" i="12"/>
  <c r="H354" i="12"/>
  <c r="B354" i="12"/>
  <c r="M353" i="12"/>
  <c r="N353" i="12"/>
  <c r="D353" i="12"/>
  <c r="L354" i="12"/>
  <c r="P354" i="12"/>
  <c r="O354" i="12"/>
  <c r="E353" i="12"/>
  <c r="F353" i="12"/>
  <c r="S353" i="12"/>
  <c r="X353" i="12"/>
  <c r="K354" i="12"/>
  <c r="F354" i="12"/>
  <c r="Q354" i="12"/>
  <c r="T353" i="12"/>
  <c r="I353" i="12"/>
  <c r="S354" i="12"/>
  <c r="E354" i="12"/>
  <c r="Y354" i="12"/>
  <c r="L353" i="12"/>
  <c r="P353" i="12"/>
  <c r="W353" i="12"/>
  <c r="B353" i="12"/>
  <c r="M354" i="12"/>
  <c r="W354" i="12"/>
  <c r="J354" i="12"/>
  <c r="G353" i="12"/>
  <c r="O353" i="12"/>
  <c r="Q347" i="28"/>
  <c r="M347" i="28"/>
  <c r="G347" i="28"/>
  <c r="P347" i="28"/>
  <c r="W347" i="28"/>
  <c r="O347" i="28"/>
  <c r="K347" i="28"/>
  <c r="F347" i="28"/>
  <c r="S347" i="28"/>
  <c r="D347" i="28"/>
  <c r="H347" i="28"/>
  <c r="N347" i="28"/>
  <c r="R347" i="28"/>
  <c r="L347" i="28"/>
  <c r="V347" i="28"/>
  <c r="I347" i="28"/>
  <c r="T347" i="28"/>
  <c r="U347" i="28"/>
  <c r="E347" i="28"/>
  <c r="C347" i="28"/>
  <c r="W391" i="28"/>
  <c r="E392" i="28"/>
  <c r="T392" i="28"/>
  <c r="O391" i="28"/>
  <c r="K392" i="28"/>
  <c r="R391" i="28"/>
  <c r="D391" i="28"/>
  <c r="L392" i="28"/>
  <c r="V392" i="28"/>
  <c r="L391" i="28"/>
  <c r="W392" i="28"/>
  <c r="K391" i="28"/>
  <c r="I392" i="28"/>
  <c r="Q391" i="28"/>
  <c r="U392" i="28"/>
  <c r="O392" i="28"/>
  <c r="N392" i="28"/>
  <c r="J391" i="28"/>
  <c r="G391" i="28"/>
  <c r="G392" i="28"/>
  <c r="F392" i="28"/>
  <c r="S391" i="28"/>
  <c r="S392" i="28"/>
  <c r="D392" i="28"/>
  <c r="M392" i="28"/>
  <c r="E391" i="28"/>
  <c r="N391" i="28"/>
  <c r="P391" i="28"/>
  <c r="F391" i="28"/>
  <c r="P392" i="28"/>
  <c r="J392" i="28"/>
  <c r="M391" i="28"/>
  <c r="H392" i="28"/>
  <c r="B392" i="28"/>
  <c r="V391" i="28"/>
  <c r="R392" i="28"/>
  <c r="U391" i="28"/>
  <c r="H391" i="28"/>
  <c r="T391" i="28"/>
  <c r="B391" i="28"/>
  <c r="Q392" i="28"/>
  <c r="I391" i="28"/>
  <c r="C391" i="28"/>
  <c r="J371" i="28" l="1"/>
  <c r="U328" i="28"/>
  <c r="S329" i="28"/>
  <c r="S328" i="28"/>
  <c r="M372" i="28"/>
  <c r="U329" i="28"/>
  <c r="AA360" i="28"/>
  <c r="AI360" i="28"/>
  <c r="AQ360" i="28"/>
  <c r="AB360" i="28"/>
  <c r="AJ360" i="28"/>
  <c r="AR360" i="28"/>
  <c r="AC360" i="28"/>
  <c r="AK360" i="28"/>
  <c r="AS360" i="28"/>
  <c r="AF360" i="28"/>
  <c r="AT360" i="28"/>
  <c r="AG360" i="28"/>
  <c r="AU360" i="28"/>
  <c r="AH360" i="28"/>
  <c r="AL360" i="28"/>
  <c r="AM360" i="28"/>
  <c r="AN360" i="28"/>
  <c r="AE360" i="28"/>
  <c r="AW360" i="28"/>
  <c r="AO360" i="28"/>
  <c r="AP360" i="28"/>
  <c r="Z360" i="28"/>
  <c r="AD360" i="28"/>
  <c r="AV360" i="28"/>
  <c r="AD382" i="28"/>
  <c r="AL382" i="28"/>
  <c r="AT382" i="28"/>
  <c r="AE382" i="28"/>
  <c r="AM382" i="28"/>
  <c r="AU382" i="28"/>
  <c r="AF382" i="28"/>
  <c r="AN382" i="28"/>
  <c r="AV382" i="28"/>
  <c r="AH382" i="28"/>
  <c r="AS382" i="28"/>
  <c r="AI382" i="28"/>
  <c r="AW382" i="28"/>
  <c r="AJ382" i="28"/>
  <c r="AO382" i="28"/>
  <c r="AR382" i="28"/>
  <c r="AP382" i="28"/>
  <c r="AA382" i="28"/>
  <c r="Z382" i="28"/>
  <c r="AQ382" i="28"/>
  <c r="AK382" i="28"/>
  <c r="AG382" i="28"/>
  <c r="AB382" i="28"/>
  <c r="AC382" i="28"/>
  <c r="AE317" i="28"/>
  <c r="AM317" i="28"/>
  <c r="AB317" i="28"/>
  <c r="AK317" i="28"/>
  <c r="AT317" i="28"/>
  <c r="AC317" i="28"/>
  <c r="AL317" i="28"/>
  <c r="AU317" i="28"/>
  <c r="AF317" i="28"/>
  <c r="AW317" i="28"/>
  <c r="AD317" i="28"/>
  <c r="AN317" i="28"/>
  <c r="AV317" i="28"/>
  <c r="AO317" i="28"/>
  <c r="AA317" i="28"/>
  <c r="AJ317" i="28"/>
  <c r="AS317" i="28"/>
  <c r="AQ317" i="28"/>
  <c r="AH317" i="28"/>
  <c r="AR317" i="28"/>
  <c r="Z317" i="28"/>
  <c r="AG317" i="28"/>
  <c r="AI317" i="28"/>
  <c r="AP317" i="28"/>
  <c r="AD402" i="28"/>
  <c r="AL402" i="28"/>
  <c r="AT402" i="28"/>
  <c r="AE402" i="28"/>
  <c r="AM402" i="28"/>
  <c r="AU402" i="28"/>
  <c r="AF402" i="28"/>
  <c r="AN402" i="28"/>
  <c r="AV402" i="28"/>
  <c r="AH402" i="28"/>
  <c r="AS402" i="28"/>
  <c r="AI402" i="28"/>
  <c r="AW402" i="28"/>
  <c r="AJ402" i="28"/>
  <c r="AB402" i="28"/>
  <c r="AC402" i="28"/>
  <c r="AO402" i="28"/>
  <c r="AG402" i="28"/>
  <c r="AK402" i="28"/>
  <c r="AA402" i="28"/>
  <c r="AR402" i="28"/>
  <c r="Z402" i="28"/>
  <c r="AP402" i="28"/>
  <c r="AQ402" i="28"/>
  <c r="AE411" i="28"/>
  <c r="AM411" i="28"/>
  <c r="AU411" i="28"/>
  <c r="AF411" i="28"/>
  <c r="AN411" i="28"/>
  <c r="AV411" i="28"/>
  <c r="AG411" i="28"/>
  <c r="AO411" i="28"/>
  <c r="AW411" i="28"/>
  <c r="AA411" i="28"/>
  <c r="AL411" i="28"/>
  <c r="AB411" i="28"/>
  <c r="AP411" i="28"/>
  <c r="AC411" i="28"/>
  <c r="AQ411" i="28"/>
  <c r="Z411" i="28"/>
  <c r="AT411" i="28"/>
  <c r="AD411" i="28"/>
  <c r="AJ411" i="28"/>
  <c r="AH411" i="28"/>
  <c r="AI411" i="28"/>
  <c r="AS411" i="28"/>
  <c r="AK411" i="28"/>
  <c r="AR411" i="28"/>
  <c r="AE348" i="28"/>
  <c r="AV348" i="28"/>
  <c r="AD348" i="28"/>
  <c r="AT348" i="28"/>
  <c r="AV349" i="28"/>
  <c r="AK348" i="28"/>
  <c r="AJ348" i="28"/>
  <c r="AB348" i="28"/>
  <c r="AM348" i="28"/>
  <c r="AU348" i="28"/>
  <c r="AO349" i="28"/>
  <c r="AI349" i="28"/>
  <c r="AQ348" i="28"/>
  <c r="AL349" i="28"/>
  <c r="AB349" i="28"/>
  <c r="AF349" i="28"/>
  <c r="AG348" i="28"/>
  <c r="AS349" i="28"/>
  <c r="AJ349" i="28"/>
  <c r="AW348" i="28"/>
  <c r="AC349" i="28"/>
  <c r="B348" i="28"/>
  <c r="Z349" i="28"/>
  <c r="AP348" i="28"/>
  <c r="AC348" i="28"/>
  <c r="AL348" i="28"/>
  <c r="AQ349" i="28"/>
  <c r="AW349" i="28"/>
  <c r="AR349" i="28"/>
  <c r="AG349" i="28"/>
  <c r="AH348" i="28"/>
  <c r="AF348" i="28"/>
  <c r="AH349" i="28"/>
  <c r="AE349" i="28"/>
  <c r="AS348" i="28"/>
  <c r="AD349" i="28"/>
  <c r="AP349" i="28"/>
  <c r="AN348" i="28"/>
  <c r="AT349" i="28"/>
  <c r="AK349" i="28"/>
  <c r="AI348" i="28"/>
  <c r="AR348" i="28"/>
  <c r="AA349" i="28"/>
  <c r="AO348" i="28"/>
  <c r="AA348" i="28"/>
  <c r="AU349" i="28"/>
  <c r="Z348" i="28"/>
  <c r="AM349" i="28"/>
  <c r="AN349" i="28"/>
  <c r="M371" i="28"/>
  <c r="AK371" i="28"/>
  <c r="AD372" i="28"/>
  <c r="AA372" i="28"/>
  <c r="AQ371" i="28"/>
  <c r="AH372" i="28"/>
  <c r="AF372" i="28"/>
  <c r="AJ371" i="28"/>
  <c r="AC372" i="28"/>
  <c r="AT372" i="28"/>
  <c r="AA371" i="28"/>
  <c r="AU371" i="28"/>
  <c r="AH371" i="28"/>
  <c r="AR371" i="28"/>
  <c r="AK372" i="28"/>
  <c r="AM371" i="28"/>
  <c r="AO371" i="28"/>
  <c r="AQ372" i="28"/>
  <c r="AV372" i="28"/>
  <c r="AJ372" i="28"/>
  <c r="AD371" i="28"/>
  <c r="AN372" i="28"/>
  <c r="AP372" i="28"/>
  <c r="AV371" i="28"/>
  <c r="AG371" i="28"/>
  <c r="AC371" i="28"/>
  <c r="AN371" i="28"/>
  <c r="AW371" i="28"/>
  <c r="AS371" i="28"/>
  <c r="AO372" i="28"/>
  <c r="AG372" i="28"/>
  <c r="AR372" i="28"/>
  <c r="AL371" i="28"/>
  <c r="Z371" i="28"/>
  <c r="AP371" i="28"/>
  <c r="AU372" i="28"/>
  <c r="AF371" i="28"/>
  <c r="AT371" i="28"/>
  <c r="AI372" i="28"/>
  <c r="AI371" i="28"/>
  <c r="AB371" i="28"/>
  <c r="AL372" i="28"/>
  <c r="AM372" i="28"/>
  <c r="AB372" i="28"/>
  <c r="AS372" i="28"/>
  <c r="AW372" i="28"/>
  <c r="Z372" i="28"/>
  <c r="AE372" i="28"/>
  <c r="AE371" i="28"/>
  <c r="C339" i="28"/>
  <c r="Z339" i="28"/>
  <c r="AH339" i="28"/>
  <c r="AP339" i="28"/>
  <c r="AE339" i="28"/>
  <c r="AN339" i="28"/>
  <c r="AW339" i="28"/>
  <c r="AR339" i="28"/>
  <c r="AF339" i="28"/>
  <c r="AO339" i="28"/>
  <c r="AQ339" i="28"/>
  <c r="AI339" i="28"/>
  <c r="AG339" i="28"/>
  <c r="AD339" i="28"/>
  <c r="AM339" i="28"/>
  <c r="AV339" i="28"/>
  <c r="AT339" i="28"/>
  <c r="AA339" i="28"/>
  <c r="AU339" i="28"/>
  <c r="AB339" i="28"/>
  <c r="AC339" i="28"/>
  <c r="AK339" i="28"/>
  <c r="AL339" i="28"/>
  <c r="AS339" i="28"/>
  <c r="AJ339" i="28"/>
  <c r="X329" i="28"/>
  <c r="AQ328" i="28"/>
  <c r="AC329" i="28"/>
  <c r="AD329" i="28"/>
  <c r="AJ329" i="28"/>
  <c r="AI329" i="28"/>
  <c r="AL328" i="28"/>
  <c r="AN328" i="28"/>
  <c r="AK329" i="28"/>
  <c r="AU329" i="28"/>
  <c r="AW329" i="28"/>
  <c r="AU328" i="28"/>
  <c r="AP329" i="28"/>
  <c r="AV328" i="28"/>
  <c r="AT329" i="28"/>
  <c r="AB328" i="28"/>
  <c r="AK328" i="28"/>
  <c r="AR329" i="28"/>
  <c r="AD328" i="28"/>
  <c r="AN329" i="28"/>
  <c r="Z328" i="28"/>
  <c r="AA328" i="28"/>
  <c r="AG328" i="28"/>
  <c r="AC328" i="28"/>
  <c r="AE328" i="28"/>
  <c r="AH328" i="28"/>
  <c r="AS328" i="28"/>
  <c r="AH329" i="28"/>
  <c r="AF328" i="28"/>
  <c r="AL329" i="28"/>
  <c r="AS329" i="28"/>
  <c r="AM328" i="28"/>
  <c r="AV329" i="28"/>
  <c r="AI328" i="28"/>
  <c r="AJ328" i="28"/>
  <c r="AP328" i="28"/>
  <c r="Z329" i="28"/>
  <c r="AO328" i="28"/>
  <c r="AR328" i="28"/>
  <c r="AA329" i="28"/>
  <c r="AQ329" i="28"/>
  <c r="AB329" i="28"/>
  <c r="AM329" i="28"/>
  <c r="AO329" i="28"/>
  <c r="AW328" i="28"/>
  <c r="AG329" i="28"/>
  <c r="AF329" i="28"/>
  <c r="AT328" i="28"/>
  <c r="AE329" i="28"/>
  <c r="G371" i="28"/>
  <c r="F372" i="28"/>
  <c r="W372" i="28"/>
  <c r="N372" i="28"/>
  <c r="P328" i="28"/>
  <c r="M329" i="28"/>
  <c r="B372" i="28"/>
  <c r="F329" i="28"/>
  <c r="Q328" i="28"/>
  <c r="K329" i="28"/>
  <c r="S372" i="28"/>
  <c r="D328" i="28"/>
  <c r="V329" i="28"/>
  <c r="N371" i="28"/>
  <c r="R372" i="28"/>
  <c r="H329" i="28"/>
  <c r="T371" i="28"/>
  <c r="E372" i="28"/>
  <c r="K372" i="28"/>
  <c r="B329" i="28"/>
  <c r="D329" i="28"/>
  <c r="Q371" i="28"/>
  <c r="E371" i="28"/>
  <c r="C371" i="28"/>
  <c r="V328" i="28"/>
  <c r="L372" i="28"/>
  <c r="H371" i="28"/>
  <c r="G328" i="28"/>
  <c r="I329" i="28"/>
  <c r="C328" i="28"/>
  <c r="B328" i="28"/>
  <c r="F371" i="28"/>
  <c r="V372" i="28"/>
  <c r="Q329" i="28"/>
  <c r="L329" i="28"/>
  <c r="L328" i="28"/>
  <c r="O329" i="28"/>
  <c r="O328" i="28"/>
  <c r="R371" i="28"/>
  <c r="D371" i="28"/>
  <c r="D372" i="28"/>
  <c r="C372" i="28"/>
  <c r="R329" i="28"/>
  <c r="E329" i="28"/>
  <c r="G372" i="28"/>
  <c r="W329" i="28"/>
  <c r="R328" i="28"/>
  <c r="J328" i="28"/>
  <c r="C329" i="28"/>
  <c r="L371" i="28"/>
  <c r="U372" i="28"/>
  <c r="V371" i="28"/>
  <c r="P372" i="28"/>
  <c r="H372" i="28"/>
  <c r="F328" i="28"/>
  <c r="J372" i="28"/>
  <c r="O371" i="28"/>
  <c r="G329" i="28"/>
  <c r="J329" i="28"/>
  <c r="T328" i="28"/>
  <c r="W328" i="28"/>
  <c r="B371" i="28"/>
  <c r="W371" i="28"/>
  <c r="P371" i="28"/>
  <c r="S371" i="28"/>
  <c r="K371" i="28"/>
  <c r="M328" i="28"/>
  <c r="N328" i="28"/>
  <c r="O372" i="28"/>
  <c r="N329" i="28"/>
  <c r="K328" i="28"/>
  <c r="E328" i="28"/>
  <c r="T329" i="28"/>
  <c r="P329" i="28"/>
  <c r="I372" i="28"/>
  <c r="I371" i="28"/>
  <c r="X372" i="28"/>
  <c r="I328" i="28"/>
  <c r="T372" i="28"/>
  <c r="X349" i="28"/>
  <c r="Y348" i="28"/>
  <c r="Y349" i="28"/>
  <c r="X348" i="28"/>
  <c r="Y360" i="28"/>
  <c r="X360" i="28"/>
  <c r="G382" i="28"/>
  <c r="O382" i="28"/>
  <c r="W382" i="28"/>
  <c r="K382" i="28"/>
  <c r="H382" i="28"/>
  <c r="P382" i="28"/>
  <c r="X382" i="28"/>
  <c r="S382" i="28"/>
  <c r="I382" i="28"/>
  <c r="Q382" i="28"/>
  <c r="Y382" i="28"/>
  <c r="J382" i="28"/>
  <c r="R382" i="28"/>
  <c r="B382" i="28"/>
  <c r="C382" i="28"/>
  <c r="E382" i="28"/>
  <c r="M382" i="28"/>
  <c r="U382" i="28"/>
  <c r="F382" i="28"/>
  <c r="N382" i="28"/>
  <c r="V382" i="28"/>
  <c r="T382" i="28"/>
  <c r="D382" i="28"/>
  <c r="L382" i="28"/>
  <c r="I402" i="28"/>
  <c r="Q402" i="28"/>
  <c r="Y402" i="28"/>
  <c r="M402" i="28"/>
  <c r="J402" i="28"/>
  <c r="R402" i="28"/>
  <c r="B402" i="28"/>
  <c r="N403" i="28" s="1"/>
  <c r="N402" i="28"/>
  <c r="C402" i="28"/>
  <c r="K402" i="28"/>
  <c r="S402" i="28"/>
  <c r="D402" i="28"/>
  <c r="L402" i="28"/>
  <c r="T402" i="28"/>
  <c r="E402" i="28"/>
  <c r="U402" i="28"/>
  <c r="F402" i="28"/>
  <c r="V402" i="28"/>
  <c r="G402" i="28"/>
  <c r="O402" i="28"/>
  <c r="W402" i="28"/>
  <c r="H402" i="28"/>
  <c r="P402" i="28"/>
  <c r="X402" i="28"/>
  <c r="G411" i="28"/>
  <c r="O411" i="28"/>
  <c r="W411" i="28"/>
  <c r="H411" i="28"/>
  <c r="P411" i="28"/>
  <c r="X411" i="28"/>
  <c r="D411" i="28"/>
  <c r="L411" i="28"/>
  <c r="T411" i="28"/>
  <c r="I411" i="28"/>
  <c r="Q411" i="28"/>
  <c r="Y411" i="28"/>
  <c r="J411" i="28"/>
  <c r="R411" i="28"/>
  <c r="B411" i="28"/>
  <c r="C411" i="28"/>
  <c r="K411" i="28"/>
  <c r="S411" i="28"/>
  <c r="E411" i="28"/>
  <c r="M411" i="28"/>
  <c r="U411" i="28"/>
  <c r="F411" i="28"/>
  <c r="N411" i="28"/>
  <c r="V411" i="28"/>
  <c r="Y329" i="28"/>
  <c r="Y328" i="28"/>
  <c r="X328" i="28"/>
  <c r="H328" i="28"/>
  <c r="C317" i="28"/>
  <c r="X317" i="28"/>
  <c r="Y317" i="28"/>
  <c r="Y371" i="28"/>
  <c r="Y372" i="28"/>
  <c r="X371" i="28"/>
  <c r="U371" i="28"/>
  <c r="X339" i="28"/>
  <c r="Y339" i="28"/>
  <c r="J348" i="28"/>
  <c r="I348" i="28"/>
  <c r="W348" i="28"/>
  <c r="B349" i="28"/>
  <c r="V348" i="28"/>
  <c r="Q349" i="28"/>
  <c r="R349" i="28"/>
  <c r="D349" i="28"/>
  <c r="F349" i="28"/>
  <c r="G349" i="28"/>
  <c r="G348" i="28"/>
  <c r="S349" i="28"/>
  <c r="M348" i="28"/>
  <c r="C349" i="28"/>
  <c r="D348" i="28"/>
  <c r="U348" i="28"/>
  <c r="N349" i="28"/>
  <c r="O349" i="28"/>
  <c r="V349" i="28"/>
  <c r="F348" i="28"/>
  <c r="T349" i="28"/>
  <c r="E348" i="28"/>
  <c r="K348" i="28"/>
  <c r="L348" i="28"/>
  <c r="P348" i="28"/>
  <c r="W349" i="28"/>
  <c r="L349" i="28"/>
  <c r="R348" i="28"/>
  <c r="S348" i="28"/>
  <c r="T348" i="28"/>
  <c r="Q348" i="28"/>
  <c r="E349" i="28"/>
  <c r="H349" i="28"/>
  <c r="O348" i="28"/>
  <c r="C348" i="28"/>
  <c r="U349" i="28"/>
  <c r="P349" i="28"/>
  <c r="M349" i="28"/>
  <c r="K349" i="28"/>
  <c r="I349" i="28"/>
  <c r="H348" i="28"/>
  <c r="N348" i="28"/>
  <c r="J349" i="28"/>
  <c r="G360" i="28"/>
  <c r="O360" i="28"/>
  <c r="W360" i="28"/>
  <c r="D360" i="28"/>
  <c r="K360" i="28"/>
  <c r="F360" i="28"/>
  <c r="N360" i="28"/>
  <c r="V360" i="28"/>
  <c r="L360" i="28"/>
  <c r="J360" i="28"/>
  <c r="E360" i="28"/>
  <c r="M360" i="28"/>
  <c r="U360" i="28"/>
  <c r="T360" i="28"/>
  <c r="S360" i="28"/>
  <c r="I360" i="28"/>
  <c r="Q360" i="28"/>
  <c r="C360" i="28"/>
  <c r="H360" i="28"/>
  <c r="P360" i="28"/>
  <c r="R360" i="28"/>
  <c r="M339" i="28"/>
  <c r="K339" i="28"/>
  <c r="H339" i="28"/>
  <c r="O339" i="28"/>
  <c r="U339" i="28"/>
  <c r="D339" i="28"/>
  <c r="I339" i="28"/>
  <c r="W339" i="28"/>
  <c r="L339" i="28"/>
  <c r="Q339" i="28"/>
  <c r="N339" i="28"/>
  <c r="T339" i="28"/>
  <c r="E339" i="28"/>
  <c r="S339" i="28"/>
  <c r="B339" i="28"/>
  <c r="P339" i="28"/>
  <c r="G339" i="28"/>
  <c r="J339" i="28"/>
  <c r="F339" i="28"/>
  <c r="V339" i="28"/>
  <c r="R339" i="28"/>
  <c r="K317" i="28"/>
  <c r="S317" i="28"/>
  <c r="W317" i="28"/>
  <c r="U317" i="28"/>
  <c r="D317" i="28"/>
  <c r="J317" i="28"/>
  <c r="R317" i="28"/>
  <c r="V317" i="28"/>
  <c r="E317" i="28"/>
  <c r="T317" i="28"/>
  <c r="I317" i="28"/>
  <c r="Q317" i="28"/>
  <c r="O317" i="28"/>
  <c r="N317" i="28"/>
  <c r="L317" i="28"/>
  <c r="H317" i="28"/>
  <c r="P317" i="28"/>
  <c r="G317" i="28"/>
  <c r="F317" i="28"/>
  <c r="M317" i="28"/>
  <c r="AS340" i="28" l="1"/>
  <c r="AG340" i="28"/>
  <c r="AC341" i="28"/>
  <c r="AO340" i="28"/>
  <c r="Z341" i="28"/>
  <c r="AQ341" i="28"/>
  <c r="AJ341" i="28"/>
  <c r="AK341" i="28"/>
  <c r="AU340" i="28"/>
  <c r="AW340" i="28"/>
  <c r="AH341" i="28"/>
  <c r="AD341" i="28"/>
  <c r="AR341" i="28"/>
  <c r="AS341" i="28"/>
  <c r="AE341" i="28"/>
  <c r="AO341" i="28"/>
  <c r="AA340" i="28"/>
  <c r="AF341" i="28"/>
  <c r="AV341" i="28"/>
  <c r="AT340" i="28"/>
  <c r="AF340" i="28"/>
  <c r="Z340" i="28"/>
  <c r="AJ340" i="28"/>
  <c r="AT341" i="28"/>
  <c r="AV340" i="28"/>
  <c r="AH340" i="28"/>
  <c r="AR340" i="28"/>
  <c r="AE340" i="28"/>
  <c r="AP340" i="28"/>
  <c r="AB341" i="28"/>
  <c r="AW341" i="28"/>
  <c r="AI340" i="28"/>
  <c r="AB340" i="28"/>
  <c r="AC340" i="28"/>
  <c r="AL341" i="28"/>
  <c r="AN340" i="28"/>
  <c r="AQ340" i="28"/>
  <c r="AK340" i="28"/>
  <c r="AA341" i="28"/>
  <c r="AN341" i="28"/>
  <c r="AI341" i="28"/>
  <c r="AM340" i="28"/>
  <c r="AG341" i="28"/>
  <c r="AP341" i="28"/>
  <c r="AU341" i="28"/>
  <c r="AM341" i="28"/>
  <c r="AL340" i="28"/>
  <c r="AD340" i="28"/>
  <c r="D412" i="28"/>
  <c r="AE412" i="28"/>
  <c r="AM412" i="28"/>
  <c r="AU412" i="28"/>
  <c r="AE413" i="28"/>
  <c r="AM413" i="28"/>
  <c r="AU413" i="28"/>
  <c r="AF412" i="28"/>
  <c r="AN412" i="28"/>
  <c r="AV412" i="28"/>
  <c r="AF413" i="28"/>
  <c r="AN413" i="28"/>
  <c r="AV413" i="28"/>
  <c r="AG412" i="28"/>
  <c r="AO412" i="28"/>
  <c r="AW412" i="28"/>
  <c r="AG413" i="28"/>
  <c r="AO413" i="28"/>
  <c r="AW413" i="28"/>
  <c r="AB412" i="28"/>
  <c r="AP412" i="28"/>
  <c r="AC413" i="28"/>
  <c r="AQ413" i="28"/>
  <c r="AC412" i="28"/>
  <c r="AQ412" i="28"/>
  <c r="AD413" i="28"/>
  <c r="AR413" i="28"/>
  <c r="AD412" i="28"/>
  <c r="AR412" i="28"/>
  <c r="AH413" i="28"/>
  <c r="AS413" i="28"/>
  <c r="AS412" i="28"/>
  <c r="AL413" i="28"/>
  <c r="Z412" i="28"/>
  <c r="AT412" i="28"/>
  <c r="AP413" i="28"/>
  <c r="AI412" i="28"/>
  <c r="AB413" i="28"/>
  <c r="AA412" i="28"/>
  <c r="Z413" i="28"/>
  <c r="AT413" i="28"/>
  <c r="AH412" i="28"/>
  <c r="AA413" i="28"/>
  <c r="AL412" i="28"/>
  <c r="AK413" i="28"/>
  <c r="AJ412" i="28"/>
  <c r="AK412" i="28"/>
  <c r="AI413" i="28"/>
  <c r="AJ413" i="28"/>
  <c r="P403" i="28"/>
  <c r="AJ403" i="28"/>
  <c r="AS403" i="28"/>
  <c r="AL404" i="28"/>
  <c r="AF403" i="28"/>
  <c r="AW403" i="28"/>
  <c r="AP404" i="28"/>
  <c r="AC404" i="28"/>
  <c r="AI403" i="28"/>
  <c r="AB404" i="28"/>
  <c r="AK404" i="28"/>
  <c r="AE403" i="28"/>
  <c r="AV403" i="28"/>
  <c r="AO404" i="28"/>
  <c r="AQ403" i="28"/>
  <c r="AJ404" i="28"/>
  <c r="AS404" i="28"/>
  <c r="AM403" i="28"/>
  <c r="AF404" i="28"/>
  <c r="AW404" i="28"/>
  <c r="AI404" i="28"/>
  <c r="AP403" i="28"/>
  <c r="AL403" i="28"/>
  <c r="AE404" i="28"/>
  <c r="AV404" i="28"/>
  <c r="AH403" i="28"/>
  <c r="AK403" i="28"/>
  <c r="AU404" i="28"/>
  <c r="AO403" i="28"/>
  <c r="AH404" i="28"/>
  <c r="AR403" i="28"/>
  <c r="AN403" i="28"/>
  <c r="AQ404" i="28"/>
  <c r="AC403" i="28"/>
  <c r="AT403" i="28"/>
  <c r="AM404" i="28"/>
  <c r="AG403" i="28"/>
  <c r="Z404" i="28"/>
  <c r="AB403" i="28"/>
  <c r="AD404" i="28"/>
  <c r="AA403" i="28"/>
  <c r="AT404" i="28"/>
  <c r="AG404" i="28"/>
  <c r="AA404" i="28"/>
  <c r="AR404" i="28"/>
  <c r="AD403" i="28"/>
  <c r="AU403" i="28"/>
  <c r="AN404" i="28"/>
  <c r="Z403" i="28"/>
  <c r="AA318" i="28"/>
  <c r="AG319" i="28"/>
  <c r="AN318" i="28"/>
  <c r="B318" i="28"/>
  <c r="B319" i="28"/>
  <c r="AO318" i="28"/>
  <c r="Z319" i="28"/>
  <c r="AL319" i="28"/>
  <c r="AS318" i="28"/>
  <c r="AK318" i="28"/>
  <c r="Z318" i="28"/>
  <c r="AL318" i="28"/>
  <c r="AP319" i="28"/>
  <c r="AW318" i="28"/>
  <c r="AF318" i="28"/>
  <c r="AA319" i="28"/>
  <c r="AS319" i="28"/>
  <c r="AU319" i="28"/>
  <c r="AT319" i="28"/>
  <c r="AK319" i="28"/>
  <c r="AO319" i="28"/>
  <c r="AG318" i="28"/>
  <c r="AM319" i="28"/>
  <c r="AC319" i="28"/>
  <c r="AD319" i="28"/>
  <c r="AH318" i="28"/>
  <c r="AU318" i="28"/>
  <c r="AH319" i="28"/>
  <c r="AI319" i="28"/>
  <c r="AN319" i="28"/>
  <c r="AQ318" i="28"/>
  <c r="AM318" i="28"/>
  <c r="AI318" i="28"/>
  <c r="AW319" i="28"/>
  <c r="AV318" i="28"/>
  <c r="AE318" i="28"/>
  <c r="AD318" i="28"/>
  <c r="AQ319" i="28"/>
  <c r="AP318" i="28"/>
  <c r="AV319" i="28"/>
  <c r="AE319" i="28"/>
  <c r="AT318" i="28"/>
  <c r="AF319" i="28"/>
  <c r="AC318" i="28"/>
  <c r="AR319" i="28"/>
  <c r="AB319" i="28"/>
  <c r="AJ319" i="28"/>
  <c r="AJ318" i="28"/>
  <c r="AB318" i="28"/>
  <c r="AR318" i="28"/>
  <c r="AI361" i="28"/>
  <c r="AB362" i="28"/>
  <c r="AG362" i="28"/>
  <c r="AJ362" i="28"/>
  <c r="AH361" i="28"/>
  <c r="AA362" i="28"/>
  <c r="AR362" i="28"/>
  <c r="AL361" i="28"/>
  <c r="AF362" i="28"/>
  <c r="AW362" i="28"/>
  <c r="AP361" i="28"/>
  <c r="AI362" i="28"/>
  <c r="AC361" i="28"/>
  <c r="AT361" i="28"/>
  <c r="AN362" i="28"/>
  <c r="AE361" i="28"/>
  <c r="AH362" i="28"/>
  <c r="AB361" i="28"/>
  <c r="AS361" i="28"/>
  <c r="AL362" i="28"/>
  <c r="AG361" i="28"/>
  <c r="AU361" i="28"/>
  <c r="AA361" i="28"/>
  <c r="AK362" i="28"/>
  <c r="AW361" i="28"/>
  <c r="AN361" i="28"/>
  <c r="AQ361" i="28"/>
  <c r="AV361" i="28"/>
  <c r="AP362" i="28"/>
  <c r="AJ361" i="28"/>
  <c r="AC362" i="28"/>
  <c r="AT362" i="28"/>
  <c r="AO361" i="28"/>
  <c r="AE362" i="28"/>
  <c r="AR361" i="28"/>
  <c r="AF361" i="28"/>
  <c r="AM362" i="28"/>
  <c r="AS362" i="28"/>
  <c r="AU362" i="28"/>
  <c r="Z361" i="28"/>
  <c r="AD361" i="28"/>
  <c r="AO362" i="28"/>
  <c r="AV362" i="28"/>
  <c r="AM361" i="28"/>
  <c r="Z362" i="28"/>
  <c r="AQ362" i="28"/>
  <c r="AK361" i="28"/>
  <c r="AD362" i="28"/>
  <c r="R383" i="28"/>
  <c r="AI384" i="28"/>
  <c r="AD383" i="28"/>
  <c r="AM383" i="28"/>
  <c r="AF384" i="28"/>
  <c r="AW384" i="28"/>
  <c r="AQ384" i="28"/>
  <c r="AL383" i="28"/>
  <c r="AH383" i="28"/>
  <c r="AJ383" i="28"/>
  <c r="AK383" i="28"/>
  <c r="AT383" i="28"/>
  <c r="AE384" i="28"/>
  <c r="AV384" i="28"/>
  <c r="AP383" i="28"/>
  <c r="AR383" i="28"/>
  <c r="AS383" i="28"/>
  <c r="AD384" i="28"/>
  <c r="AM384" i="28"/>
  <c r="AG383" i="28"/>
  <c r="Z384" i="28"/>
  <c r="AJ384" i="28"/>
  <c r="AK384" i="28"/>
  <c r="AT384" i="28"/>
  <c r="AF383" i="28"/>
  <c r="AW383" i="28"/>
  <c r="AA383" i="28"/>
  <c r="Z383" i="28"/>
  <c r="AE383" i="28"/>
  <c r="AO384" i="28"/>
  <c r="AB383" i="28"/>
  <c r="AU383" i="28"/>
  <c r="AR384" i="28"/>
  <c r="AS384" i="28"/>
  <c r="AA384" i="28"/>
  <c r="AN383" i="28"/>
  <c r="AG384" i="28"/>
  <c r="AI383" i="28"/>
  <c r="AP384" i="28"/>
  <c r="AV383" i="28"/>
  <c r="AQ383" i="28"/>
  <c r="AC383" i="28"/>
  <c r="AN384" i="28"/>
  <c r="AL384" i="28"/>
  <c r="AU384" i="28"/>
  <c r="AO383" i="28"/>
  <c r="AH384" i="28"/>
  <c r="AB384" i="28"/>
  <c r="AC384" i="28"/>
  <c r="I403" i="28"/>
  <c r="G383" i="28"/>
  <c r="W383" i="28"/>
  <c r="B383" i="28"/>
  <c r="C413" i="28"/>
  <c r="D383" i="28"/>
  <c r="S403" i="28"/>
  <c r="D404" i="28"/>
  <c r="K403" i="28"/>
  <c r="T383" i="28"/>
  <c r="C412" i="28"/>
  <c r="I412" i="28"/>
  <c r="Q404" i="28"/>
  <c r="E404" i="28"/>
  <c r="E383" i="28"/>
  <c r="K412" i="28"/>
  <c r="W403" i="28"/>
  <c r="H403" i="28"/>
  <c r="J412" i="28"/>
  <c r="S384" i="28"/>
  <c r="G413" i="28"/>
  <c r="H383" i="28"/>
  <c r="F384" i="28"/>
  <c r="K404" i="28"/>
  <c r="S383" i="28"/>
  <c r="L384" i="28"/>
  <c r="D403" i="28"/>
  <c r="S404" i="28"/>
  <c r="I384" i="28"/>
  <c r="E384" i="28"/>
  <c r="B384" i="28"/>
  <c r="K384" i="28"/>
  <c r="U383" i="28"/>
  <c r="V383" i="28"/>
  <c r="W384" i="28"/>
  <c r="Q383" i="28"/>
  <c r="F412" i="28"/>
  <c r="S413" i="28"/>
  <c r="P383" i="28"/>
  <c r="K383" i="28"/>
  <c r="L383" i="28"/>
  <c r="G412" i="28"/>
  <c r="T412" i="28"/>
  <c r="H413" i="28"/>
  <c r="T404" i="28"/>
  <c r="O403" i="28"/>
  <c r="U413" i="28"/>
  <c r="L413" i="28"/>
  <c r="W413" i="28"/>
  <c r="D413" i="28"/>
  <c r="I404" i="28"/>
  <c r="C404" i="28"/>
  <c r="F413" i="28"/>
  <c r="K413" i="28"/>
  <c r="P384" i="28"/>
  <c r="C384" i="28"/>
  <c r="N383" i="28"/>
  <c r="C383" i="28"/>
  <c r="V384" i="28"/>
  <c r="J383" i="28"/>
  <c r="B413" i="28"/>
  <c r="E403" i="28"/>
  <c r="W412" i="28"/>
  <c r="P412" i="28"/>
  <c r="H412" i="28"/>
  <c r="N404" i="28"/>
  <c r="W404" i="28"/>
  <c r="B403" i="28"/>
  <c r="O413" i="28"/>
  <c r="E412" i="28"/>
  <c r="M403" i="28"/>
  <c r="L404" i="28"/>
  <c r="F403" i="28"/>
  <c r="V413" i="28"/>
  <c r="Q384" i="28"/>
  <c r="O383" i="28"/>
  <c r="D384" i="28"/>
  <c r="G384" i="28"/>
  <c r="J384" i="28"/>
  <c r="U403" i="28"/>
  <c r="R413" i="28"/>
  <c r="Q412" i="28"/>
  <c r="T403" i="28"/>
  <c r="B404" i="28"/>
  <c r="L403" i="28"/>
  <c r="I413" i="28"/>
  <c r="S412" i="28"/>
  <c r="H404" i="28"/>
  <c r="Y318" i="28"/>
  <c r="X319" i="28"/>
  <c r="Y319" i="28"/>
  <c r="X318" i="28"/>
  <c r="Y412" i="28"/>
  <c r="Y413" i="28"/>
  <c r="X413" i="28"/>
  <c r="X412" i="28"/>
  <c r="R412" i="28"/>
  <c r="G340" i="28"/>
  <c r="Y340" i="28"/>
  <c r="Y341" i="28"/>
  <c r="X340" i="28"/>
  <c r="X341" i="28"/>
  <c r="L412" i="28"/>
  <c r="U404" i="28"/>
  <c r="R403" i="28"/>
  <c r="Y361" i="28"/>
  <c r="Y362" i="28"/>
  <c r="X361" i="28"/>
  <c r="X362" i="28"/>
  <c r="H384" i="28"/>
  <c r="M383" i="28"/>
  <c r="N384" i="28"/>
  <c r="F383" i="28"/>
  <c r="Q403" i="28"/>
  <c r="F404" i="28"/>
  <c r="V412" i="28"/>
  <c r="B412" i="28"/>
  <c r="C403" i="28"/>
  <c r="V403" i="28"/>
  <c r="P413" i="28"/>
  <c r="V404" i="28"/>
  <c r="J403" i="28"/>
  <c r="N413" i="28"/>
  <c r="Y403" i="28"/>
  <c r="Y404" i="28"/>
  <c r="X403" i="28"/>
  <c r="X404" i="28"/>
  <c r="G404" i="28"/>
  <c r="G403" i="28"/>
  <c r="E413" i="28"/>
  <c r="O412" i="28"/>
  <c r="R404" i="28"/>
  <c r="Y383" i="28"/>
  <c r="X383" i="28"/>
  <c r="Y384" i="28"/>
  <c r="X384" i="28"/>
  <c r="U384" i="28"/>
  <c r="M384" i="28"/>
  <c r="T384" i="28"/>
  <c r="O384" i="28"/>
  <c r="R384" i="28"/>
  <c r="I383" i="28"/>
  <c r="Q413" i="28"/>
  <c r="J404" i="28"/>
  <c r="M412" i="28"/>
  <c r="J413" i="28"/>
  <c r="N412" i="28"/>
  <c r="P404" i="28"/>
  <c r="M413" i="28"/>
  <c r="M404" i="28"/>
  <c r="O404" i="28"/>
  <c r="T413" i="28"/>
  <c r="U412" i="28"/>
  <c r="B361" i="28"/>
  <c r="B362" i="28"/>
  <c r="I340" i="28"/>
  <c r="U340" i="28"/>
  <c r="K341" i="28"/>
  <c r="S341" i="28"/>
  <c r="K362" i="28"/>
  <c r="S362" i="28"/>
  <c r="E361" i="28"/>
  <c r="M361" i="28"/>
  <c r="U361" i="28"/>
  <c r="G362" i="28"/>
  <c r="I361" i="28"/>
  <c r="F362" i="28"/>
  <c r="P361" i="28"/>
  <c r="J362" i="28"/>
  <c r="R362" i="28"/>
  <c r="D361" i="28"/>
  <c r="L361" i="28"/>
  <c r="T361" i="28"/>
  <c r="P362" i="28"/>
  <c r="J361" i="28"/>
  <c r="W362" i="28"/>
  <c r="C361" i="28"/>
  <c r="V362" i="28"/>
  <c r="I362" i="28"/>
  <c r="Q362" i="28"/>
  <c r="C362" i="28"/>
  <c r="K361" i="28"/>
  <c r="S361" i="28"/>
  <c r="H362" i="28"/>
  <c r="R361" i="28"/>
  <c r="O362" i="28"/>
  <c r="Q361" i="28"/>
  <c r="H361" i="28"/>
  <c r="E362" i="28"/>
  <c r="M362" i="28"/>
  <c r="U362" i="28"/>
  <c r="G361" i="28"/>
  <c r="O361" i="28"/>
  <c r="W361" i="28"/>
  <c r="D362" i="28"/>
  <c r="L362" i="28"/>
  <c r="T362" i="28"/>
  <c r="F361" i="28"/>
  <c r="N361" i="28"/>
  <c r="V361" i="28"/>
  <c r="N362" i="28"/>
  <c r="V341" i="28"/>
  <c r="W340" i="28"/>
  <c r="D340" i="28"/>
  <c r="J341" i="28"/>
  <c r="T341" i="28"/>
  <c r="J340" i="28"/>
  <c r="M340" i="28"/>
  <c r="R340" i="28"/>
  <c r="D341" i="28"/>
  <c r="P340" i="28"/>
  <c r="H341" i="28"/>
  <c r="E341" i="28"/>
  <c r="P341" i="28"/>
  <c r="V340" i="28"/>
  <c r="F341" i="28"/>
  <c r="L341" i="28"/>
  <c r="L340" i="28"/>
  <c r="O340" i="28"/>
  <c r="R341" i="28"/>
  <c r="U341" i="28"/>
  <c r="G341" i="28"/>
  <c r="Q340" i="28"/>
  <c r="M341" i="28"/>
  <c r="T340" i="28"/>
  <c r="C340" i="28"/>
  <c r="O341" i="28"/>
  <c r="B340" i="28"/>
  <c r="N340" i="28"/>
  <c r="I341" i="28"/>
  <c r="K340" i="28"/>
  <c r="W341" i="28"/>
  <c r="N341" i="28"/>
  <c r="E340" i="28"/>
  <c r="Q341" i="28"/>
  <c r="S340" i="28"/>
  <c r="H340" i="28"/>
  <c r="F340" i="28"/>
  <c r="C341" i="28"/>
  <c r="B341" i="28"/>
  <c r="G319" i="28"/>
  <c r="O319" i="28"/>
  <c r="W319" i="28"/>
  <c r="I318" i="28"/>
  <c r="Q318" i="28"/>
  <c r="C318" i="28"/>
  <c r="M318" i="28"/>
  <c r="J319" i="28"/>
  <c r="T318" i="28"/>
  <c r="C319" i="28"/>
  <c r="P319" i="28"/>
  <c r="F319" i="28"/>
  <c r="N319" i="28"/>
  <c r="V319" i="28"/>
  <c r="H318" i="28"/>
  <c r="P318" i="28"/>
  <c r="S319" i="28"/>
  <c r="U318" i="28"/>
  <c r="L318" i="28"/>
  <c r="I319" i="28"/>
  <c r="J318" i="28"/>
  <c r="E319" i="28"/>
  <c r="M319" i="28"/>
  <c r="U319" i="28"/>
  <c r="G318" i="28"/>
  <c r="O318" i="28"/>
  <c r="W318" i="28"/>
  <c r="E318" i="28"/>
  <c r="D318" i="28"/>
  <c r="Q319" i="28"/>
  <c r="S318" i="28"/>
  <c r="H319" i="28"/>
  <c r="D319" i="28"/>
  <c r="L319" i="28"/>
  <c r="T319" i="28"/>
  <c r="F318" i="28"/>
  <c r="N318" i="28"/>
  <c r="V318" i="28"/>
  <c r="K319" i="28"/>
  <c r="R319" i="28"/>
  <c r="K318" i="28"/>
  <c r="R318" i="28"/>
  <c r="Z135" i="10"/>
  <c r="Z134" i="10"/>
  <c r="Z133" i="10"/>
  <c r="Z132" i="10"/>
  <c r="Z141" i="10"/>
  <c r="Z140" i="10"/>
  <c r="Z139" i="10"/>
  <c r="Z138" i="10"/>
  <c r="Z137" i="10"/>
  <c r="Z136" i="10"/>
  <c r="D111" i="8" l="1"/>
  <c r="D110" i="8"/>
  <c r="O354" i="28" l="1"/>
  <c r="P354" i="28"/>
  <c r="Q354" i="28"/>
  <c r="R354" i="28"/>
  <c r="S354" i="28"/>
  <c r="T354" i="28"/>
  <c r="U354" i="28"/>
  <c r="V354" i="28"/>
  <c r="N333" i="28"/>
  <c r="O333" i="28"/>
  <c r="P333" i="28"/>
  <c r="Q333" i="28"/>
  <c r="R333" i="28"/>
  <c r="S333" i="28"/>
  <c r="T333" i="28"/>
  <c r="U333" i="28"/>
  <c r="V333" i="28"/>
  <c r="W333" i="28"/>
  <c r="M333" i="28"/>
  <c r="C332" i="28"/>
  <c r="D332" i="28"/>
  <c r="E332" i="28"/>
  <c r="F332" i="28"/>
  <c r="G332" i="28"/>
  <c r="H332" i="28"/>
  <c r="I332" i="28"/>
  <c r="J332" i="28"/>
  <c r="K332" i="28"/>
  <c r="L332" i="28"/>
  <c r="M332" i="28"/>
  <c r="B332" i="28"/>
  <c r="O23" i="28"/>
  <c r="P23" i="28"/>
  <c r="Q23" i="28"/>
  <c r="R23" i="28"/>
  <c r="S23" i="28"/>
  <c r="T23" i="28"/>
  <c r="U23" i="28"/>
  <c r="V23" i="28"/>
  <c r="W23" i="28"/>
  <c r="X23" i="28"/>
  <c r="N23" i="28"/>
  <c r="N397" i="28"/>
  <c r="O397" i="28"/>
  <c r="P397" i="28"/>
  <c r="Q397" i="28"/>
  <c r="R397" i="28"/>
  <c r="S397" i="28"/>
  <c r="T397" i="28"/>
  <c r="U397" i="28"/>
  <c r="V397" i="28"/>
  <c r="W397" i="28"/>
  <c r="M397" i="28"/>
  <c r="C396" i="28"/>
  <c r="D396" i="28"/>
  <c r="E396" i="28"/>
  <c r="F396" i="28"/>
  <c r="G396" i="28"/>
  <c r="H396" i="28"/>
  <c r="I396" i="28"/>
  <c r="J396" i="28"/>
  <c r="K396" i="28"/>
  <c r="L396" i="28"/>
  <c r="M396" i="28"/>
  <c r="B396" i="28"/>
  <c r="N377" i="28"/>
  <c r="O377" i="28"/>
  <c r="P377" i="28"/>
  <c r="Q377" i="28"/>
  <c r="R377" i="28"/>
  <c r="S377" i="28"/>
  <c r="T377" i="28"/>
  <c r="U377" i="28"/>
  <c r="V377" i="28"/>
  <c r="W377" i="28"/>
  <c r="M377" i="28"/>
  <c r="C376" i="28"/>
  <c r="D376" i="28"/>
  <c r="E376" i="28"/>
  <c r="F376" i="28"/>
  <c r="G376" i="28"/>
  <c r="H376" i="28"/>
  <c r="I376" i="28"/>
  <c r="J376" i="28"/>
  <c r="K376" i="28"/>
  <c r="L376" i="28"/>
  <c r="M376" i="28"/>
  <c r="B376" i="28"/>
  <c r="J4" i="34"/>
  <c r="M4" i="34"/>
  <c r="N4" i="34"/>
  <c r="J5" i="34"/>
  <c r="M5" i="34"/>
  <c r="N5" i="34"/>
  <c r="J6" i="34"/>
  <c r="J7" i="34"/>
  <c r="J8" i="34"/>
  <c r="M8" i="34"/>
  <c r="N8" i="34"/>
  <c r="J10" i="34"/>
  <c r="M10" i="34"/>
  <c r="N10" i="34"/>
  <c r="R10" i="34"/>
  <c r="I10" i="34" s="1"/>
  <c r="V10" i="34"/>
  <c r="J11" i="34"/>
  <c r="M11" i="34"/>
  <c r="N11" i="34"/>
  <c r="R11" i="34"/>
  <c r="I11" i="34" s="1"/>
  <c r="V11" i="34"/>
  <c r="J12" i="34"/>
  <c r="J13" i="34"/>
  <c r="M13" i="34"/>
  <c r="N13" i="34"/>
  <c r="J14" i="34"/>
  <c r="J15" i="34"/>
  <c r="J16" i="34"/>
  <c r="J17" i="34"/>
  <c r="J23" i="34"/>
  <c r="J24" i="34"/>
  <c r="J25" i="34"/>
  <c r="J26" i="34"/>
  <c r="J27" i="34"/>
  <c r="J28" i="34"/>
  <c r="M28" i="34"/>
  <c r="N28" i="34"/>
  <c r="J29" i="34"/>
  <c r="M29" i="34"/>
  <c r="N29" i="34"/>
  <c r="J30" i="34"/>
  <c r="I34" i="34"/>
  <c r="J34" i="34"/>
  <c r="V34" i="34"/>
  <c r="R35" i="34"/>
  <c r="S35" i="34"/>
  <c r="T35" i="34"/>
  <c r="U35" i="34"/>
  <c r="I36" i="34"/>
  <c r="R36" i="34"/>
  <c r="S36" i="34"/>
  <c r="T36" i="34"/>
  <c r="U36" i="34"/>
  <c r="I37" i="34"/>
  <c r="R37" i="34"/>
  <c r="S37" i="34"/>
  <c r="T37" i="34"/>
  <c r="U37" i="34"/>
  <c r="I38" i="34"/>
  <c r="R38" i="34"/>
  <c r="S38" i="34"/>
  <c r="T38" i="34"/>
  <c r="U38" i="34"/>
  <c r="I39" i="34"/>
  <c r="R39" i="34"/>
  <c r="S39" i="34"/>
  <c r="T39" i="34"/>
  <c r="U39" i="34"/>
  <c r="I40" i="34"/>
  <c r="R40" i="34"/>
  <c r="S40" i="34"/>
  <c r="T40" i="34"/>
  <c r="U40" i="34"/>
  <c r="M41" i="34"/>
  <c r="N41" i="34"/>
  <c r="J42" i="34"/>
  <c r="M42" i="34"/>
  <c r="N42" i="34"/>
  <c r="J43" i="34"/>
  <c r="M43" i="34"/>
  <c r="N43" i="34"/>
  <c r="J44" i="34"/>
  <c r="N44" i="34"/>
  <c r="J45" i="34"/>
  <c r="N45" i="34"/>
  <c r="J46" i="34"/>
  <c r="M46" i="34"/>
  <c r="N46" i="34"/>
  <c r="R46" i="34"/>
  <c r="I46" i="34" s="1"/>
  <c r="V46" i="34"/>
  <c r="J47" i="34"/>
  <c r="N47" i="34"/>
  <c r="V47" i="34"/>
  <c r="J51" i="34"/>
  <c r="M51" i="34"/>
  <c r="N51" i="34"/>
  <c r="C6" i="33"/>
  <c r="B9" i="28"/>
  <c r="R28" i="34" s="1"/>
  <c r="I28" i="34" s="1"/>
  <c r="B10" i="28"/>
  <c r="B34" i="33" s="1"/>
  <c r="B9" i="52"/>
  <c r="C9" i="52"/>
  <c r="D9" i="52"/>
  <c r="E9" i="52"/>
  <c r="B4" i="26"/>
  <c r="R43" i="34" s="1"/>
  <c r="I43" i="34" s="1"/>
  <c r="B5" i="26"/>
  <c r="V43" i="34" s="1"/>
  <c r="J14" i="26"/>
  <c r="K14" i="26"/>
  <c r="L14" i="26"/>
  <c r="M14" i="26"/>
  <c r="B15" i="26"/>
  <c r="C15" i="26"/>
  <c r="D15" i="26"/>
  <c r="E15" i="26"/>
  <c r="F15" i="26"/>
  <c r="G15" i="26"/>
  <c r="H15" i="26"/>
  <c r="I15" i="26"/>
  <c r="J15" i="26"/>
  <c r="K15" i="26"/>
  <c r="B4" i="27"/>
  <c r="R41" i="34" s="1"/>
  <c r="I41" i="34" s="1"/>
  <c r="B5" i="27"/>
  <c r="B4" i="50"/>
  <c r="N27" i="34" s="1"/>
  <c r="R27" i="34"/>
  <c r="I27" i="34" s="1"/>
  <c r="B5" i="23"/>
  <c r="V26" i="34" s="1"/>
  <c r="B22" i="23"/>
  <c r="C22" i="23"/>
  <c r="C24" i="23" s="1"/>
  <c r="D22" i="23"/>
  <c r="E22" i="23"/>
  <c r="F22" i="23"/>
  <c r="G22" i="23"/>
  <c r="H22" i="23"/>
  <c r="H24" i="23" s="1"/>
  <c r="I22" i="23"/>
  <c r="I24" i="23" s="1"/>
  <c r="J22" i="23"/>
  <c r="J24" i="23" s="1"/>
  <c r="K22" i="23"/>
  <c r="K24" i="23" s="1"/>
  <c r="K11" i="23" s="1"/>
  <c r="L22" i="23"/>
  <c r="L24" i="23" s="1"/>
  <c r="M22" i="23"/>
  <c r="M24" i="23" s="1"/>
  <c r="M11" i="23" s="1"/>
  <c r="N22" i="23"/>
  <c r="N24" i="23" s="1"/>
  <c r="N11" i="23" s="1"/>
  <c r="O22" i="23"/>
  <c r="O24" i="23" s="1"/>
  <c r="P22" i="23"/>
  <c r="P24" i="23" s="1"/>
  <c r="Q22" i="23"/>
  <c r="Q24" i="23" s="1"/>
  <c r="R22" i="23"/>
  <c r="R24" i="23" s="1"/>
  <c r="S22" i="23"/>
  <c r="S24" i="23" s="1"/>
  <c r="S11" i="23" s="1"/>
  <c r="T22" i="23"/>
  <c r="T24" i="23" s="1"/>
  <c r="U22" i="23"/>
  <c r="U24" i="23" s="1"/>
  <c r="U11" i="23" s="1"/>
  <c r="V22" i="23"/>
  <c r="V24" i="23" s="1"/>
  <c r="V11" i="23" s="1"/>
  <c r="W22" i="23"/>
  <c r="W24" i="23" s="1"/>
  <c r="X22" i="23"/>
  <c r="X24" i="23" s="1"/>
  <c r="Y22" i="23"/>
  <c r="Y24" i="23" s="1"/>
  <c r="Z22" i="23"/>
  <c r="Z24" i="23" s="1"/>
  <c r="AA22" i="23"/>
  <c r="AA24" i="23" s="1"/>
  <c r="AA11" i="23" s="1"/>
  <c r="AB22" i="23"/>
  <c r="AB24" i="23" s="1"/>
  <c r="AC22" i="23"/>
  <c r="AC24" i="23" s="1"/>
  <c r="AC11" i="23" s="1"/>
  <c r="AD22" i="23"/>
  <c r="AD24" i="23" s="1"/>
  <c r="AE22" i="23"/>
  <c r="AE24" i="23" s="1"/>
  <c r="AF22" i="23"/>
  <c r="AF24" i="23" s="1"/>
  <c r="AG22" i="23"/>
  <c r="AG24" i="23" s="1"/>
  <c r="AH22" i="23"/>
  <c r="AH24" i="23" s="1"/>
  <c r="AI22" i="23"/>
  <c r="AI24" i="23" s="1"/>
  <c r="AI11" i="23" s="1"/>
  <c r="AJ22" i="23"/>
  <c r="AJ24" i="23" s="1"/>
  <c r="AK22" i="23"/>
  <c r="AK24" i="23" s="1"/>
  <c r="AK11" i="23" s="1"/>
  <c r="AL22" i="23"/>
  <c r="AL24" i="23" s="1"/>
  <c r="AL11" i="23" s="1"/>
  <c r="AM22" i="23"/>
  <c r="AM24" i="23" s="1"/>
  <c r="AN22" i="23"/>
  <c r="AN24" i="23" s="1"/>
  <c r="AO22" i="23"/>
  <c r="AO24" i="23" s="1"/>
  <c r="AP22" i="23"/>
  <c r="AP24" i="23" s="1"/>
  <c r="AQ22" i="23"/>
  <c r="AQ24" i="23" s="1"/>
  <c r="AQ11" i="23" s="1"/>
  <c r="AR22" i="23"/>
  <c r="AR24" i="23" s="1"/>
  <c r="AS22" i="23"/>
  <c r="AS24" i="23" s="1"/>
  <c r="AT22" i="23"/>
  <c r="AT24" i="23" s="1"/>
  <c r="AU22" i="23"/>
  <c r="AU24" i="23" s="1"/>
  <c r="AV22" i="23"/>
  <c r="AV24" i="23" s="1"/>
  <c r="AW22" i="23"/>
  <c r="AW24" i="23" s="1"/>
  <c r="B24" i="23"/>
  <c r="B11" i="23" s="1"/>
  <c r="C11" i="23"/>
  <c r="D24" i="23"/>
  <c r="D11" i="23" s="1"/>
  <c r="E24" i="23"/>
  <c r="E11" i="23" s="1"/>
  <c r="F24" i="23"/>
  <c r="F11" i="23" s="1"/>
  <c r="G24" i="23"/>
  <c r="G11" i="23" s="1"/>
  <c r="B29" i="23"/>
  <c r="C29"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B31" i="23"/>
  <c r="C31" i="23"/>
  <c r="D31"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B32" i="23"/>
  <c r="C32" i="23"/>
  <c r="D32" i="23"/>
  <c r="E32" i="23"/>
  <c r="F32"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R29" i="34"/>
  <c r="I29" i="34" s="1"/>
  <c r="B6" i="29"/>
  <c r="V29" i="34" s="1"/>
  <c r="R51" i="34"/>
  <c r="I51" i="34" s="1"/>
  <c r="B5" i="21"/>
  <c r="V51" i="34" s="1"/>
  <c r="B15" i="48"/>
  <c r="C15" i="48"/>
  <c r="D15" i="48"/>
  <c r="E15" i="48"/>
  <c r="F15" i="48"/>
  <c r="G15" i="48"/>
  <c r="H15" i="48"/>
  <c r="I15" i="48"/>
  <c r="B5" i="25"/>
  <c r="T25" i="34" s="1"/>
  <c r="B6" i="25"/>
  <c r="B27" i="33" s="1"/>
  <c r="R25" i="34"/>
  <c r="I25" i="34" s="1"/>
  <c r="B4" i="47"/>
  <c r="F26" i="33" s="1"/>
  <c r="B5" i="20"/>
  <c r="B26" i="33" s="1"/>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H13" i="20"/>
  <c r="AI13" i="20"/>
  <c r="AJ13" i="20"/>
  <c r="AK13" i="20"/>
  <c r="AL13" i="20"/>
  <c r="AM13" i="20"/>
  <c r="AN13" i="20"/>
  <c r="AO13" i="20"/>
  <c r="AP13" i="20"/>
  <c r="AQ13" i="20"/>
  <c r="AR13" i="20"/>
  <c r="AS13" i="20"/>
  <c r="AT13" i="20"/>
  <c r="AU13" i="20"/>
  <c r="AV13" i="20"/>
  <c r="AW13" i="20"/>
  <c r="B15" i="46"/>
  <c r="C15" i="46"/>
  <c r="D15" i="46"/>
  <c r="E15" i="46"/>
  <c r="F15" i="46"/>
  <c r="G15" i="46"/>
  <c r="H15" i="46"/>
  <c r="I15" i="46"/>
  <c r="B5" i="19"/>
  <c r="B6" i="19"/>
  <c r="V23" i="34" s="1"/>
  <c r="B7" i="35"/>
  <c r="R9" i="34" s="1"/>
  <c r="I8" i="34" s="1"/>
  <c r="B8" i="35"/>
  <c r="S9" i="34" s="1"/>
  <c r="B9" i="35"/>
  <c r="T9" i="34" s="1"/>
  <c r="B10" i="35"/>
  <c r="U9" i="34" s="1"/>
  <c r="B11" i="35"/>
  <c r="B5" i="45"/>
  <c r="N6" i="34" s="1"/>
  <c r="B6" i="16"/>
  <c r="V7" i="34" s="1"/>
  <c r="C11" i="16"/>
  <c r="D11" i="16"/>
  <c r="E11" i="16" s="1"/>
  <c r="D12" i="16"/>
  <c r="E12" i="16" s="1"/>
  <c r="E13" i="16"/>
  <c r="D14" i="16"/>
  <c r="D15" i="16"/>
  <c r="D17" i="16"/>
  <c r="D18" i="16"/>
  <c r="D20" i="16"/>
  <c r="D21" i="16"/>
  <c r="C23" i="16"/>
  <c r="C24" i="16" s="1"/>
  <c r="C25" i="16" s="1"/>
  <c r="D23" i="16"/>
  <c r="E23" i="16" s="1"/>
  <c r="D24" i="16"/>
  <c r="E24" i="16" s="1"/>
  <c r="E25" i="16"/>
  <c r="D26" i="16"/>
  <c r="D27" i="16"/>
  <c r="D29" i="16"/>
  <c r="D30" i="16"/>
  <c r="D32" i="16"/>
  <c r="D33" i="16"/>
  <c r="C35" i="16"/>
  <c r="D35" i="16"/>
  <c r="E35" i="16" s="1"/>
  <c r="D36" i="16"/>
  <c r="E36" i="16" s="1"/>
  <c r="E37" i="16"/>
  <c r="D38" i="16"/>
  <c r="D39" i="16"/>
  <c r="D41" i="16"/>
  <c r="D42" i="16"/>
  <c r="D44" i="16"/>
  <c r="D45" i="16"/>
  <c r="C47" i="16"/>
  <c r="D47" i="16"/>
  <c r="E47" i="16" s="1"/>
  <c r="D48" i="16"/>
  <c r="E48" i="16" s="1"/>
  <c r="E49" i="16"/>
  <c r="E52" i="16" s="1"/>
  <c r="D50" i="16"/>
  <c r="D51" i="16"/>
  <c r="D53" i="16"/>
  <c r="D54" i="16"/>
  <c r="D56" i="16"/>
  <c r="D57" i="16"/>
  <c r="C59" i="16"/>
  <c r="D59" i="16"/>
  <c r="E59" i="16" s="1"/>
  <c r="D60" i="16"/>
  <c r="E60" i="16" s="1"/>
  <c r="E61" i="16"/>
  <c r="D62" i="16"/>
  <c r="D63" i="16"/>
  <c r="D69" i="16"/>
  <c r="C71" i="16"/>
  <c r="C72" i="16" s="1"/>
  <c r="D71" i="16"/>
  <c r="E71" i="16" s="1"/>
  <c r="D72" i="16"/>
  <c r="E72" i="16" s="1"/>
  <c r="E73" i="16"/>
  <c r="E76" i="16" s="1"/>
  <c r="E79" i="16" s="1"/>
  <c r="D74" i="16"/>
  <c r="D75" i="16"/>
  <c r="D77" i="16"/>
  <c r="D78" i="16"/>
  <c r="D80" i="16"/>
  <c r="D81" i="16"/>
  <c r="B6" i="15"/>
  <c r="V6" i="34" s="1"/>
  <c r="C11" i="15"/>
  <c r="C12" i="15" s="1"/>
  <c r="C13" i="15" s="1"/>
  <c r="C14" i="15" s="1"/>
  <c r="C15" i="15" s="1"/>
  <c r="C16" i="15" s="1"/>
  <c r="D11" i="15"/>
  <c r="E11" i="15" s="1"/>
  <c r="D12" i="15"/>
  <c r="E12" i="15" s="1"/>
  <c r="E13" i="15"/>
  <c r="D14" i="15"/>
  <c r="D15" i="15"/>
  <c r="D17" i="15"/>
  <c r="D18" i="15"/>
  <c r="D20" i="15"/>
  <c r="D21" i="15"/>
  <c r="C23" i="15"/>
  <c r="C24" i="15" s="1"/>
  <c r="C25" i="15" s="1"/>
  <c r="D23" i="15"/>
  <c r="E23" i="15" s="1"/>
  <c r="D24" i="15"/>
  <c r="E24" i="15" s="1"/>
  <c r="E25" i="15"/>
  <c r="D26" i="15"/>
  <c r="D27" i="15"/>
  <c r="D29" i="15"/>
  <c r="D30" i="15"/>
  <c r="D32" i="15"/>
  <c r="D33" i="15"/>
  <c r="C35" i="15"/>
  <c r="C36" i="15" s="1"/>
  <c r="C37" i="15" s="1"/>
  <c r="C38" i="15" s="1"/>
  <c r="C39" i="15" s="1"/>
  <c r="C40" i="15" s="1"/>
  <c r="C41" i="15" s="1"/>
  <c r="D35" i="15"/>
  <c r="E35" i="15" s="1"/>
  <c r="D36" i="15"/>
  <c r="E36" i="15" s="1"/>
  <c r="E37" i="15"/>
  <c r="E40" i="15" s="1"/>
  <c r="E43" i="15" s="1"/>
  <c r="D38" i="15"/>
  <c r="D39" i="15"/>
  <c r="D41" i="15"/>
  <c r="D42" i="15"/>
  <c r="D44" i="15"/>
  <c r="D45" i="15"/>
  <c r="C47" i="15"/>
  <c r="C48" i="15" s="1"/>
  <c r="D47" i="15"/>
  <c r="E47" i="15" s="1"/>
  <c r="D48" i="15"/>
  <c r="E48" i="15" s="1"/>
  <c r="E49" i="15"/>
  <c r="E52" i="15" s="1"/>
  <c r="D50" i="15"/>
  <c r="D51" i="15"/>
  <c r="D53" i="15"/>
  <c r="D54" i="15"/>
  <c r="D56" i="15"/>
  <c r="D57" i="15"/>
  <c r="C59" i="15"/>
  <c r="C60" i="15" s="1"/>
  <c r="D59" i="15"/>
  <c r="E59" i="15" s="1"/>
  <c r="D60" i="15"/>
  <c r="E60" i="15" s="1"/>
  <c r="E61" i="15"/>
  <c r="D62" i="15"/>
  <c r="D63" i="15"/>
  <c r="D65" i="15"/>
  <c r="D66" i="15"/>
  <c r="D68" i="15"/>
  <c r="D69" i="15"/>
  <c r="C71" i="15"/>
  <c r="D71" i="15"/>
  <c r="E71" i="15" s="1"/>
  <c r="D72" i="15"/>
  <c r="E72" i="15" s="1"/>
  <c r="E73" i="15"/>
  <c r="E76" i="15" s="1"/>
  <c r="D74" i="15"/>
  <c r="D75" i="15"/>
  <c r="D77" i="15"/>
  <c r="D78" i="15"/>
  <c r="D80" i="15"/>
  <c r="D81" i="15"/>
  <c r="V5" i="34"/>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N20" i="34"/>
  <c r="B3" i="44"/>
  <c r="B4" i="44"/>
  <c r="N17" i="34" s="1"/>
  <c r="X446" i="12"/>
  <c r="D11" i="62"/>
  <c r="H11" i="62"/>
  <c r="D12" i="62"/>
  <c r="B3" i="62" s="1"/>
  <c r="S47" i="34" s="1"/>
  <c r="H12" i="62"/>
  <c r="B4" i="62" s="1"/>
  <c r="S49" i="34" s="1"/>
  <c r="B4" i="11"/>
  <c r="B5" i="11"/>
  <c r="B4" i="42"/>
  <c r="B9" i="42"/>
  <c r="C9" i="42"/>
  <c r="D9" i="42"/>
  <c r="E9" i="42"/>
  <c r="F9" i="42"/>
  <c r="G9" i="42"/>
  <c r="H9" i="42"/>
  <c r="I9" i="42"/>
  <c r="J9" i="42"/>
  <c r="K9" i="42"/>
  <c r="L9" i="42"/>
  <c r="M9" i="42"/>
  <c r="N9" i="42"/>
  <c r="O9" i="42"/>
  <c r="Q9" i="42"/>
  <c r="R9" i="42"/>
  <c r="S9" i="42"/>
  <c r="T9" i="42"/>
  <c r="U9" i="42"/>
  <c r="V9" i="42"/>
  <c r="R30" i="34"/>
  <c r="I30" i="34" s="1"/>
  <c r="V30" i="34"/>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L46" i="10"/>
  <c r="N47" i="10" s="1"/>
  <c r="Q132" i="10"/>
  <c r="R132" i="10"/>
  <c r="S132" i="10"/>
  <c r="T132" i="10"/>
  <c r="U132" i="10"/>
  <c r="V132" i="10"/>
  <c r="W132" i="10"/>
  <c r="X132" i="10"/>
  <c r="Y132" i="10"/>
  <c r="Q133" i="10"/>
  <c r="R133" i="10"/>
  <c r="S133" i="10"/>
  <c r="T133" i="10"/>
  <c r="U133" i="10"/>
  <c r="V133" i="10"/>
  <c r="W133" i="10"/>
  <c r="X133" i="10"/>
  <c r="Y133" i="10"/>
  <c r="Q134" i="10"/>
  <c r="R134" i="10"/>
  <c r="S134" i="10"/>
  <c r="T134" i="10"/>
  <c r="U134" i="10"/>
  <c r="V134" i="10"/>
  <c r="W134" i="10"/>
  <c r="X134" i="10"/>
  <c r="Y134" i="10"/>
  <c r="Q135" i="10"/>
  <c r="R135" i="10"/>
  <c r="S135" i="10"/>
  <c r="T135" i="10"/>
  <c r="U135" i="10"/>
  <c r="V135" i="10"/>
  <c r="W135" i="10"/>
  <c r="X135" i="10"/>
  <c r="Y135" i="10"/>
  <c r="Q136" i="10"/>
  <c r="S136" i="10"/>
  <c r="T136" i="10"/>
  <c r="U136" i="10"/>
  <c r="V136" i="10"/>
  <c r="W136" i="10"/>
  <c r="X136" i="10"/>
  <c r="Y136" i="10"/>
  <c r="Q137" i="10"/>
  <c r="R137" i="10"/>
  <c r="S137" i="10"/>
  <c r="T137" i="10"/>
  <c r="U137" i="10"/>
  <c r="V137" i="10"/>
  <c r="W137" i="10"/>
  <c r="X137" i="10"/>
  <c r="Y137" i="10"/>
  <c r="Q138" i="10"/>
  <c r="R138" i="10"/>
  <c r="S138" i="10"/>
  <c r="T138" i="10"/>
  <c r="U138" i="10"/>
  <c r="V138" i="10"/>
  <c r="W138" i="10"/>
  <c r="X138" i="10"/>
  <c r="Y138" i="10"/>
  <c r="Q139" i="10"/>
  <c r="R139" i="10"/>
  <c r="S139" i="10"/>
  <c r="T139" i="10"/>
  <c r="U139" i="10"/>
  <c r="V139" i="10"/>
  <c r="W139" i="10"/>
  <c r="X139" i="10"/>
  <c r="Y139" i="10"/>
  <c r="Q140" i="10"/>
  <c r="R140" i="10"/>
  <c r="S140" i="10"/>
  <c r="T140" i="10"/>
  <c r="U140" i="10"/>
  <c r="V140" i="10"/>
  <c r="W140" i="10"/>
  <c r="X140" i="10"/>
  <c r="Y140" i="10"/>
  <c r="Q141" i="10"/>
  <c r="R141" i="10"/>
  <c r="S141" i="10"/>
  <c r="T141" i="10"/>
  <c r="U141" i="10"/>
  <c r="V141" i="10"/>
  <c r="W141" i="10"/>
  <c r="X141" i="10"/>
  <c r="Y141" i="10"/>
  <c r="R44" i="34"/>
  <c r="R45" i="34"/>
  <c r="B8" i="9"/>
  <c r="V44" i="34" s="1"/>
  <c r="V4" i="34"/>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N15" i="34"/>
  <c r="B7" i="7"/>
  <c r="R16" i="34" s="1"/>
  <c r="I16" i="34" s="1"/>
  <c r="B8" i="7"/>
  <c r="B109" i="7"/>
  <c r="C109" i="7"/>
  <c r="D109" i="7"/>
  <c r="E109" i="7"/>
  <c r="F109" i="7"/>
  <c r="G110" i="7"/>
  <c r="H110" i="7"/>
  <c r="I110" i="7"/>
  <c r="J110" i="7"/>
  <c r="K110" i="7"/>
  <c r="L110" i="7"/>
  <c r="M110" i="7"/>
  <c r="N110" i="7"/>
  <c r="O110" i="7"/>
  <c r="P110" i="7"/>
  <c r="Q110" i="7"/>
  <c r="R110" i="7"/>
  <c r="S110" i="7"/>
  <c r="T110" i="7"/>
  <c r="U110" i="7"/>
  <c r="V110" i="7"/>
  <c r="W110" i="7"/>
  <c r="X110" i="7"/>
  <c r="Y110" i="7"/>
  <c r="B117" i="7"/>
  <c r="C117" i="7"/>
  <c r="D117" i="7"/>
  <c r="E117" i="7"/>
  <c r="F117" i="7"/>
  <c r="G118" i="7"/>
  <c r="H118" i="7"/>
  <c r="I118" i="7"/>
  <c r="J118" i="7"/>
  <c r="K118" i="7"/>
  <c r="L118" i="7"/>
  <c r="M118" i="7"/>
  <c r="N118" i="7"/>
  <c r="O118" i="7"/>
  <c r="P118" i="7"/>
  <c r="Q118" i="7"/>
  <c r="R118" i="7"/>
  <c r="S118" i="7"/>
  <c r="T118" i="7"/>
  <c r="U118" i="7"/>
  <c r="V118" i="7"/>
  <c r="W118" i="7"/>
  <c r="X118" i="7"/>
  <c r="Y118" i="7"/>
  <c r="B4" i="6"/>
  <c r="R15" i="34" s="1"/>
  <c r="I15" i="34" s="1"/>
  <c r="B5" i="6"/>
  <c r="V15" i="34" s="1"/>
  <c r="B106" i="6"/>
  <c r="C106" i="6"/>
  <c r="D106" i="6"/>
  <c r="E106" i="6"/>
  <c r="F106" i="6"/>
  <c r="G106" i="6"/>
  <c r="G107" i="6"/>
  <c r="H107" i="6"/>
  <c r="B114" i="6"/>
  <c r="C114" i="6"/>
  <c r="D114" i="6"/>
  <c r="E114" i="6"/>
  <c r="F114" i="6"/>
  <c r="G114" i="6"/>
  <c r="G115" i="6"/>
  <c r="H115" i="6"/>
  <c r="I116" i="6"/>
  <c r="J116" i="6"/>
  <c r="K116" i="6"/>
  <c r="L116" i="6"/>
  <c r="M116" i="6"/>
  <c r="N116" i="6"/>
  <c r="B3" i="40"/>
  <c r="B4" i="40"/>
  <c r="B4" i="5"/>
  <c r="R14" i="34" s="1"/>
  <c r="I14" i="34" s="1"/>
  <c r="B5" i="5"/>
  <c r="B22" i="5"/>
  <c r="B24" i="5" s="1"/>
  <c r="C22" i="5"/>
  <c r="C24" i="5" s="1"/>
  <c r="D22" i="5"/>
  <c r="D24" i="5" s="1"/>
  <c r="E22" i="5"/>
  <c r="E24" i="5" s="1"/>
  <c r="F22" i="5"/>
  <c r="F24" i="5" s="1"/>
  <c r="G22" i="5"/>
  <c r="G24" i="5" s="1"/>
  <c r="H22" i="5"/>
  <c r="H24" i="5" s="1"/>
  <c r="I22" i="5"/>
  <c r="I24" i="5" s="1"/>
  <c r="J22" i="5"/>
  <c r="J24" i="5" s="1"/>
  <c r="K22" i="5"/>
  <c r="K24" i="5" s="1"/>
  <c r="L22" i="5"/>
  <c r="L24" i="5" s="1"/>
  <c r="M22" i="5"/>
  <c r="M24" i="5" s="1"/>
  <c r="N22" i="5"/>
  <c r="N24" i="5" s="1"/>
  <c r="O22" i="5"/>
  <c r="O24" i="5" s="1"/>
  <c r="P22" i="5"/>
  <c r="P24" i="5" s="1"/>
  <c r="Q22" i="5"/>
  <c r="Q24" i="5" s="1"/>
  <c r="R22" i="5"/>
  <c r="R24" i="5" s="1"/>
  <c r="S22" i="5"/>
  <c r="S24" i="5" s="1"/>
  <c r="T22" i="5"/>
  <c r="T24" i="5" s="1"/>
  <c r="U22" i="5"/>
  <c r="U24" i="5" s="1"/>
  <c r="V22" i="5"/>
  <c r="V24" i="5" s="1"/>
  <c r="W22" i="5"/>
  <c r="W24" i="5" s="1"/>
  <c r="Y22" i="5"/>
  <c r="Y24" i="5" s="1"/>
  <c r="X24" i="5"/>
  <c r="B29" i="5"/>
  <c r="B32" i="5" s="1"/>
  <c r="C29" i="5"/>
  <c r="C32" i="5" s="1"/>
  <c r="D29" i="5"/>
  <c r="D32" i="5" s="1"/>
  <c r="E29" i="5"/>
  <c r="E32" i="5" s="1"/>
  <c r="F29" i="5"/>
  <c r="F32" i="5" s="1"/>
  <c r="G29" i="5"/>
  <c r="G32" i="5" s="1"/>
  <c r="H29" i="5"/>
  <c r="H32" i="5" s="1"/>
  <c r="I29" i="5"/>
  <c r="I32" i="5" s="1"/>
  <c r="J29" i="5"/>
  <c r="J32" i="5" s="1"/>
  <c r="K29" i="5"/>
  <c r="K32" i="5" s="1"/>
  <c r="L29" i="5"/>
  <c r="L32" i="5" s="1"/>
  <c r="M29" i="5"/>
  <c r="M32" i="5" s="1"/>
  <c r="N29" i="5"/>
  <c r="N32" i="5" s="1"/>
  <c r="O29" i="5"/>
  <c r="O32" i="5" s="1"/>
  <c r="P29" i="5"/>
  <c r="P32" i="5" s="1"/>
  <c r="Q29" i="5"/>
  <c r="Q32" i="5" s="1"/>
  <c r="R29" i="5"/>
  <c r="R32" i="5" s="1"/>
  <c r="S29" i="5"/>
  <c r="S32" i="5" s="1"/>
  <c r="T29" i="5"/>
  <c r="T32" i="5" s="1"/>
  <c r="U29" i="5"/>
  <c r="U32" i="5" s="1"/>
  <c r="V29" i="5"/>
  <c r="V32" i="5" s="1"/>
  <c r="W29" i="5"/>
  <c r="W32" i="5" s="1"/>
  <c r="Y29" i="5"/>
  <c r="Y32" i="5" s="1"/>
  <c r="B31" i="5"/>
  <c r="C31" i="5"/>
  <c r="D31" i="5"/>
  <c r="E31" i="5"/>
  <c r="F31" i="5"/>
  <c r="G31" i="5"/>
  <c r="H31" i="5"/>
  <c r="I31" i="5"/>
  <c r="J31" i="5"/>
  <c r="K31" i="5"/>
  <c r="L31" i="5"/>
  <c r="M31" i="5"/>
  <c r="N31" i="5"/>
  <c r="O31" i="5"/>
  <c r="P31" i="5"/>
  <c r="Q31" i="5"/>
  <c r="R31" i="5"/>
  <c r="S31" i="5"/>
  <c r="T31" i="5"/>
  <c r="U31" i="5"/>
  <c r="V31" i="5"/>
  <c r="W31" i="5"/>
  <c r="X31" i="5"/>
  <c r="Y31" i="5"/>
  <c r="X32" i="5"/>
  <c r="R42" i="34"/>
  <c r="I42" i="34" s="1"/>
  <c r="B5" i="3"/>
  <c r="B8" i="33" s="1"/>
  <c r="B9" i="43"/>
  <c r="C9" i="43"/>
  <c r="D9" i="43"/>
  <c r="E9" i="43"/>
  <c r="B6" i="2"/>
  <c r="V13" i="34" s="1"/>
  <c r="B9" i="2"/>
  <c r="C15" i="2"/>
  <c r="C16" i="2"/>
  <c r="B19" i="2"/>
  <c r="B20" i="2"/>
  <c r="B5" i="2" s="1"/>
  <c r="R13" i="34" s="1"/>
  <c r="B3" i="38"/>
  <c r="B4" i="38"/>
  <c r="N12" i="34" s="1"/>
  <c r="R12" i="34"/>
  <c r="I12" i="34" s="1"/>
  <c r="G6" i="33"/>
  <c r="C7" i="33"/>
  <c r="F7" i="33"/>
  <c r="G7" i="33"/>
  <c r="C8" i="33"/>
  <c r="F8" i="33"/>
  <c r="G8" i="33"/>
  <c r="C9" i="33"/>
  <c r="G9" i="33"/>
  <c r="C10" i="33"/>
  <c r="G10" i="33"/>
  <c r="C11" i="33"/>
  <c r="G11" i="33"/>
  <c r="C12" i="33"/>
  <c r="C13" i="33"/>
  <c r="F13" i="33"/>
  <c r="G13" i="33"/>
  <c r="C14" i="33"/>
  <c r="G14" i="33"/>
  <c r="C15" i="33"/>
  <c r="F15" i="33"/>
  <c r="G15" i="33"/>
  <c r="F16" i="33"/>
  <c r="G16" i="33"/>
  <c r="C17" i="33"/>
  <c r="G17" i="33"/>
  <c r="G18" i="33"/>
  <c r="C19" i="33"/>
  <c r="F20" i="33"/>
  <c r="G20" i="33"/>
  <c r="C21" i="33"/>
  <c r="G21" i="33"/>
  <c r="C22" i="33"/>
  <c r="G22" i="33"/>
  <c r="F23" i="33"/>
  <c r="G23" i="33"/>
  <c r="G24" i="33"/>
  <c r="C25" i="33"/>
  <c r="G25" i="33"/>
  <c r="C26" i="33"/>
  <c r="G26" i="33"/>
  <c r="C27" i="33"/>
  <c r="G27" i="33"/>
  <c r="C28" i="33"/>
  <c r="C29" i="33"/>
  <c r="C30" i="33"/>
  <c r="G30" i="33"/>
  <c r="C31" i="33"/>
  <c r="G31" i="33"/>
  <c r="F32" i="33"/>
  <c r="G32" i="33"/>
  <c r="C33" i="33"/>
  <c r="F33" i="33"/>
  <c r="G33" i="33"/>
  <c r="L103" i="13" l="1"/>
  <c r="M104" i="13"/>
  <c r="B4" i="13" s="1"/>
  <c r="J119" i="8"/>
  <c r="J118" i="8"/>
  <c r="C3" i="42"/>
  <c r="B3" i="42"/>
  <c r="L102" i="13"/>
  <c r="J111" i="8"/>
  <c r="I111" i="8"/>
  <c r="M17" i="26"/>
  <c r="N17" i="26"/>
  <c r="I100" i="8"/>
  <c r="J117" i="8"/>
  <c r="B4" i="8" s="1"/>
  <c r="L92" i="13"/>
  <c r="J116" i="8"/>
  <c r="L101" i="13"/>
  <c r="L100" i="13"/>
  <c r="L94" i="13"/>
  <c r="L95" i="13"/>
  <c r="L93" i="13"/>
  <c r="L96" i="13"/>
  <c r="L97" i="13"/>
  <c r="L98" i="13"/>
  <c r="L99" i="13"/>
  <c r="J115" i="8"/>
  <c r="B47" i="10"/>
  <c r="J112" i="8"/>
  <c r="J114" i="8"/>
  <c r="J16" i="26"/>
  <c r="B16" i="26"/>
  <c r="K16" i="26"/>
  <c r="D16" i="26"/>
  <c r="I16" i="26"/>
  <c r="C16" i="26"/>
  <c r="L16" i="26"/>
  <c r="E16" i="26"/>
  <c r="M16" i="26"/>
  <c r="F16" i="26"/>
  <c r="G16" i="26"/>
  <c r="H16" i="26"/>
  <c r="AD11" i="23"/>
  <c r="AD25" i="23"/>
  <c r="N25" i="23"/>
  <c r="F25" i="23"/>
  <c r="J113" i="8"/>
  <c r="E25" i="23"/>
  <c r="V25" i="23"/>
  <c r="B4" i="20"/>
  <c r="R24" i="34" s="1"/>
  <c r="I24" i="34" s="1"/>
  <c r="C25" i="23"/>
  <c r="AL25" i="23"/>
  <c r="AF11" i="23"/>
  <c r="AF25" i="23"/>
  <c r="AJ11" i="23"/>
  <c r="AJ25" i="23"/>
  <c r="AB11" i="23"/>
  <c r="AB25" i="23"/>
  <c r="T11" i="23"/>
  <c r="T25" i="23"/>
  <c r="L11" i="23"/>
  <c r="L25" i="23"/>
  <c r="AN11" i="23"/>
  <c r="AN25" i="23"/>
  <c r="X11" i="23"/>
  <c r="X25" i="23"/>
  <c r="AP11" i="23"/>
  <c r="AP25" i="23"/>
  <c r="AH11" i="23"/>
  <c r="AH25" i="23"/>
  <c r="Z11" i="23"/>
  <c r="Z25" i="23"/>
  <c r="R11" i="23"/>
  <c r="R25" i="23"/>
  <c r="J11" i="23"/>
  <c r="J25" i="23"/>
  <c r="AO11" i="23"/>
  <c r="AO25" i="23"/>
  <c r="AG11" i="23"/>
  <c r="AG25" i="23"/>
  <c r="Y11" i="23"/>
  <c r="Y25" i="23"/>
  <c r="Q11" i="23"/>
  <c r="Q25" i="23"/>
  <c r="I11" i="23"/>
  <c r="I25" i="23"/>
  <c r="P11" i="23"/>
  <c r="P25" i="23"/>
  <c r="AM11" i="23"/>
  <c r="AM25" i="23"/>
  <c r="AE11" i="23"/>
  <c r="AE25" i="23"/>
  <c r="W11" i="23"/>
  <c r="W25" i="23"/>
  <c r="O11" i="23"/>
  <c r="O25" i="23"/>
  <c r="AK25" i="23"/>
  <c r="AC25" i="23"/>
  <c r="U25" i="23"/>
  <c r="M25" i="23"/>
  <c r="D25" i="23"/>
  <c r="AQ25" i="23"/>
  <c r="AA25" i="23"/>
  <c r="K25" i="23"/>
  <c r="G25" i="23"/>
  <c r="AI25" i="23"/>
  <c r="S25" i="23"/>
  <c r="B25" i="23"/>
  <c r="H11" i="23"/>
  <c r="H25" i="23"/>
  <c r="J25" i="5"/>
  <c r="J10" i="5"/>
  <c r="G25" i="5"/>
  <c r="G10" i="5"/>
  <c r="V25" i="5"/>
  <c r="V10" i="5"/>
  <c r="N25" i="5"/>
  <c r="N10" i="5"/>
  <c r="F25" i="5"/>
  <c r="F10" i="5"/>
  <c r="U25" i="5"/>
  <c r="U10" i="5"/>
  <c r="M25" i="5"/>
  <c r="M10" i="5"/>
  <c r="E25" i="5"/>
  <c r="E10" i="5"/>
  <c r="AS25" i="23"/>
  <c r="AS11" i="23"/>
  <c r="H25" i="5"/>
  <c r="H10" i="5"/>
  <c r="AV25" i="23"/>
  <c r="AV11" i="23"/>
  <c r="W25" i="5"/>
  <c r="W10" i="5"/>
  <c r="AU25" i="23"/>
  <c r="AU11" i="23"/>
  <c r="AT25" i="23"/>
  <c r="AT11" i="23"/>
  <c r="T25" i="5"/>
  <c r="T10" i="5"/>
  <c r="L25" i="5"/>
  <c r="L10" i="5"/>
  <c r="D25" i="5"/>
  <c r="D10" i="5"/>
  <c r="AR25" i="23"/>
  <c r="AR11" i="23"/>
  <c r="Y25" i="5"/>
  <c r="Y10" i="5"/>
  <c r="O25" i="5"/>
  <c r="O10" i="5"/>
  <c r="X25" i="5"/>
  <c r="X10" i="5"/>
  <c r="R25" i="5"/>
  <c r="R10" i="5"/>
  <c r="B25" i="5"/>
  <c r="B10" i="5"/>
  <c r="P25" i="5"/>
  <c r="P10" i="5"/>
  <c r="S25" i="5"/>
  <c r="S10" i="5"/>
  <c r="K25" i="5"/>
  <c r="K10" i="5"/>
  <c r="C25" i="5"/>
  <c r="C10" i="5"/>
  <c r="Q25" i="5"/>
  <c r="Q10" i="5"/>
  <c r="I25" i="5"/>
  <c r="I10" i="5"/>
  <c r="AW25" i="23"/>
  <c r="AW11" i="23"/>
  <c r="V446" i="12"/>
  <c r="N446" i="12"/>
  <c r="R136" i="10"/>
  <c r="B10" i="33"/>
  <c r="E51" i="15"/>
  <c r="E27" i="16"/>
  <c r="B21" i="33"/>
  <c r="P446" i="12"/>
  <c r="B15" i="33"/>
  <c r="B29" i="33"/>
  <c r="T446" i="12"/>
  <c r="L446" i="12"/>
  <c r="F446" i="12"/>
  <c r="D446" i="12"/>
  <c r="H446" i="12"/>
  <c r="F10" i="33"/>
  <c r="R446" i="12"/>
  <c r="J446" i="12"/>
  <c r="E74" i="16"/>
  <c r="F11" i="33"/>
  <c r="B28" i="33"/>
  <c r="J448" i="12"/>
  <c r="R448" i="12"/>
  <c r="Z448" i="12"/>
  <c r="AH448" i="12"/>
  <c r="AP448" i="12"/>
  <c r="B448" i="12"/>
  <c r="D448" i="12"/>
  <c r="L448" i="12"/>
  <c r="T448" i="12"/>
  <c r="AB448" i="12"/>
  <c r="AJ448" i="12"/>
  <c r="AR448" i="12"/>
  <c r="F448" i="12"/>
  <c r="N448" i="12"/>
  <c r="V448" i="12"/>
  <c r="AD448" i="12"/>
  <c r="AL448" i="12"/>
  <c r="AT448" i="12"/>
  <c r="H448" i="12"/>
  <c r="P448" i="12"/>
  <c r="X448" i="12"/>
  <c r="AF448" i="12"/>
  <c r="AN448" i="12"/>
  <c r="AV448" i="12"/>
  <c r="I448" i="12"/>
  <c r="Q448" i="12"/>
  <c r="Y448" i="12"/>
  <c r="AG448" i="12"/>
  <c r="AO448" i="12"/>
  <c r="AW448" i="12"/>
  <c r="AA448" i="12"/>
  <c r="C448" i="12"/>
  <c r="W448" i="12"/>
  <c r="AS448" i="12"/>
  <c r="E448" i="12"/>
  <c r="AU448" i="12"/>
  <c r="G448" i="12"/>
  <c r="AC448" i="12"/>
  <c r="K448" i="12"/>
  <c r="AE448" i="12"/>
  <c r="M448" i="12"/>
  <c r="AI448" i="12"/>
  <c r="O448" i="12"/>
  <c r="AK448" i="12"/>
  <c r="S448" i="12"/>
  <c r="AM448" i="12"/>
  <c r="U448" i="12"/>
  <c r="AQ448" i="12"/>
  <c r="R17" i="34"/>
  <c r="I17" i="34" s="1"/>
  <c r="Z446" i="12"/>
  <c r="Y446" i="12"/>
  <c r="Q446" i="12"/>
  <c r="I446" i="12"/>
  <c r="E26" i="15"/>
  <c r="W446" i="12"/>
  <c r="O446" i="12"/>
  <c r="G446" i="12"/>
  <c r="F47" i="15"/>
  <c r="N16" i="34"/>
  <c r="E63" i="16"/>
  <c r="E28" i="16"/>
  <c r="E31" i="16" s="1"/>
  <c r="U446" i="12"/>
  <c r="M446" i="12"/>
  <c r="E446" i="12"/>
  <c r="E53" i="15"/>
  <c r="S446" i="12"/>
  <c r="K446" i="12"/>
  <c r="C446" i="12"/>
  <c r="E28" i="15"/>
  <c r="E30" i="15" s="1"/>
  <c r="E74" i="15"/>
  <c r="G65" i="8"/>
  <c r="E15" i="15"/>
  <c r="F15" i="15" s="1"/>
  <c r="F71" i="16"/>
  <c r="E62" i="16"/>
  <c r="M27" i="34"/>
  <c r="F23" i="16"/>
  <c r="M23" i="34"/>
  <c r="F59" i="15"/>
  <c r="E75" i="15"/>
  <c r="E15" i="16"/>
  <c r="F31" i="33"/>
  <c r="E64" i="16"/>
  <c r="E67" i="16" s="1"/>
  <c r="E70" i="16" s="1"/>
  <c r="M25" i="34"/>
  <c r="B13" i="33"/>
  <c r="V45" i="34"/>
  <c r="E55" i="16"/>
  <c r="E58" i="16" s="1"/>
  <c r="E54" i="16"/>
  <c r="E53" i="16"/>
  <c r="F23" i="15"/>
  <c r="F37" i="15"/>
  <c r="F36" i="15"/>
  <c r="M12" i="34"/>
  <c r="E17" i="13"/>
  <c r="V25" i="34"/>
  <c r="F59" i="8"/>
  <c r="B22" i="33"/>
  <c r="F6" i="33"/>
  <c r="H90" i="8"/>
  <c r="F18" i="33"/>
  <c r="T23" i="34"/>
  <c r="I23" i="34" s="1"/>
  <c r="H76" i="8"/>
  <c r="F21" i="33"/>
  <c r="M16" i="34"/>
  <c r="N7" i="34"/>
  <c r="I110" i="8"/>
  <c r="F35" i="15"/>
  <c r="B30" i="33"/>
  <c r="M14" i="34"/>
  <c r="M17" i="34"/>
  <c r="F11" i="15"/>
  <c r="M26" i="34"/>
  <c r="B25" i="33"/>
  <c r="V24" i="34"/>
  <c r="K74" i="13"/>
  <c r="F25" i="16"/>
  <c r="C26" i="16"/>
  <c r="V17" i="34"/>
  <c r="B17" i="33"/>
  <c r="E50" i="15"/>
  <c r="F49" i="8"/>
  <c r="F36" i="8"/>
  <c r="F42" i="8"/>
  <c r="F57" i="8"/>
  <c r="F51" i="8"/>
  <c r="F41" i="8"/>
  <c r="E17" i="8"/>
  <c r="F37" i="8"/>
  <c r="F32" i="8"/>
  <c r="F44" i="8"/>
  <c r="F53" i="8"/>
  <c r="E19" i="8"/>
  <c r="H53" i="13"/>
  <c r="I57" i="13"/>
  <c r="F30" i="13"/>
  <c r="F34" i="13"/>
  <c r="F25" i="13"/>
  <c r="F36" i="13"/>
  <c r="E19" i="13"/>
  <c r="E21" i="13"/>
  <c r="F37" i="13"/>
  <c r="C49" i="15"/>
  <c r="F48" i="15"/>
  <c r="E44" i="15"/>
  <c r="E45" i="15"/>
  <c r="E46" i="15"/>
  <c r="N23" i="34"/>
  <c r="F25" i="33"/>
  <c r="F35" i="8"/>
  <c r="F40" i="8"/>
  <c r="I106" i="8"/>
  <c r="G61" i="8"/>
  <c r="G60" i="8"/>
  <c r="H48" i="13"/>
  <c r="C72" i="15"/>
  <c r="C73" i="15" s="1"/>
  <c r="F71" i="15"/>
  <c r="E26" i="16"/>
  <c r="E54" i="15"/>
  <c r="E55" i="15"/>
  <c r="E56" i="15" s="1"/>
  <c r="N14" i="34"/>
  <c r="F9" i="33"/>
  <c r="E16" i="13"/>
  <c r="F27" i="8"/>
  <c r="K73" i="13"/>
  <c r="E77" i="15"/>
  <c r="E79" i="15"/>
  <c r="E82" i="15" s="1"/>
  <c r="H45" i="13"/>
  <c r="V41" i="34"/>
  <c r="B32" i="33"/>
  <c r="F13" i="15"/>
  <c r="E78" i="15"/>
  <c r="F24" i="13"/>
  <c r="J64" i="13"/>
  <c r="J62" i="13"/>
  <c r="F35" i="16"/>
  <c r="C36" i="16"/>
  <c r="B10" i="2"/>
  <c r="I13" i="34" s="1"/>
  <c r="H46" i="13"/>
  <c r="K75" i="13"/>
  <c r="B19" i="33"/>
  <c r="F46" i="8"/>
  <c r="F12" i="15"/>
  <c r="M24" i="34"/>
  <c r="H85" i="8"/>
  <c r="E14" i="16"/>
  <c r="H88" i="8"/>
  <c r="H98" i="8"/>
  <c r="B12" i="33"/>
  <c r="M15" i="34"/>
  <c r="K84" i="13"/>
  <c r="M6" i="34"/>
  <c r="F11" i="16"/>
  <c r="G63" i="8"/>
  <c r="I58" i="13"/>
  <c r="H51" i="13"/>
  <c r="F22" i="33"/>
  <c r="F72" i="16"/>
  <c r="E16" i="16"/>
  <c r="B7" i="33"/>
  <c r="V42" i="34"/>
  <c r="F25" i="15"/>
  <c r="C26" i="15"/>
  <c r="E81" i="16"/>
  <c r="E80" i="16"/>
  <c r="E82" i="16"/>
  <c r="C42" i="15"/>
  <c r="C43" i="15" s="1"/>
  <c r="E77" i="16"/>
  <c r="E78" i="16"/>
  <c r="V16" i="34"/>
  <c r="B11" i="33"/>
  <c r="K83" i="13"/>
  <c r="B9" i="33"/>
  <c r="V14" i="34"/>
  <c r="H73" i="8"/>
  <c r="V8" i="34"/>
  <c r="F24" i="33"/>
  <c r="V12" i="34"/>
  <c r="B6" i="33"/>
  <c r="H79" i="8"/>
  <c r="H72" i="8"/>
  <c r="H80" i="8"/>
  <c r="H92" i="8"/>
  <c r="H93" i="8"/>
  <c r="H95" i="8"/>
  <c r="G68" i="8"/>
  <c r="H75" i="8"/>
  <c r="G70" i="8"/>
  <c r="K85" i="13"/>
  <c r="C17" i="15"/>
  <c r="F24" i="15"/>
  <c r="I104" i="8"/>
  <c r="E15" i="13"/>
  <c r="F42" i="13"/>
  <c r="F28" i="13"/>
  <c r="E23" i="13"/>
  <c r="E20" i="13"/>
  <c r="E63" i="15"/>
  <c r="E64" i="15"/>
  <c r="E62" i="15"/>
  <c r="F40" i="15"/>
  <c r="C73" i="16"/>
  <c r="C12" i="16"/>
  <c r="I102" i="8"/>
  <c r="I109" i="8"/>
  <c r="I103" i="8"/>
  <c r="J68" i="13"/>
  <c r="K79" i="13"/>
  <c r="I55" i="13"/>
  <c r="H54" i="13"/>
  <c r="H44" i="13"/>
  <c r="I60" i="13"/>
  <c r="I56" i="13"/>
  <c r="I59" i="13"/>
  <c r="H49" i="13"/>
  <c r="H47" i="13"/>
  <c r="H50" i="13"/>
  <c r="H43" i="13"/>
  <c r="F59" i="16"/>
  <c r="C60" i="16"/>
  <c r="E15" i="8"/>
  <c r="F33" i="8"/>
  <c r="F54" i="8"/>
  <c r="G71" i="8"/>
  <c r="K80" i="13"/>
  <c r="E41" i="15"/>
  <c r="F41" i="15" s="1"/>
  <c r="E42" i="15"/>
  <c r="E14" i="15"/>
  <c r="F14" i="15" s="1"/>
  <c r="E16" i="15"/>
  <c r="F16" i="15" s="1"/>
  <c r="F38" i="8"/>
  <c r="F45" i="8"/>
  <c r="H47" i="10"/>
  <c r="I47" i="10"/>
  <c r="K47" i="10"/>
  <c r="J47" i="10"/>
  <c r="L47" i="10"/>
  <c r="D47" i="10"/>
  <c r="E47" i="10"/>
  <c r="M47" i="10"/>
  <c r="F47" i="10"/>
  <c r="G47" i="10"/>
  <c r="C47" i="10"/>
  <c r="F17" i="33"/>
  <c r="K89" i="13"/>
  <c r="J63" i="13"/>
  <c r="K78" i="13"/>
  <c r="E20" i="8"/>
  <c r="F31" i="8"/>
  <c r="F43" i="8"/>
  <c r="F47" i="8"/>
  <c r="F56" i="8"/>
  <c r="F30" i="8"/>
  <c r="E22" i="8"/>
  <c r="F52" i="8"/>
  <c r="F50" i="8"/>
  <c r="E14" i="8"/>
  <c r="F55" i="8"/>
  <c r="E12" i="8"/>
  <c r="F24" i="8"/>
  <c r="F26" i="8"/>
  <c r="F25" i="8"/>
  <c r="E18" i="8"/>
  <c r="F58" i="8"/>
  <c r="E13" i="8"/>
  <c r="F29" i="8"/>
  <c r="E23" i="8"/>
  <c r="F28" i="8"/>
  <c r="K81" i="13"/>
  <c r="F48" i="8"/>
  <c r="F39" i="8"/>
  <c r="F34" i="8"/>
  <c r="E16" i="8"/>
  <c r="K91" i="13"/>
  <c r="F35" i="13"/>
  <c r="F39" i="13"/>
  <c r="F26" i="13"/>
  <c r="F38" i="13"/>
  <c r="F40" i="13"/>
  <c r="F41" i="13"/>
  <c r="E14" i="13"/>
  <c r="F27" i="13"/>
  <c r="F29" i="13"/>
  <c r="E22" i="13"/>
  <c r="E13" i="13"/>
  <c r="F32" i="13"/>
  <c r="E18" i="13"/>
  <c r="E12" i="13"/>
  <c r="F31" i="13"/>
  <c r="F33" i="13"/>
  <c r="F60" i="15"/>
  <c r="C61" i="15"/>
  <c r="M7" i="34"/>
  <c r="N25" i="34"/>
  <c r="F27" i="33"/>
  <c r="B31" i="33"/>
  <c r="V27" i="34"/>
  <c r="N24" i="34"/>
  <c r="J67" i="13"/>
  <c r="H52" i="13"/>
  <c r="N26" i="34"/>
  <c r="F30" i="33"/>
  <c r="E75" i="16"/>
  <c r="H86" i="8"/>
  <c r="K86" i="13"/>
  <c r="K82" i="13"/>
  <c r="J69" i="13"/>
  <c r="K90" i="13"/>
  <c r="J72" i="13"/>
  <c r="K77" i="13"/>
  <c r="J65" i="13"/>
  <c r="J61" i="13"/>
  <c r="K76" i="13"/>
  <c r="J70" i="13"/>
  <c r="J66" i="13"/>
  <c r="E39" i="15"/>
  <c r="F39" i="15" s="1"/>
  <c r="E38" i="15"/>
  <c r="F38" i="15" s="1"/>
  <c r="E50" i="16"/>
  <c r="E51" i="16"/>
  <c r="C48" i="16"/>
  <c r="F47" i="16"/>
  <c r="F24" i="16"/>
  <c r="K87" i="13"/>
  <c r="I101" i="8"/>
  <c r="I105" i="8"/>
  <c r="I108" i="8"/>
  <c r="H97" i="8"/>
  <c r="H100" i="8"/>
  <c r="G66" i="8"/>
  <c r="H83" i="8"/>
  <c r="H89" i="8"/>
  <c r="G69" i="8"/>
  <c r="H74" i="8"/>
  <c r="H91" i="8"/>
  <c r="H81" i="8"/>
  <c r="H96" i="8"/>
  <c r="H77" i="8"/>
  <c r="H82" i="8"/>
  <c r="H99" i="8"/>
  <c r="H84" i="8"/>
  <c r="H87" i="8"/>
  <c r="G67" i="8"/>
  <c r="F14" i="33"/>
  <c r="N30" i="34"/>
  <c r="J71" i="13"/>
  <c r="K88" i="13"/>
  <c r="E27" i="15"/>
  <c r="E38" i="16"/>
  <c r="E39" i="16"/>
  <c r="E40" i="16"/>
  <c r="H78" i="8"/>
  <c r="G64" i="8"/>
  <c r="E21" i="8"/>
  <c r="B33" i="33"/>
  <c r="G62" i="8"/>
  <c r="I107" i="8"/>
  <c r="H94" i="8"/>
  <c r="V28" i="34"/>
  <c r="B14" i="33"/>
  <c r="AI15" i="23" l="1"/>
  <c r="AM15" i="23"/>
  <c r="AQ15" i="23"/>
  <c r="AU15" i="23"/>
  <c r="AF15" i="23"/>
  <c r="AT15" i="23"/>
  <c r="AJ15" i="23"/>
  <c r="AN15" i="23"/>
  <c r="AR15" i="23"/>
  <c r="AV15" i="23"/>
  <c r="AW15" i="23"/>
  <c r="AL15" i="23"/>
  <c r="AG15" i="23"/>
  <c r="AK15" i="23"/>
  <c r="AO15" i="23"/>
  <c r="AS15" i="23"/>
  <c r="AH15" i="23"/>
  <c r="AP15" i="23"/>
  <c r="R5" i="34"/>
  <c r="I5" i="34" s="1"/>
  <c r="M30" i="34"/>
  <c r="AC15" i="23"/>
  <c r="X14" i="23"/>
  <c r="AB14" i="23"/>
  <c r="AD15" i="23"/>
  <c r="Y14" i="23"/>
  <c r="W14" i="23"/>
  <c r="AE15" i="23"/>
  <c r="Z14" i="23"/>
  <c r="AB15" i="23"/>
  <c r="AA14" i="23"/>
  <c r="B4" i="23"/>
  <c r="R26" i="34" s="1"/>
  <c r="I26" i="34" s="1"/>
  <c r="K24" i="8"/>
  <c r="K25" i="8"/>
  <c r="E68" i="16"/>
  <c r="AA14" i="5"/>
  <c r="AF14" i="5"/>
  <c r="AN14" i="5"/>
  <c r="AV14" i="5"/>
  <c r="AG14" i="5"/>
  <c r="AO14" i="5"/>
  <c r="AW14" i="5"/>
  <c r="AH14" i="5"/>
  <c r="AP14" i="5"/>
  <c r="AC14" i="5"/>
  <c r="AD14" i="5"/>
  <c r="AU14" i="5"/>
  <c r="AI14" i="5"/>
  <c r="AQ14" i="5"/>
  <c r="AS14" i="5"/>
  <c r="AT14" i="5"/>
  <c r="AM14" i="5"/>
  <c r="AB14" i="5"/>
  <c r="AJ14" i="5"/>
  <c r="AR14" i="5"/>
  <c r="AK14" i="5"/>
  <c r="AL14" i="5"/>
  <c r="AE14" i="5"/>
  <c r="Z14" i="5"/>
  <c r="Y14" i="5"/>
  <c r="Q13" i="5"/>
  <c r="X14" i="5"/>
  <c r="S13" i="5"/>
  <c r="R13" i="5"/>
  <c r="P13" i="5"/>
  <c r="S14" i="5"/>
  <c r="V14" i="5"/>
  <c r="T14" i="5"/>
  <c r="N13" i="5"/>
  <c r="U14" i="5"/>
  <c r="O13" i="5"/>
  <c r="W14" i="5"/>
  <c r="C11" i="5"/>
  <c r="E11" i="5"/>
  <c r="D11" i="5"/>
  <c r="F11" i="5"/>
  <c r="B11" i="5"/>
  <c r="G11" i="5"/>
  <c r="I12" i="23"/>
  <c r="P13" i="23"/>
  <c r="K12" i="23"/>
  <c r="R13" i="23"/>
  <c r="J12" i="23"/>
  <c r="Q13" i="23"/>
  <c r="N13" i="23"/>
  <c r="L12" i="23"/>
  <c r="S13" i="23"/>
  <c r="H12" i="23"/>
  <c r="M12" i="23"/>
  <c r="T13" i="23"/>
  <c r="M13" i="23"/>
  <c r="U13" i="23"/>
  <c r="V13" i="23"/>
  <c r="O13" i="23"/>
  <c r="R4" i="34"/>
  <c r="B449" i="12"/>
  <c r="B450" i="12" s="1"/>
  <c r="L451" i="12" s="1"/>
  <c r="E57" i="16"/>
  <c r="E56" i="16"/>
  <c r="E29" i="16"/>
  <c r="E30" i="16"/>
  <c r="E29" i="15"/>
  <c r="E31" i="15"/>
  <c r="E34" i="15" s="1"/>
  <c r="E65" i="16"/>
  <c r="E66" i="16"/>
  <c r="E69" i="16"/>
  <c r="F72" i="15"/>
  <c r="C50" i="15"/>
  <c r="F49" i="15"/>
  <c r="C74" i="15"/>
  <c r="F73" i="15"/>
  <c r="E58" i="15"/>
  <c r="E80" i="15"/>
  <c r="E81" i="15"/>
  <c r="E57" i="15"/>
  <c r="F36" i="16"/>
  <c r="C37" i="16"/>
  <c r="C27" i="16"/>
  <c r="F26" i="16"/>
  <c r="E19" i="16"/>
  <c r="E17" i="16"/>
  <c r="E18" i="16"/>
  <c r="F61" i="15"/>
  <c r="C62" i="15"/>
  <c r="C18" i="15"/>
  <c r="F26" i="15"/>
  <c r="C27" i="15"/>
  <c r="C61" i="16"/>
  <c r="F60" i="16"/>
  <c r="E66" i="15"/>
  <c r="E67" i="15"/>
  <c r="E65" i="15"/>
  <c r="K28" i="8"/>
  <c r="K97" i="8"/>
  <c r="K40" i="8"/>
  <c r="K105" i="8"/>
  <c r="K29" i="8"/>
  <c r="K95" i="8"/>
  <c r="K30" i="8"/>
  <c r="K109" i="8"/>
  <c r="K103" i="8"/>
  <c r="K99" i="8"/>
  <c r="K90" i="8"/>
  <c r="K70" i="8"/>
  <c r="K41" i="8"/>
  <c r="K106" i="8"/>
  <c r="K37" i="8"/>
  <c r="K110" i="8"/>
  <c r="K46" i="8"/>
  <c r="K119" i="8"/>
  <c r="K52" i="8"/>
  <c r="K108" i="8"/>
  <c r="K64" i="8"/>
  <c r="K123" i="8"/>
  <c r="K130" i="8"/>
  <c r="K116" i="8"/>
  <c r="K113" i="8"/>
  <c r="K104" i="8"/>
  <c r="K85" i="8"/>
  <c r="K50" i="8"/>
  <c r="K81" i="8"/>
  <c r="K32" i="8"/>
  <c r="K84" i="8"/>
  <c r="K66" i="8"/>
  <c r="K79" i="8"/>
  <c r="K96" i="8"/>
  <c r="K86" i="8"/>
  <c r="K83" i="8"/>
  <c r="K47" i="8"/>
  <c r="K44" i="8"/>
  <c r="K122" i="8"/>
  <c r="K54" i="8"/>
  <c r="K31" i="8"/>
  <c r="K134" i="8"/>
  <c r="K127" i="8"/>
  <c r="K87" i="8"/>
  <c r="K80" i="8"/>
  <c r="K114" i="8"/>
  <c r="K62" i="8"/>
  <c r="K117" i="8"/>
  <c r="K59" i="8"/>
  <c r="K74" i="8"/>
  <c r="K61" i="8"/>
  <c r="K131" i="8"/>
  <c r="K57" i="8"/>
  <c r="K35" i="8"/>
  <c r="K38" i="8"/>
  <c r="K100" i="8"/>
  <c r="K88" i="8"/>
  <c r="K45" i="8"/>
  <c r="K69" i="8"/>
  <c r="K133" i="8"/>
  <c r="K125" i="8"/>
  <c r="K65" i="8"/>
  <c r="K120" i="8"/>
  <c r="K26" i="8"/>
  <c r="K128" i="8"/>
  <c r="K77" i="8"/>
  <c r="K43" i="8"/>
  <c r="K58" i="8"/>
  <c r="K112" i="8"/>
  <c r="K101" i="8"/>
  <c r="K67" i="8"/>
  <c r="K98" i="8"/>
  <c r="K121" i="8"/>
  <c r="K60" i="8"/>
  <c r="K115" i="8"/>
  <c r="K82" i="8"/>
  <c r="K68" i="8"/>
  <c r="K33" i="8"/>
  <c r="K42" i="8"/>
  <c r="K118" i="8"/>
  <c r="K92" i="8"/>
  <c r="K63" i="8"/>
  <c r="K56" i="8"/>
  <c r="K78" i="8"/>
  <c r="K132" i="8"/>
  <c r="K48" i="8"/>
  <c r="K124" i="8"/>
  <c r="K126" i="8"/>
  <c r="K111" i="8"/>
  <c r="K71" i="8"/>
  <c r="K72" i="8"/>
  <c r="K94" i="8"/>
  <c r="K53" i="8"/>
  <c r="K75" i="8"/>
  <c r="K36" i="8"/>
  <c r="K73" i="8"/>
  <c r="K129" i="8"/>
  <c r="K89" i="8"/>
  <c r="K49" i="8"/>
  <c r="K91" i="8"/>
  <c r="K51" i="8"/>
  <c r="K102" i="8"/>
  <c r="K107" i="8"/>
  <c r="K39" i="8"/>
  <c r="K55" i="8"/>
  <c r="K34" i="8"/>
  <c r="K93" i="8"/>
  <c r="K76" i="8"/>
  <c r="K27" i="8"/>
  <c r="E18" i="15"/>
  <c r="E19" i="15"/>
  <c r="E17" i="15"/>
  <c r="F17" i="15" s="1"/>
  <c r="F42" i="15"/>
  <c r="C74" i="16"/>
  <c r="F73" i="16"/>
  <c r="F48" i="16"/>
  <c r="C49" i="16"/>
  <c r="G38" i="13"/>
  <c r="G108" i="13"/>
  <c r="G84" i="13"/>
  <c r="G61" i="13"/>
  <c r="G47" i="13"/>
  <c r="G51" i="13"/>
  <c r="G91" i="13"/>
  <c r="G36" i="13"/>
  <c r="G74" i="13"/>
  <c r="G71" i="13"/>
  <c r="G95" i="13"/>
  <c r="G89" i="13"/>
  <c r="G76" i="13"/>
  <c r="G69" i="13"/>
  <c r="G79" i="13"/>
  <c r="G83" i="13"/>
  <c r="G87" i="13"/>
  <c r="G37" i="13"/>
  <c r="G70" i="13"/>
  <c r="G63" i="13"/>
  <c r="G46" i="13"/>
  <c r="G116" i="13"/>
  <c r="G101" i="13"/>
  <c r="G85" i="13"/>
  <c r="G99" i="13"/>
  <c r="G102" i="13"/>
  <c r="G103" i="13"/>
  <c r="G67" i="13"/>
  <c r="G110" i="13"/>
  <c r="G98" i="13"/>
  <c r="G73" i="13"/>
  <c r="G60" i="13"/>
  <c r="G45" i="13"/>
  <c r="G112" i="13"/>
  <c r="G58" i="13"/>
  <c r="G55" i="13"/>
  <c r="G66" i="13"/>
  <c r="G119" i="13"/>
  <c r="G78" i="13"/>
  <c r="G100" i="13"/>
  <c r="G42" i="13"/>
  <c r="G113" i="13"/>
  <c r="G62" i="13"/>
  <c r="G107" i="13"/>
  <c r="G97" i="13"/>
  <c r="G52" i="13"/>
  <c r="G48" i="13"/>
  <c r="G68" i="13"/>
  <c r="G41" i="13"/>
  <c r="G53" i="13"/>
  <c r="G39" i="13"/>
  <c r="G94" i="13"/>
  <c r="G106" i="13"/>
  <c r="G72" i="13"/>
  <c r="G96" i="13"/>
  <c r="G57" i="13"/>
  <c r="G44" i="13"/>
  <c r="G77" i="13"/>
  <c r="G43" i="13"/>
  <c r="G115" i="13"/>
  <c r="G64" i="13"/>
  <c r="G93" i="13"/>
  <c r="G75" i="13"/>
  <c r="G59" i="13"/>
  <c r="G65" i="13"/>
  <c r="G109" i="13"/>
  <c r="G54" i="13"/>
  <c r="G80" i="13"/>
  <c r="G56" i="13"/>
  <c r="G111" i="13"/>
  <c r="G81" i="13"/>
  <c r="G117" i="13"/>
  <c r="G86" i="13"/>
  <c r="G105" i="13"/>
  <c r="G88" i="13"/>
  <c r="G40" i="13"/>
  <c r="G49" i="13"/>
  <c r="G90" i="13"/>
  <c r="G50" i="13"/>
  <c r="G104" i="13"/>
  <c r="G92" i="13"/>
  <c r="G118" i="13"/>
  <c r="G114" i="13"/>
  <c r="G82" i="13"/>
  <c r="E33" i="16"/>
  <c r="E34" i="16"/>
  <c r="E32" i="16"/>
  <c r="E43" i="16"/>
  <c r="E41" i="16"/>
  <c r="E42" i="16"/>
  <c r="F12" i="16"/>
  <c r="C13" i="16"/>
  <c r="I4" i="34" l="1"/>
  <c r="N12" i="5"/>
  <c r="K12" i="5"/>
  <c r="J12" i="5"/>
  <c r="G12" i="5"/>
  <c r="I12" i="5"/>
  <c r="M12" i="5"/>
  <c r="L12" i="5"/>
  <c r="H12" i="5"/>
  <c r="W451" i="12"/>
  <c r="T452" i="12"/>
  <c r="AP452" i="12"/>
  <c r="I452" i="12"/>
  <c r="V451" i="12"/>
  <c r="AI452" i="12"/>
  <c r="AV452" i="12"/>
  <c r="M451" i="12"/>
  <c r="AH452" i="12"/>
  <c r="AV451" i="12"/>
  <c r="N451" i="12"/>
  <c r="AA452" i="12"/>
  <c r="AO451" i="12"/>
  <c r="I451" i="12"/>
  <c r="J452" i="12"/>
  <c r="X451" i="12"/>
  <c r="AK452" i="12"/>
  <c r="C452" i="12"/>
  <c r="AC451" i="12"/>
  <c r="AT452" i="12"/>
  <c r="N452" i="12"/>
  <c r="AP451" i="12"/>
  <c r="H451" i="12"/>
  <c r="U452" i="12"/>
  <c r="AF452" i="12"/>
  <c r="D452" i="12"/>
  <c r="Z451" i="12"/>
  <c r="AM452" i="12"/>
  <c r="E452" i="12"/>
  <c r="AL452" i="12"/>
  <c r="L452" i="12"/>
  <c r="AM451" i="12"/>
  <c r="B451" i="12"/>
  <c r="R451" i="12"/>
  <c r="AE452" i="12"/>
  <c r="AR451" i="12"/>
  <c r="E451" i="12"/>
  <c r="V452" i="12"/>
  <c r="AA451" i="12"/>
  <c r="AO452" i="12"/>
  <c r="G452" i="12"/>
  <c r="T451" i="12"/>
  <c r="H452" i="12"/>
  <c r="O451" i="12"/>
  <c r="K451" i="12"/>
  <c r="Y452" i="12"/>
  <c r="AL451" i="12"/>
  <c r="D451" i="12"/>
  <c r="G451" i="12"/>
  <c r="AS451" i="12"/>
  <c r="X452" i="12"/>
  <c r="AN452" i="12"/>
  <c r="AG451" i="12"/>
  <c r="C451" i="12"/>
  <c r="AH451" i="12"/>
  <c r="Q452" i="12"/>
  <c r="AU452" i="12"/>
  <c r="AD451" i="12"/>
  <c r="M452" i="12"/>
  <c r="AQ452" i="12"/>
  <c r="AU451" i="12"/>
  <c r="AB452" i="12"/>
  <c r="Q451" i="12"/>
  <c r="P452" i="12"/>
  <c r="AQ451" i="12"/>
  <c r="Z452" i="12"/>
  <c r="J451" i="12"/>
  <c r="AN451" i="12"/>
  <c r="W452" i="12"/>
  <c r="F451" i="12"/>
  <c r="AJ451" i="12"/>
  <c r="S452" i="12"/>
  <c r="E33" i="15"/>
  <c r="E32" i="15"/>
  <c r="Y451" i="12"/>
  <c r="F452" i="12"/>
  <c r="AR452" i="12"/>
  <c r="AE451" i="12"/>
  <c r="AI451" i="12"/>
  <c r="R452" i="12"/>
  <c r="AW452" i="12"/>
  <c r="AF451" i="12"/>
  <c r="O452" i="12"/>
  <c r="AS452" i="12"/>
  <c r="AB451" i="12"/>
  <c r="K452" i="12"/>
  <c r="AW451" i="12"/>
  <c r="AD452" i="12"/>
  <c r="U451" i="12"/>
  <c r="AK451" i="12"/>
  <c r="AJ452" i="12"/>
  <c r="S451" i="12"/>
  <c r="B452" i="12"/>
  <c r="AG452" i="12"/>
  <c r="P451" i="12"/>
  <c r="AT451" i="12"/>
  <c r="AC452" i="12"/>
  <c r="F50" i="15"/>
  <c r="C51" i="15"/>
  <c r="E21" i="16"/>
  <c r="E22" i="16"/>
  <c r="E20" i="16"/>
  <c r="C28" i="16"/>
  <c r="F27" i="16"/>
  <c r="C75" i="15"/>
  <c r="F74" i="15"/>
  <c r="C38" i="16"/>
  <c r="F37" i="16"/>
  <c r="E20" i="15"/>
  <c r="E21" i="15"/>
  <c r="E22" i="15"/>
  <c r="C19" i="15"/>
  <c r="F18" i="15"/>
  <c r="F74" i="16"/>
  <c r="C75" i="16"/>
  <c r="E70" i="15"/>
  <c r="E68" i="15"/>
  <c r="E69" i="15"/>
  <c r="C63" i="15"/>
  <c r="F62" i="15"/>
  <c r="C50" i="16"/>
  <c r="F49" i="16"/>
  <c r="F43" i="15"/>
  <c r="C44" i="15"/>
  <c r="C28" i="15"/>
  <c r="F27" i="15"/>
  <c r="F13" i="16"/>
  <c r="C14" i="16"/>
  <c r="E46" i="16"/>
  <c r="E44" i="16"/>
  <c r="E45" i="16"/>
  <c r="C62" i="16"/>
  <c r="F61" i="16"/>
  <c r="C39" i="16" l="1"/>
  <c r="F38" i="16"/>
  <c r="F51" i="15"/>
  <c r="C52" i="15"/>
  <c r="F75" i="15"/>
  <c r="C76" i="15"/>
  <c r="C29" i="16"/>
  <c r="F28" i="16"/>
  <c r="C45" i="15"/>
  <c r="F44" i="15"/>
  <c r="F19" i="15"/>
  <c r="C20" i="15"/>
  <c r="C15" i="16"/>
  <c r="F14" i="16"/>
  <c r="F50" i="16"/>
  <c r="C51" i="16"/>
  <c r="F75" i="16"/>
  <c r="C76" i="16"/>
  <c r="C29" i="15"/>
  <c r="F28" i="15"/>
  <c r="F62" i="16"/>
  <c r="C63" i="16"/>
  <c r="C64" i="15"/>
  <c r="F63" i="15"/>
  <c r="C77" i="15" l="1"/>
  <c r="F76" i="15"/>
  <c r="C53" i="15"/>
  <c r="F52" i="15"/>
  <c r="C40" i="16"/>
  <c r="F39" i="16"/>
  <c r="C30" i="16"/>
  <c r="F29" i="16"/>
  <c r="C64" i="16"/>
  <c r="F63" i="16"/>
  <c r="C77" i="16"/>
  <c r="F76" i="16"/>
  <c r="F20" i="15"/>
  <c r="C21" i="15"/>
  <c r="C52" i="16"/>
  <c r="F51" i="16"/>
  <c r="F45" i="15"/>
  <c r="C46" i="15"/>
  <c r="F46" i="15" s="1"/>
  <c r="C65" i="15"/>
  <c r="F64" i="15"/>
  <c r="F29" i="15"/>
  <c r="C30" i="15"/>
  <c r="F15" i="16"/>
  <c r="C16" i="16"/>
  <c r="F53" i="15" l="1"/>
  <c r="C54" i="15"/>
  <c r="C78" i="15"/>
  <c r="F77" i="15"/>
  <c r="F30" i="16"/>
  <c r="C31" i="16"/>
  <c r="C41" i="16"/>
  <c r="F40" i="16"/>
  <c r="C17" i="16"/>
  <c r="F16" i="16"/>
  <c r="F52" i="16"/>
  <c r="C53" i="16"/>
  <c r="C31" i="15"/>
  <c r="F30" i="15"/>
  <c r="F21" i="15"/>
  <c r="C22" i="15"/>
  <c r="F22" i="15" s="1"/>
  <c r="F65" i="15"/>
  <c r="C66" i="15"/>
  <c r="C78" i="16"/>
  <c r="F77" i="16"/>
  <c r="F64" i="16"/>
  <c r="C65" i="16"/>
  <c r="F41" i="16" l="1"/>
  <c r="C42" i="16"/>
  <c r="F31" i="16"/>
  <c r="C32" i="16"/>
  <c r="F54" i="15"/>
  <c r="C55" i="15"/>
  <c r="F78" i="15"/>
  <c r="C79" i="15"/>
  <c r="F66" i="15"/>
  <c r="C67" i="15"/>
  <c r="F31" i="15"/>
  <c r="C32" i="15"/>
  <c r="C54" i="16"/>
  <c r="F53" i="16"/>
  <c r="C66" i="16"/>
  <c r="F65" i="16"/>
  <c r="C18" i="16"/>
  <c r="F17" i="16"/>
  <c r="F78" i="16"/>
  <c r="C79" i="16"/>
  <c r="F55" i="15" l="1"/>
  <c r="C56" i="15"/>
  <c r="C33" i="16"/>
  <c r="F32" i="16"/>
  <c r="F79" i="15"/>
  <c r="C80" i="15"/>
  <c r="F42" i="16"/>
  <c r="C43" i="16"/>
  <c r="C80" i="16"/>
  <c r="F79" i="16"/>
  <c r="F54" i="16"/>
  <c r="C55" i="16"/>
  <c r="C19" i="16"/>
  <c r="F18" i="16"/>
  <c r="C68" i="15"/>
  <c r="F67" i="15"/>
  <c r="C67" i="16"/>
  <c r="F66" i="16"/>
  <c r="C33" i="15"/>
  <c r="F32" i="15"/>
  <c r="F80" i="15" l="1"/>
  <c r="C81" i="15"/>
  <c r="C44" i="16"/>
  <c r="F43" i="16"/>
  <c r="C34" i="16"/>
  <c r="F34" i="16" s="1"/>
  <c r="F33" i="16"/>
  <c r="F56" i="15"/>
  <c r="C57" i="15"/>
  <c r="C56" i="16"/>
  <c r="F55" i="16"/>
  <c r="F68" i="15"/>
  <c r="C69" i="15"/>
  <c r="F19" i="16"/>
  <c r="C20" i="16"/>
  <c r="F33" i="15"/>
  <c r="C34" i="15"/>
  <c r="F34" i="15" s="1"/>
  <c r="C68" i="16"/>
  <c r="F67" i="16"/>
  <c r="F80" i="16"/>
  <c r="C81" i="16"/>
  <c r="C58" i="15" l="1"/>
  <c r="F57" i="15"/>
  <c r="C45" i="16"/>
  <c r="F44" i="16"/>
  <c r="C82" i="15"/>
  <c r="F82" i="15" s="1"/>
  <c r="F81" i="15"/>
  <c r="F20" i="16"/>
  <c r="C21" i="16"/>
  <c r="F81" i="16"/>
  <c r="C82" i="16"/>
  <c r="F82" i="16" s="1"/>
  <c r="F69" i="15"/>
  <c r="C70" i="15"/>
  <c r="F70" i="15" s="1"/>
  <c r="F68" i="16"/>
  <c r="C69" i="16"/>
  <c r="F56" i="16"/>
  <c r="C57" i="16"/>
  <c r="F45" i="16" l="1"/>
  <c r="C46" i="16"/>
  <c r="F46" i="16" s="1"/>
  <c r="F58" i="15"/>
  <c r="B5" i="15" s="1"/>
  <c r="R6" i="34" s="1"/>
  <c r="I6" i="34" s="1"/>
  <c r="B4" i="15"/>
  <c r="T6" i="34" s="1"/>
  <c r="F69" i="16"/>
  <c r="C70" i="16"/>
  <c r="F70" i="16" s="1"/>
  <c r="F57" i="16"/>
  <c r="C58" i="16"/>
  <c r="C22" i="16"/>
  <c r="F22" i="16" s="1"/>
  <c r="F21" i="16"/>
  <c r="B4" i="16" l="1"/>
  <c r="T7" i="34" s="1"/>
  <c r="F58" i="16"/>
  <c r="B5" i="16" s="1"/>
  <c r="R7" i="34" s="1"/>
  <c r="I7" i="34" s="1"/>
  <c r="F128" i="7"/>
  <c r="F129" i="7" s="1"/>
  <c r="F130" i="7" s="1"/>
  <c r="F131" i="7" s="1"/>
  <c r="F132" i="7" s="1"/>
  <c r="F133" i="7" s="1"/>
  <c r="F134" i="7" s="1"/>
  <c r="F135" i="7" s="1"/>
  <c r="F136" i="7" s="1"/>
  <c r="F137" i="7" s="1"/>
  <c r="F138" i="7" s="1"/>
</calcChain>
</file>

<file path=xl/sharedStrings.xml><?xml version="1.0" encoding="utf-8"?>
<sst xmlns="http://schemas.openxmlformats.org/spreadsheetml/2006/main" count="2712" uniqueCount="774">
  <si>
    <r>
      <t>Percentage</t>
    </r>
    <r>
      <rPr>
        <b/>
        <u/>
        <sz val="10"/>
        <color indexed="30"/>
        <rFont val="Arial"/>
        <family val="2"/>
      </rPr>
      <t xml:space="preserve"> seen</t>
    </r>
    <r>
      <rPr>
        <b/>
        <sz val="10"/>
        <color indexed="30"/>
        <rFont val="Arial"/>
        <family val="2"/>
      </rPr>
      <t xml:space="preserve"> within 18 weeks</t>
    </r>
  </si>
  <si>
    <t>48-hour GP/HCP access</t>
  </si>
  <si>
    <t>&gt;3 days (excl. Code 9s and 100s) Percentages</t>
  </si>
  <si>
    <r>
      <t>Estimated Incidence of Dementia</t>
    </r>
    <r>
      <rPr>
        <b/>
        <vertAlign val="superscript"/>
        <sz val="10"/>
        <color indexed="8"/>
        <rFont val="Arial"/>
        <family val="2"/>
      </rPr>
      <t>1</t>
    </r>
  </si>
  <si>
    <r>
      <t>Total Referred to PDS</t>
    </r>
    <r>
      <rPr>
        <b/>
        <vertAlign val="superscript"/>
        <sz val="10"/>
        <color indexed="8"/>
        <rFont val="Arial"/>
        <family val="2"/>
      </rPr>
      <t>2</t>
    </r>
  </si>
  <si>
    <r>
      <t>Delivered Successfully Against the Standard</t>
    </r>
    <r>
      <rPr>
        <b/>
        <vertAlign val="superscript"/>
        <sz val="10"/>
        <color indexed="8"/>
        <rFont val="Arial"/>
        <family val="2"/>
      </rPr>
      <t>3</t>
    </r>
  </si>
  <si>
    <r>
      <rPr>
        <vertAlign val="superscript"/>
        <sz val="10"/>
        <color indexed="8"/>
        <rFont val="Arial"/>
        <family val="2"/>
      </rPr>
      <t>1</t>
    </r>
    <r>
      <rPr>
        <sz val="10"/>
        <color indexed="8"/>
        <rFont val="Arial"/>
        <family val="2"/>
      </rPr>
      <t xml:space="preserve"> These incidence figures were derived from taking most up to date NRS population estimates for 2014/15 and applying rates as indicated in the cited research</t>
    </r>
  </si>
  <si>
    <r>
      <rPr>
        <vertAlign val="superscript"/>
        <sz val="10"/>
        <color indexed="8"/>
        <rFont val="Arial"/>
        <family val="2"/>
      </rPr>
      <t>2</t>
    </r>
    <r>
      <rPr>
        <sz val="10"/>
        <color indexed="8"/>
        <rFont val="Arial"/>
        <family val="2"/>
      </rPr>
      <t xml:space="preserve"> Number of those referred for PDS, but excludes those currently undergoing PDS as uncertain at this point whether they will meet the requirements of the LDP Standard.</t>
    </r>
  </si>
  <si>
    <r>
      <rPr>
        <vertAlign val="superscript"/>
        <sz val="10"/>
        <color indexed="8"/>
        <rFont val="Arial"/>
        <family val="2"/>
      </rPr>
      <t>3</t>
    </r>
    <r>
      <rPr>
        <sz val="10"/>
        <color indexed="8"/>
        <rFont val="Arial"/>
        <family val="2"/>
      </rPr>
      <t xml:space="preserve"> Those who have received 12 months PDS support or had PDS stopped due to patient death or move </t>
    </r>
  </si>
  <si>
    <t>Healthcare Acquired Infection - SAB (rate per 1,000 acute bed days)</t>
  </si>
  <si>
    <t>Patient Experience (9.0/10 – Overall Experience)</t>
  </si>
  <si>
    <t>(max) (&lt;=262)</t>
  </si>
  <si>
    <t>(max) (&lt;=184)</t>
  </si>
  <si>
    <t>Apr - Jun 16</t>
  </si>
  <si>
    <t>(exptd diag rate + 1 Year (min) PDS)</t>
  </si>
  <si>
    <t>Target (min)</t>
  </si>
  <si>
    <t>Target (max)</t>
  </si>
  <si>
    <t>Interim Target (min)</t>
  </si>
  <si>
    <t>Target Median (max)</t>
  </si>
  <si>
    <t>% of patients seen within the 12 week Treatment Time Guarantee</t>
  </si>
  <si>
    <t>% commenced within 12 months</t>
  </si>
  <si>
    <r>
      <t xml:space="preserve">Total </t>
    </r>
    <r>
      <rPr>
        <b/>
        <u/>
        <sz val="10"/>
        <color indexed="8"/>
        <rFont val="Arial"/>
        <family val="2"/>
      </rPr>
      <t>waiting</t>
    </r>
    <r>
      <rPr>
        <b/>
        <sz val="10"/>
        <color indexed="8"/>
        <rFont val="Arial"/>
        <family val="2"/>
      </rPr>
      <t xml:space="preserve"> at end of month adjusted</t>
    </r>
  </si>
  <si>
    <r>
      <t xml:space="preserve">Those </t>
    </r>
    <r>
      <rPr>
        <b/>
        <u/>
        <sz val="10"/>
        <color indexed="8"/>
        <rFont val="Arial"/>
        <family val="2"/>
      </rPr>
      <t>waiting</t>
    </r>
    <r>
      <rPr>
        <b/>
        <sz val="10"/>
        <color indexed="8"/>
        <rFont val="Arial"/>
        <family val="2"/>
      </rPr>
      <t xml:space="preserve"> more than 18 weeks adjusted</t>
    </r>
  </si>
  <si>
    <t>Extended baseline Median</t>
  </si>
  <si>
    <t>Baseline Median - 2009 (1.91)</t>
  </si>
  <si>
    <t xml:space="preserve">Extended New Median </t>
  </si>
  <si>
    <t>Target Median (50% Reduction) to 0.95 (max)</t>
  </si>
  <si>
    <t>(min for this quarter)</t>
  </si>
  <si>
    <t>(Mthly)</t>
  </si>
  <si>
    <t>(Qtrly)</t>
  </si>
  <si>
    <t>Cancer (&lt;=31-day) (% treated)</t>
  </si>
  <si>
    <t>TTG Seen Over 12 Weeks</t>
  </si>
  <si>
    <t>TTG Seen Within 12 Weeks</t>
  </si>
  <si>
    <t>Average of Weighted Response Scores</t>
  </si>
  <si>
    <t>&gt;3 days (excl. Code 9s &amp; 100s) - post-definition change - Total incl. Other Local Authority Areas - NHS Lothian</t>
  </si>
  <si>
    <t>&gt;3 days (excl. Code 9s &amp; 100s) - post-definition change - Total incl. Other Local Authority Areas - East Lothian</t>
  </si>
  <si>
    <t>&gt;3 days (excl. Code 9s &amp; 100s) - post-definition change - Total incl. Other Local Authority Areas - City of Edinburgh</t>
  </si>
  <si>
    <t>&gt;3 days (excl. Code 9s &amp; 100s) - post-definition change - Total incl. Other Local Authority Areas - Midlothian</t>
  </si>
  <si>
    <t>&gt;3 days (excl. Code 9s &amp; 100s) - post-definition change - Total incl. Other Local Authority Areas - West Lothian</t>
  </si>
  <si>
    <t>&gt;3 days (excl. Code 9s &amp; 100s) - pre-definition change - Total incl. Other Local Authority Areas - NHS Lothian</t>
  </si>
  <si>
    <t xml:space="preserve">All Cancer Types - </t>
  </si>
  <si>
    <t xml:space="preserve">Urological - </t>
  </si>
  <si>
    <t xml:space="preserve">Urology - </t>
  </si>
  <si>
    <t>62-day target from receipt of referral to treatment for all cancers.  This applies to each of the following groups:-</t>
  </si>
  <si>
    <t xml:space="preserve">·         any patients urgently referred with a suspicion of cancer by their primary care clinician (for example GP) or dentist; </t>
  </si>
  <si>
    <t xml:space="preserve">·         any screened-positive patients who are referred through a national cancer screening programme (breast, colorectal or cervical);  </t>
  </si>
  <si>
    <t>·         any direct referral to hospital (for example self-referral to A&amp;E).</t>
  </si>
  <si>
    <t>City of Edinburgh</t>
  </si>
  <si>
    <t>West Lothian</t>
  </si>
  <si>
    <t>People newly diagnosed with dementia will have a minimum of 1 year of post-diagnostic support (PDS).</t>
  </si>
  <si>
    <t>90 per cent of clients will wait no longer than 3 weeks from referral received to appropriate drug or alcohol treatment that supports their recovery.</t>
  </si>
  <si>
    <t>NHS Boards’ rate of Clostridium difficile infections (CDI) in patients aged 15 and over is 0.32 cases or less per 1,000 total occupied bed days.</t>
  </si>
  <si>
    <t>NHS Boards’ rate of Staphylococcus aureus Bacteraemia (including MRSA) (SAB) cases are 0.24 or less per 1,000 acute occupied bed days.</t>
  </si>
  <si>
    <t>All hospital sites (i.e. RIE, SJH &amp; WGH) to be within Hospital Scorecard (HS) limits (i.e. if one is out-with limits, status for NHS Lothian is ‘Not Met’).</t>
  </si>
  <si>
    <t>From the 1 October 2012, the Patient Rights (Scotland) Act 2011 establishes a 12 week maximum waiting time for the treatment of all eligible patients due to receive planned treatment delivered on an inpatient or day case basis.</t>
  </si>
  <si>
    <t>90 per cent of eligible patients to commence IVF treatment within 12 months of referral.</t>
  </si>
  <si>
    <t>Tell us Ten Things (TTT) Inpatient Survey (Question 10 – Overall Experience).</t>
  </si>
  <si>
    <t>90 per cent of patients to commence Psychological Therapy based treatment within 18 weeks of referral.</t>
  </si>
  <si>
    <t>90% of planned/elective patients to commence treatment within 18 weeks of referral.</t>
  </si>
  <si>
    <t xml:space="preserve">NHS Boards to sustain and embed successful smoking quits at 12 weeks post quit, in the 40% most deprived SIMD areas (60% in the Island Boards).  </t>
  </si>
  <si>
    <t>80% of all patients admitted to hospital with an initial diagnosis of stroke should receive the appropriate elements of the stroke care bundle.</t>
  </si>
  <si>
    <t>No patient should wait past their planned review date for a surveillance endoscopy.</t>
  </si>
  <si>
    <t>Quit Dates</t>
  </si>
  <si>
    <t>NHS Lothian Total – PCR Pharmacies only</t>
  </si>
  <si>
    <t>No. Within 12 Weeks</t>
  </si>
  <si>
    <t>% within 12 weeks</t>
  </si>
  <si>
    <t>2011/12</t>
  </si>
  <si>
    <t>2013/14</t>
  </si>
  <si>
    <t>2015/16</t>
  </si>
  <si>
    <t>Advance booking</t>
  </si>
  <si>
    <t>0-365 Days</t>
  </si>
  <si>
    <t>&gt;365 Days</t>
  </si>
  <si>
    <t>Total Number of Patients Seen</t>
  </si>
  <si>
    <t>Target/Standard</t>
  </si>
  <si>
    <t>Reporting Date</t>
  </si>
  <si>
    <t>Lead Director</t>
  </si>
  <si>
    <t>Quality</t>
  </si>
  <si>
    <t>Not Applicable</t>
  </si>
  <si>
    <t>Met</t>
  </si>
  <si>
    <t xml:space="preserve">Healthcare Acquired Infection - CDI (rate per 1,000 bed days, aged 15+) </t>
  </si>
  <si>
    <t>LDP</t>
  </si>
  <si>
    <t>Worse</t>
  </si>
  <si>
    <t>Better</t>
  </si>
  <si>
    <t>Timely</t>
  </si>
  <si>
    <t>JC</t>
  </si>
  <si>
    <t>DS</t>
  </si>
  <si>
    <t>AMcM</t>
  </si>
  <si>
    <t>JF</t>
  </si>
  <si>
    <t>Stroke Bundle (% receiving)</t>
  </si>
  <si>
    <t>Effective</t>
  </si>
  <si>
    <t xml:space="preserve"> DS</t>
  </si>
  <si>
    <t>EM</t>
  </si>
  <si>
    <t>Efficient</t>
  </si>
  <si>
    <t>Hospital Scorecard – Standardised Surgical Readmission rate within 7 days</t>
  </si>
  <si>
    <t>All NHS L Sites (RIE; SJH &amp; WGH), Within Hospital Scorecard Limits</t>
  </si>
  <si>
    <t>Hospital Scorecard – Standardised Surgical Readmission rate within 28 days</t>
  </si>
  <si>
    <t>Hospital Scorecard – Standardised Medical Readmission rate within 7 days</t>
  </si>
  <si>
    <t>Hospital Scorecard – Standardised Medical Readmission rate within 28 days</t>
  </si>
  <si>
    <t>Hospital Scorecard – Average Surgical Length of Stay - Adjusted</t>
  </si>
  <si>
    <t>Hospital Scorecard – Average Medical Length of Stay - Adjusted</t>
  </si>
  <si>
    <t>Equitable</t>
  </si>
  <si>
    <t>Smoking Cessation (quits)</t>
  </si>
  <si>
    <t>AKM</t>
  </si>
  <si>
    <t>Person-Centred</t>
  </si>
  <si>
    <t>Assurance Committee</t>
  </si>
  <si>
    <t>Safe</t>
  </si>
  <si>
    <t>Dementia – East Lothian IJB</t>
  </si>
  <si>
    <t>Dementia – Edinburgh IJB</t>
  </si>
  <si>
    <t>Dementia – West Lothian IJB</t>
  </si>
  <si>
    <t>Dementia – Midlothian IJB</t>
  </si>
  <si>
    <t>HGC</t>
  </si>
  <si>
    <t>Acute Hospitals (AHC)</t>
  </si>
  <si>
    <t>Healthcare Governance (HGC)</t>
  </si>
  <si>
    <t>AHC</t>
  </si>
  <si>
    <t>Staff Governance</t>
  </si>
  <si>
    <t>Latest Performance</t>
  </si>
  <si>
    <t>Publication Date</t>
  </si>
  <si>
    <t>Overview Table</t>
  </si>
  <si>
    <t>Reporting Date:</t>
  </si>
  <si>
    <t>Met/Not Met:</t>
  </si>
  <si>
    <t>SIMD</t>
  </si>
  <si>
    <t>per 1,000 discharges (median)</t>
  </si>
  <si>
    <t>per 1,000 occupied bed days (median)</t>
  </si>
  <si>
    <t>All sites within HS Limits</t>
  </si>
  <si>
    <t>stretch to 98.0%</t>
  </si>
  <si>
    <t>(min)</t>
  </si>
  <si>
    <t>(max)</t>
  </si>
  <si>
    <t>(out of 10)</t>
  </si>
  <si>
    <t>2014/15</t>
  </si>
  <si>
    <t>2014 &amp; 2015 (Combined Calendar Years)</t>
  </si>
  <si>
    <t>Baseline Median</t>
  </si>
  <si>
    <t>Extended Median</t>
  </si>
  <si>
    <t>1st Friday of Month</t>
  </si>
  <si>
    <t>1st Friday of month</t>
  </si>
  <si>
    <t>28-30th</t>
  </si>
  <si>
    <t>14th</t>
  </si>
  <si>
    <t>5th</t>
  </si>
  <si>
    <t>24th</t>
  </si>
  <si>
    <t>8th</t>
  </si>
  <si>
    <t>Mid-end of month</t>
  </si>
  <si>
    <t>25th</t>
  </si>
  <si>
    <t>End of 1/4 + 4 months</t>
  </si>
  <si>
    <t>Target:</t>
  </si>
  <si>
    <t>Latest Performance:</t>
  </si>
  <si>
    <t>Publication Date:</t>
  </si>
  <si>
    <t>Latest Performance (48-hour):</t>
  </si>
  <si>
    <t>Latest Performance (Advanced booking):</t>
  </si>
  <si>
    <t>Cumulative Patients</t>
  </si>
  <si>
    <t>Rate</t>
  </si>
  <si>
    <t>Latest Performance No:</t>
  </si>
  <si>
    <t>Latest Performance Rate:</t>
  </si>
  <si>
    <t>Latest Performance (%):</t>
  </si>
  <si>
    <t>Latest Performance (No):</t>
  </si>
  <si>
    <t>(median)</t>
  </si>
  <si>
    <t>End of 1/4 + 6 weeks</t>
  </si>
  <si>
    <t>The new aim of the Scottish Patient Safety Programme is to reduce hospital mortality by a further 10% by December 2018.</t>
  </si>
  <si>
    <t>If an HSMR value is less than one: This means the number of deaths within 30 days of admission for a hospital is fewer than predicted.</t>
  </si>
  <si>
    <t>If an HSMR value is greater than one : This means the number of deaths within 30 days for a hospital is more than predicted.</t>
  </si>
  <si>
    <t>If the number of deaths is more than predicted this does not necessarily mean that these were avoidable deaths (ie that they should not have happened), or that they were unexpected, or attributable to failings in the quality of care.</t>
  </si>
  <si>
    <t>HSMR</t>
  </si>
  <si>
    <t>End of 1/4 + 5 months</t>
  </si>
  <si>
    <t>End of 1/4 + 6 months</t>
  </si>
  <si>
    <t>NHS Lothian Total - Overall</t>
  </si>
  <si>
    <t>[cumulative]</t>
  </si>
  <si>
    <t xml:space="preserve">Raw Data - Lothian </t>
  </si>
  <si>
    <t>Gynaecology</t>
  </si>
  <si>
    <t>NEUROLOGY</t>
  </si>
  <si>
    <t>NHS L</t>
  </si>
  <si>
    <t>Latest Performance NHS Lothian:</t>
  </si>
  <si>
    <t>Latest Performance RIE:</t>
  </si>
  <si>
    <t>Latest Performance SJH:</t>
  </si>
  <si>
    <t>Latest Performance WGH:</t>
  </si>
  <si>
    <t>(rate)</t>
  </si>
  <si>
    <t>(incidences)</t>
  </si>
  <si>
    <r>
      <t>Staff Sickness Absence Levels</t>
    </r>
    <r>
      <rPr>
        <sz val="8"/>
        <color indexed="8"/>
        <rFont val="Arial"/>
        <family val="2"/>
      </rPr>
      <t xml:space="preserve"> (&lt;=4%)</t>
    </r>
  </si>
  <si>
    <t>Improving</t>
  </si>
  <si>
    <t>Deteriorating</t>
  </si>
  <si>
    <t/>
  </si>
  <si>
    <t>Extended Baseline Median</t>
  </si>
  <si>
    <t xml:space="preserve">New Median </t>
  </si>
  <si>
    <t>No Change</t>
  </si>
  <si>
    <t>(Monthly)</t>
  </si>
  <si>
    <t>(Quarterly)</t>
  </si>
  <si>
    <t>TOBD (1/4ly)</t>
  </si>
  <si>
    <t>TOBD Cumulative</t>
  </si>
  <si>
    <t>AOBD (1/4ly)</t>
  </si>
  <si>
    <t>AOBD Cumulative</t>
  </si>
  <si>
    <t>Figure 1:  Cardiac Arrest Rate per 1,000 Discharges</t>
  </si>
  <si>
    <t>Code 9s</t>
  </si>
  <si>
    <t>Patient journeys within 18 weeks (%)</t>
  </si>
  <si>
    <t>Total Number Waiting</t>
  </si>
  <si>
    <t>East Lothian IJB</t>
  </si>
  <si>
    <t>Edinburgh IJB</t>
  </si>
  <si>
    <t>Midlothian IJB</t>
  </si>
  <si>
    <t>West Lothian IJB</t>
  </si>
  <si>
    <t>Trend:</t>
  </si>
  <si>
    <t>Trend (48-hour):</t>
  </si>
  <si>
    <t>Detect Cancer Early (% diagnosed)</t>
  </si>
  <si>
    <t>Combined Calendar Years</t>
  </si>
  <si>
    <t xml:space="preserve">Trend:  </t>
  </si>
  <si>
    <t>JB</t>
  </si>
  <si>
    <t>&gt;3 days (excl. Code 9s and 100s)</t>
  </si>
  <si>
    <t>Trend (Advanced booking):</t>
  </si>
  <si>
    <t>End of following 1/4</t>
  </si>
  <si>
    <t>DERMATOLOGY</t>
  </si>
  <si>
    <t>(At month end)</t>
  </si>
  <si>
    <t>Next Publication:</t>
  </si>
  <si>
    <t>1st Tuesday of the month</t>
  </si>
  <si>
    <r>
      <t>Measure</t>
    </r>
    <r>
      <rPr>
        <b/>
        <vertAlign val="superscript"/>
        <sz val="8"/>
        <color indexed="8"/>
        <rFont val="Arial"/>
        <family val="2"/>
      </rPr>
      <t>1</t>
    </r>
  </si>
  <si>
    <r>
      <t>Performance Against Target/Standard</t>
    </r>
    <r>
      <rPr>
        <b/>
        <vertAlign val="superscript"/>
        <sz val="8"/>
        <color indexed="8"/>
        <rFont val="Arial"/>
        <family val="2"/>
      </rPr>
      <t>4</t>
    </r>
  </si>
  <si>
    <r>
      <t>Trend</t>
    </r>
    <r>
      <rPr>
        <b/>
        <vertAlign val="superscript"/>
        <sz val="8"/>
        <color indexed="8"/>
        <rFont val="Arial"/>
        <family val="2"/>
      </rPr>
      <t>5</t>
    </r>
  </si>
  <si>
    <r>
      <t>Published NHS Lothian vs. Scotland</t>
    </r>
    <r>
      <rPr>
        <b/>
        <vertAlign val="superscript"/>
        <sz val="8"/>
        <color indexed="8"/>
        <rFont val="Arial"/>
        <family val="2"/>
      </rPr>
      <t>6</t>
    </r>
  </si>
  <si>
    <r>
      <t>Date of  Published NHS Lothian vs. Scotland</t>
    </r>
    <r>
      <rPr>
        <b/>
        <vertAlign val="superscript"/>
        <sz val="8"/>
        <color indexed="8"/>
        <rFont val="Arial"/>
        <family val="2"/>
      </rPr>
      <t>7</t>
    </r>
  </si>
  <si>
    <t>Start of March, June, September &amp; December</t>
  </si>
  <si>
    <t>End of March, June, September &amp; December</t>
  </si>
  <si>
    <t>Published</t>
  </si>
  <si>
    <t>Here</t>
  </si>
  <si>
    <t>N/A</t>
  </si>
  <si>
    <t>Start of October</t>
  </si>
  <si>
    <t>End of November</t>
  </si>
  <si>
    <t>2nd Tuesday of the month</t>
  </si>
  <si>
    <t>NRAC</t>
  </si>
  <si>
    <t>2016/17</t>
  </si>
  <si>
    <t>Mid June</t>
  </si>
  <si>
    <t>End of February, May, August &amp; November</t>
  </si>
  <si>
    <t>Start of April, July, October &amp; January</t>
  </si>
  <si>
    <t>C.Diff</t>
  </si>
  <si>
    <t>SAB</t>
  </si>
  <si>
    <t>Start of June</t>
  </si>
  <si>
    <t>A six week maximum waiting time for eight key diagnostic tests (four for Gastroenterology/Urology Diagnostics, and four for Radiology (one of which covers data for Vascular Labs from 31st March 2009.  Please see separate proformas for Gastroenterology/Urology Diagnostics, and Vascular Labs data).)</t>
  </si>
  <si>
    <t>-</t>
  </si>
  <si>
    <t>NHS Lothian Target</t>
  </si>
  <si>
    <t>Code 100s</t>
  </si>
  <si>
    <t>Total incl. Other Local Authority Areas</t>
  </si>
  <si>
    <t>Cumulative %</t>
  </si>
  <si>
    <t>Part 1:-</t>
  </si>
  <si>
    <t>Number of People Referred to a PDS Service</t>
  </si>
  <si>
    <t>% of New Diagnosed Incidences Referred to PDS</t>
  </si>
  <si>
    <t>Part 2:-</t>
  </si>
  <si>
    <t>% of Standard Achieved</t>
  </si>
  <si>
    <t>Latest Performance 1.:</t>
  </si>
  <si>
    <t>Latest Performance 2.:</t>
  </si>
  <si>
    <t xml:space="preserve">Part 1:  </t>
  </si>
  <si>
    <t xml:space="preserve">Part 2:  </t>
  </si>
  <si>
    <t>(TBC)</t>
  </si>
  <si>
    <t>Total Delayed Discharges (incl. Code 9s, excl. Code 100s)</t>
  </si>
  <si>
    <t>&lt;=3 days (excl. Code 9s and 100s)</t>
  </si>
  <si>
    <t>Total Diagnostics Patients Over 6 Week Standard</t>
  </si>
  <si>
    <t>Total Gastroenterology/ Urology Diagnostics Patients Over 6 Week Standard</t>
  </si>
  <si>
    <t>NHS Lothian Total – Prisons only</t>
  </si>
  <si>
    <t>NHS Lothian Total – Non-Pharmacy &amp; Prisons only</t>
  </si>
  <si>
    <t>NHS Lothian Total – Non-Pharmacy only (excl. Prisons)</t>
  </si>
  <si>
    <t>General Ultrasound excl. Vascular Labs</t>
  </si>
  <si>
    <t>Total Radiology Patients Over 6 Week Standard excl. Vascular Labs</t>
  </si>
  <si>
    <t xml:space="preserve">Total Vascular Labs Patients Over 6 Weeks Standard </t>
  </si>
  <si>
    <t>Notes</t>
  </si>
  <si>
    <t>Dec</t>
  </si>
  <si>
    <t>Jan</t>
  </si>
  <si>
    <t>Feb</t>
  </si>
  <si>
    <t>Mar</t>
  </si>
  <si>
    <t>Apr</t>
  </si>
  <si>
    <t>May</t>
  </si>
  <si>
    <t>Jun</t>
  </si>
  <si>
    <t>Jul</t>
  </si>
  <si>
    <t>Aug</t>
  </si>
  <si>
    <t>Sep</t>
  </si>
  <si>
    <t>Oct</t>
  </si>
  <si>
    <t>Nov</t>
  </si>
  <si>
    <t>Jan - Mar 16</t>
  </si>
  <si>
    <t>Jul - Sep 15</t>
  </si>
  <si>
    <t>Apr - Jun 15</t>
  </si>
  <si>
    <t>25th (+ 2 months)</t>
  </si>
  <si>
    <t>From 31 March 2010, no patient should wait longer than 12 weeks for a new outpatient appointment at a consultant-led clinic.  This includes referrals from all sources.</t>
  </si>
  <si>
    <t>Updated NRAC to 14.66% for 2016/17 allocation, Nov 16</t>
  </si>
  <si>
    <r>
      <t>Healthcare Quality Domain</t>
    </r>
    <r>
      <rPr>
        <b/>
        <vertAlign val="superscript"/>
        <sz val="6"/>
        <color indexed="8"/>
        <rFont val="Arial"/>
        <family val="2"/>
      </rPr>
      <t>2</t>
    </r>
  </si>
  <si>
    <r>
      <t>Type</t>
    </r>
    <r>
      <rPr>
        <b/>
        <vertAlign val="superscript"/>
        <sz val="6"/>
        <color indexed="8"/>
        <rFont val="Arial"/>
        <family val="2"/>
      </rPr>
      <t>3</t>
    </r>
  </si>
  <si>
    <t xml:space="preserve">Baseline Median </t>
  </si>
  <si>
    <t>Committee Assurance Level</t>
  </si>
  <si>
    <t>Date Assurance Level Assigned</t>
  </si>
  <si>
    <t>To be reviewed</t>
  </si>
  <si>
    <t>Moderate</t>
  </si>
  <si>
    <t>Limited</t>
  </si>
  <si>
    <t>Significant</t>
  </si>
  <si>
    <t>Outpatients (&lt;=12 weeks)</t>
  </si>
  <si>
    <r>
      <t>Cancer (&lt;=62-day)</t>
    </r>
    <r>
      <rPr>
        <sz val="8"/>
        <color indexed="8"/>
        <rFont val="Arial"/>
        <family val="2"/>
      </rPr>
      <t xml:space="preserve"> (% treated) </t>
    </r>
  </si>
  <si>
    <t>Alcohol Brief Interventions (ABIs) (Number)</t>
  </si>
  <si>
    <t>Cardiac Arrest (per 1,000 discharges)</t>
  </si>
  <si>
    <t>Falls With Harm (per 1,000 occupied bed days)</t>
  </si>
  <si>
    <t>Hospital Standardised Mortality Ratios (HSMR) (within limits)</t>
  </si>
  <si>
    <t>IVF (% &lt;=12 months)</t>
  </si>
  <si>
    <t xml:space="preserve">Psychological Therapies (% &lt;=18 wks) </t>
  </si>
  <si>
    <t xml:space="preserve">Referral to Treatment (% &lt;=18 wks) </t>
  </si>
  <si>
    <t>IPDC Treatment Time Guarantee (&lt;=12 wks)</t>
  </si>
  <si>
    <t>Four hour Unscheduled Care (% &lt;=4 hrs)</t>
  </si>
  <si>
    <r>
      <t xml:space="preserve">Diagnostics (&lt;=6 wks) – </t>
    </r>
    <r>
      <rPr>
        <sz val="8"/>
        <color indexed="8"/>
        <rFont val="Arial"/>
        <family val="2"/>
      </rPr>
      <t xml:space="preserve">Vascular Labs  </t>
    </r>
  </si>
  <si>
    <t>Delayed Discharges (&gt;3 days) – East Lothian IJB</t>
  </si>
  <si>
    <t>Delayed Discharges (&gt;3 days) – Edinburgh IJB</t>
  </si>
  <si>
    <t>Delayed Discharges (&gt;3 days) – Midlothian IJB</t>
  </si>
  <si>
    <t>Delayed Discharges (&gt;3 days) – West Lothian IJB</t>
  </si>
  <si>
    <t>Early Access to Antenatal Care (% &lt;=12 wks)</t>
  </si>
  <si>
    <t>Question 10 - Overall Experience (out of 10)</t>
  </si>
  <si>
    <t>Figure 1:  Rates of Referral to PDS in each month for NHS Lothian and IJBs, for those Diagnosed with Dementia - Source: ISD</t>
  </si>
  <si>
    <t>tbc</t>
  </si>
  <si>
    <t>New Median</t>
  </si>
  <si>
    <t>Extended New Median</t>
  </si>
  <si>
    <t>New Median 2</t>
  </si>
  <si>
    <t>Extended New Median 2</t>
  </si>
  <si>
    <t>Rate per 1,000 discharges</t>
  </si>
  <si>
    <t>TBC</t>
  </si>
  <si>
    <t>To be reviewed (was 'Met' at time of mtg)</t>
  </si>
  <si>
    <t>48 Hour GP Access – access to healthcare prof</t>
  </si>
  <si>
    <t xml:space="preserve">48 Hour GP Access – GP appt </t>
  </si>
  <si>
    <t>RIE</t>
  </si>
  <si>
    <t>WGH</t>
  </si>
  <si>
    <t>RHSC</t>
  </si>
  <si>
    <t>SJH</t>
  </si>
  <si>
    <t>Lothian</t>
  </si>
  <si>
    <t>Target</t>
  </si>
  <si>
    <t>Measure</t>
  </si>
  <si>
    <t>Alcohol Brief Interventions (ABI)</t>
  </si>
  <si>
    <t>A&amp;E Waiting Times</t>
  </si>
  <si>
    <t>Early Access to Antenatal Services</t>
  </si>
  <si>
    <t>Child &amp; Adolescent Mental Health Services</t>
  </si>
  <si>
    <t>Cancer Waiting Times - 31 Day</t>
  </si>
  <si>
    <t>Cancer Waiting Times - 62 Day</t>
  </si>
  <si>
    <t>Cardiac Arrest</t>
  </si>
  <si>
    <t>Delayed Discharges</t>
  </si>
  <si>
    <t>Dementia Post Diagnostic Support</t>
  </si>
  <si>
    <t>Detect Cancer Early</t>
  </si>
  <si>
    <t>Diagnostics Waiting Times</t>
  </si>
  <si>
    <t>Drug &amp; Alcohol Waiting Times</t>
  </si>
  <si>
    <t>Falls with Harm</t>
  </si>
  <si>
    <t>GP Access</t>
  </si>
  <si>
    <t>Healthcare Associated Infections - C.Diff</t>
  </si>
  <si>
    <t>Healthcare Associated Infections - SAB</t>
  </si>
  <si>
    <t>Hospital Scorecard</t>
  </si>
  <si>
    <t>IVF Waiting Times</t>
  </si>
  <si>
    <t>Outpatient Waiting Times (12 Week)</t>
  </si>
  <si>
    <t>Patient Experience</t>
  </si>
  <si>
    <t>Psychological Therapies</t>
  </si>
  <si>
    <t>Referral To Treatment (18 Weeks)</t>
  </si>
  <si>
    <t>Sickness Absence</t>
  </si>
  <si>
    <t>Smoking Cessation</t>
  </si>
  <si>
    <t>Stroke Bundle</t>
  </si>
  <si>
    <t>Inpatient - Treatment Time Guarantee (12 Weeks)</t>
  </si>
  <si>
    <t>Return to Contents</t>
  </si>
  <si>
    <t>Patients seen for 1st treatment</t>
  </si>
  <si>
    <t>% within 18 wks</t>
  </si>
  <si>
    <t>% over 18 wks</t>
  </si>
  <si>
    <t>Patients still waiting at month end</t>
  </si>
  <si>
    <t>Cancer Type</t>
  </si>
  <si>
    <t>Percentage that started treatment within 31 days</t>
  </si>
  <si>
    <t>All Cancer types</t>
  </si>
  <si>
    <t>Breast (screened excluded)</t>
  </si>
  <si>
    <t>Breast (screened only)</t>
  </si>
  <si>
    <t>Cervical (screened excluded)</t>
  </si>
  <si>
    <t>Cervical (screened only)</t>
  </si>
  <si>
    <t>n/a</t>
  </si>
  <si>
    <t>Colorectal (screened excluded)</t>
  </si>
  <si>
    <t>Colorectal (screened only)</t>
  </si>
  <si>
    <t>Head &amp; Neck</t>
  </si>
  <si>
    <t>Lung</t>
  </si>
  <si>
    <t>Lymphoma</t>
  </si>
  <si>
    <t>Melanoma</t>
  </si>
  <si>
    <t>Ovarian</t>
  </si>
  <si>
    <t>Upper Gastro-Intestinal (GI)</t>
  </si>
  <si>
    <t>Urological</t>
  </si>
  <si>
    <t>Percentage that started treatment within 62 days</t>
  </si>
  <si>
    <t xml:space="preserve"> </t>
  </si>
  <si>
    <t>NHS Scotland</t>
  </si>
  <si>
    <t>NHS Lothian</t>
  </si>
  <si>
    <t>2010 &amp; 2011 (Baseline Period)</t>
  </si>
  <si>
    <t>2014 &amp; 2015</t>
  </si>
  <si>
    <t>2011 &amp; 2012</t>
  </si>
  <si>
    <t>2012 &amp; 2013</t>
  </si>
  <si>
    <t>2013 &amp; 2014</t>
  </si>
  <si>
    <t>Colonoscopy</t>
  </si>
  <si>
    <t>Upper Endoscopy</t>
  </si>
  <si>
    <t>Flexible Sigmoidoscopy (Lower Endoscopy)</t>
  </si>
  <si>
    <t>Flexible Cystoscopy</t>
  </si>
  <si>
    <t>Total</t>
  </si>
  <si>
    <t>Gastroenterology/ Urology Diagnostics</t>
  </si>
  <si>
    <t>CT</t>
  </si>
  <si>
    <t>MRI</t>
  </si>
  <si>
    <t>Barium Studies</t>
  </si>
  <si>
    <t>Minus Vascular Labs, from Oct 15 inclusive onwards.</t>
  </si>
  <si>
    <t>Radiology</t>
  </si>
  <si>
    <t xml:space="preserve">Vascular Labs </t>
  </si>
  <si>
    <t>Edinburgh City Alcohol &amp; Drug Partnership (ADP)</t>
  </si>
  <si>
    <t>Midlothian and East Lothian ADP (MELDAP)</t>
  </si>
  <si>
    <t>East Lothian</t>
  </si>
  <si>
    <t>Midlothian</t>
  </si>
  <si>
    <t>West Lothian ADP</t>
  </si>
  <si>
    <t>Urology</t>
  </si>
  <si>
    <t>General Surgery</t>
  </si>
  <si>
    <t>Orthopaedic Surgery</t>
  </si>
  <si>
    <t>Others</t>
  </si>
  <si>
    <t>Total List Size (TTG)</t>
  </si>
  <si>
    <t>Available</t>
  </si>
  <si>
    <t>Unavailable</t>
  </si>
  <si>
    <t xml:space="preserve">Percentage Unavailable </t>
  </si>
  <si>
    <t>Non-TTG</t>
  </si>
  <si>
    <t>GASTROENTEROLOGY</t>
  </si>
  <si>
    <t>TRAUMA AND ORTHOPAEDIC SURGERY</t>
  </si>
  <si>
    <t>GENERAL SURGERY (EXCL VASCULAR)</t>
  </si>
  <si>
    <t>EAR, NOSE &amp; THROAT (ENT)</t>
  </si>
  <si>
    <t>UROLOGY</t>
  </si>
  <si>
    <t>OPHTHALMOLOGY</t>
  </si>
  <si>
    <t>OTHERS</t>
  </si>
  <si>
    <t>Total List Size</t>
  </si>
  <si>
    <t>Percentage Unavailable</t>
  </si>
  <si>
    <t>Number of patient journeys within 18 weeks</t>
  </si>
  <si>
    <t>Number of patient journeys over 18 weeks</t>
  </si>
  <si>
    <t>Patient journeys that could be fully measured (%)</t>
  </si>
  <si>
    <t>Stroke Bundle Performance</t>
  </si>
  <si>
    <t>1. Access to stroke unit by day after admission</t>
  </si>
  <si>
    <t>2. Swallow screen within 4 hours of admission</t>
  </si>
  <si>
    <t>3. Imaging undertaken within 24 hours</t>
  </si>
  <si>
    <t>4. Aspirin by the day following admission</t>
  </si>
  <si>
    <t>Flexible Sigmoidoscopy</t>
  </si>
  <si>
    <t>Surgical Readmissions within 7 Days</t>
  </si>
  <si>
    <t>Surgical Readmissions within 28 Days</t>
  </si>
  <si>
    <t>Medical Readmissions within 7 Days</t>
  </si>
  <si>
    <t>Medical Readmissions within 28 Days</t>
  </si>
  <si>
    <t>Average Surgical Length of Stay-Adjusted</t>
  </si>
  <si>
    <t>Average Medical Length of Stay-Adjusted</t>
  </si>
  <si>
    <t>Standardised Rate per 1,000 admissions</t>
  </si>
  <si>
    <t>Adjusted</t>
  </si>
  <si>
    <t>Oct - Dec 15</t>
  </si>
  <si>
    <t xml:space="preserve">Royal Infirmary of Edinburgh </t>
  </si>
  <si>
    <t>St John's Hospital</t>
  </si>
  <si>
    <t>Western General Hospital</t>
  </si>
  <si>
    <t>Date</t>
  </si>
  <si>
    <t>Patients</t>
  </si>
  <si>
    <t>Latest Data</t>
  </si>
  <si>
    <t>Next Update</t>
  </si>
  <si>
    <t>Description:</t>
  </si>
  <si>
    <t>95% of patients are to wait no longer than 4 hours from arrival to admission, discharge or transfer for A&amp;E treatment.  NHS Boards are to work towards 98%.</t>
  </si>
  <si>
    <t>Next Update:</t>
  </si>
  <si>
    <t>NHS Boards to sustain and embed alcohol brief interventions in 3 priority settings (primary care, A&amp;E, antenatal) and broaden delivery in wider settings.</t>
  </si>
  <si>
    <t>At least 80 per cent of pregnant women in each SIMD (Scottish Index of Multiple Deprivation) quintile will have booked for antenatal care by the 12th week of gestation.</t>
  </si>
  <si>
    <t>31-day target from decision to treat until first treatment for all cancers, no matter how patients were referred.  For breast cancer, this replaces the previous 31-day diagnosis to treatment target.</t>
  </si>
  <si>
    <t>Total Number Seen</t>
  </si>
  <si>
    <t>Number Seen Within 18 Weeks</t>
  </si>
  <si>
    <t>Number Seen Over 18 Weeks</t>
  </si>
  <si>
    <t>Number Waiting Within 18 Weeks</t>
  </si>
  <si>
    <t>Number Waiting Over 18 Weeks</t>
  </si>
  <si>
    <r>
      <t xml:space="preserve">Percentage of children and young people </t>
    </r>
    <r>
      <rPr>
        <b/>
        <u/>
        <sz val="10"/>
        <color indexed="30"/>
        <rFont val="Arial"/>
        <family val="2"/>
      </rPr>
      <t>seen</t>
    </r>
    <r>
      <rPr>
        <b/>
        <sz val="10"/>
        <color indexed="30"/>
        <rFont val="Arial"/>
        <family val="2"/>
      </rPr>
      <t xml:space="preserve"> within 18 weeks for first treatment</t>
    </r>
  </si>
  <si>
    <r>
      <t xml:space="preserve">Total </t>
    </r>
    <r>
      <rPr>
        <b/>
        <u/>
        <sz val="10"/>
        <color indexed="8"/>
        <rFont val="Arial"/>
        <family val="2"/>
      </rPr>
      <t>waiting</t>
    </r>
    <r>
      <rPr>
        <b/>
        <sz val="10"/>
        <color indexed="8"/>
        <rFont val="Arial"/>
        <family val="2"/>
      </rPr>
      <t xml:space="preserve"> at end of month</t>
    </r>
  </si>
  <si>
    <r>
      <t xml:space="preserve">Those </t>
    </r>
    <r>
      <rPr>
        <b/>
        <u/>
        <sz val="10"/>
        <color indexed="8"/>
        <rFont val="Arial"/>
        <family val="2"/>
      </rPr>
      <t>waiting</t>
    </r>
    <r>
      <rPr>
        <b/>
        <sz val="10"/>
        <color indexed="8"/>
        <rFont val="Arial"/>
        <family val="2"/>
      </rPr>
      <t xml:space="preserve"> more than 18 weeks</t>
    </r>
  </si>
  <si>
    <t>2017/18</t>
  </si>
  <si>
    <t>2018/19</t>
  </si>
  <si>
    <t>Jul - Sep 16</t>
  </si>
  <si>
    <t>Updated NRAC to 14.76% for 2017/18 allocation, Apr 17</t>
  </si>
  <si>
    <t>Planned Repeat Surveillance Endoscopy</t>
  </si>
  <si>
    <t xml:space="preserve">Total Planned Repeat Surveillance Endoscopy Patients Waiting &amp; Overdue Appointment </t>
  </si>
  <si>
    <t>(at month end)</t>
  </si>
  <si>
    <r>
      <rPr>
        <sz val="10"/>
        <color indexed="10"/>
        <rFont val="Arial"/>
        <family val="2"/>
      </rPr>
      <t xml:space="preserve">50% share of NHS Lothian Target </t>
    </r>
    <r>
      <rPr>
        <sz val="10"/>
        <color indexed="63"/>
        <rFont val="Arial"/>
        <family val="2"/>
      </rPr>
      <t>(for financial year quarters) – for PCR Pharmacies; and for Non-Pharmacy &amp; Prisons, respectively (min)</t>
    </r>
  </si>
  <si>
    <r>
      <t>NHS Lothian Target</t>
    </r>
    <r>
      <rPr>
        <b/>
        <sz val="10"/>
        <color indexed="8"/>
        <rFont val="Arial"/>
        <family val="2"/>
      </rPr>
      <t xml:space="preserve"> (for financial year quarters) (min)</t>
    </r>
  </si>
  <si>
    <t>Non-prisons</t>
  </si>
  <si>
    <t>Prisons</t>
  </si>
  <si>
    <t>West Lothian ADP:  HMP Addiewell</t>
  </si>
  <si>
    <t>Edinburgh City ADP:  HMP Edinburgh</t>
  </si>
  <si>
    <t>Bundle Target (min)</t>
  </si>
  <si>
    <t>Component Target (min)</t>
  </si>
  <si>
    <t>Component Target - 90% on day of admission (min)</t>
  </si>
  <si>
    <t>Moving Range</t>
  </si>
  <si>
    <t>Average Moving Range</t>
  </si>
  <si>
    <t>Mean</t>
  </si>
  <si>
    <t>N.b. - above should always be a positive</t>
  </si>
  <si>
    <t>Measure of variation
(1 sigma)</t>
  </si>
  <si>
    <t>Number scanned within 24 hours of admission</t>
  </si>
  <si>
    <t>Measure of variation (1 sigma)</t>
  </si>
  <si>
    <t xml:space="preserve">Upper Control Limit </t>
  </si>
  <si>
    <t xml:space="preserve">Lower Control Limit </t>
  </si>
  <si>
    <t>Lower Control Limit</t>
  </si>
  <si>
    <t>Upper Control Limit</t>
  </si>
  <si>
    <t>Upper Control Limit [OMIT FROM CHART AS &gt;100%]</t>
  </si>
  <si>
    <t>Number of initial stroke patients receiving appropriate bundle of care</t>
  </si>
  <si>
    <t>N.b. need to break points on chart &amp; footnote for bundle &amp; swallow</t>
  </si>
  <si>
    <t>Bundle Component 1 - Access to stroke unit within one day of admission</t>
  </si>
  <si>
    <t>4. Aspirin within one day of admission</t>
  </si>
  <si>
    <t>Bundle Component 4 - Aspirin within one day of admission</t>
  </si>
  <si>
    <t xml:space="preserve">Number receiving aspirin within one day of admission </t>
  </si>
  <si>
    <t>Number swallow screened on day of admission (to Mar 16 inc.)/ within four hours of admission (from Apr 16 incl.)</t>
  </si>
  <si>
    <t>Bundle Component 2 - Swallow screen within standard (on day of admission to Mar 16 incl./ within four hours of admission from Apr 16 incl.)</t>
  </si>
  <si>
    <t xml:space="preserve">Number admitted to Stroke Unit within one day of  admission </t>
  </si>
  <si>
    <t>Bundle Component 3 - Scanned within 24 hours of admission</t>
  </si>
  <si>
    <t>Radiology/Imaging</t>
  </si>
  <si>
    <t>Need to add 3 sigma line for QI tool test 4?  tbc</t>
  </si>
  <si>
    <t>Paediatric Surgery</t>
  </si>
  <si>
    <t>Data in main table above</t>
  </si>
  <si>
    <t>data in main table above</t>
  </si>
  <si>
    <t xml:space="preserve">   East Lothian</t>
  </si>
  <si>
    <t xml:space="preserve">   Midlothian</t>
  </si>
  <si>
    <t>N.b. - above should always be a positive - and make sure you don't include the 'moving range' following the data points as this will affect the average moving range</t>
  </si>
  <si>
    <t>N.b. - above should always be a positive - &amp;don't include 'moving range' after data points as this will affect average moving range</t>
  </si>
  <si>
    <t>N.b. - above should always be a positive - &amp; don't include 'moving range' after data points as this will affect average moving range</t>
  </si>
  <si>
    <t>9,757 (Annual) 2,440 (per Quarter)</t>
  </si>
  <si>
    <t>% of patients waiting 12 weeks or less for a new outpatient appointment</t>
  </si>
  <si>
    <r>
      <t xml:space="preserve">General Ultrasound </t>
    </r>
    <r>
      <rPr>
        <b/>
        <sz val="10"/>
        <color rgb="FFFF0000"/>
        <rFont val="Arial"/>
        <family val="2"/>
      </rPr>
      <t>excl. Vascular Labs</t>
    </r>
  </si>
  <si>
    <r>
      <t xml:space="preserve">Total Radiology Patients Over 6 Week Standard </t>
    </r>
    <r>
      <rPr>
        <b/>
        <sz val="10"/>
        <color rgb="FFFF0000"/>
        <rFont val="Arial"/>
        <family val="2"/>
      </rPr>
      <t>excl. Vascular Labs</t>
    </r>
  </si>
  <si>
    <t>TG</t>
  </si>
  <si>
    <t>Rate of Referral to PDS in each month for those Diagnosed with Dementia:-</t>
  </si>
  <si>
    <t>Drug &amp; Alcohol Waiting Times (% &lt;=3 wks) - Edinburgh IJB</t>
  </si>
  <si>
    <t>Drug &amp; Alcohol Waiting Times (% &lt;=3 wks) - West Lothian IJB</t>
  </si>
  <si>
    <t>New Median 3</t>
  </si>
  <si>
    <t>Extended New Median 3</t>
  </si>
  <si>
    <r>
      <t>Planned Repeat Surveillance Endoscopy Patients Overdue Appointment</t>
    </r>
    <r>
      <rPr>
        <b/>
        <sz val="10"/>
        <color rgb="FFFF0000"/>
        <rFont val="Arial"/>
        <family val="2"/>
      </rPr>
      <t xml:space="preserve"> &gt; 6 Weeks</t>
    </r>
  </si>
  <si>
    <t>'Third 3rd' - Upper</t>
  </si>
  <si>
    <t>'Third 3rd' - Lower</t>
  </si>
  <si>
    <t>'First 3rd' - Upper</t>
  </si>
  <si>
    <t>'First 3rd' - Lower</t>
  </si>
  <si>
    <t>Target Rate (max)</t>
  </si>
  <si>
    <t>Total Overdue</t>
  </si>
  <si>
    <t>&gt; 6 Weeks Overdue</t>
  </si>
  <si>
    <t>Colonoscopy &gt; 6 Weeks Overdue</t>
  </si>
  <si>
    <t>Flexible Cystoscopy &gt; 6 Weeks Overdue</t>
  </si>
  <si>
    <t>Flexible Sigmoidoscopy &gt; 6 Weeks Overdue</t>
  </si>
  <si>
    <t>Upper Endoscopy &gt; 6 Weeks Overdue</t>
  </si>
  <si>
    <t>Total &gt; 6 Weeks Overdue</t>
  </si>
  <si>
    <t xml:space="preserve">Colonoscopy  </t>
  </si>
  <si>
    <t xml:space="preserve">Flexible Cystoscopy  </t>
  </si>
  <si>
    <t xml:space="preserve">Flexible Sigmoidoscopy  </t>
  </si>
  <si>
    <t xml:space="preserve">Upper Endoscopy  </t>
  </si>
  <si>
    <t xml:space="preserve">Total </t>
  </si>
  <si>
    <t>To minimise delayed discharges over 3 days pending national clarity.</t>
  </si>
  <si>
    <t>EM/DS</t>
  </si>
  <si>
    <t>Drug &amp; Alcohol Waiting Times (% &lt;=3 wks) - Midlothian &amp; East Lothian IJB (MELDAP)</t>
  </si>
  <si>
    <t>Stage 1 - 5 Days</t>
  </si>
  <si>
    <t>Stage 2 - 20 Days</t>
  </si>
  <si>
    <t>Latest Performance (Stage 1 - 5 Day):</t>
  </si>
  <si>
    <t>Latest Performance (Stage 2 - 20 Day):</t>
  </si>
  <si>
    <t>Complaints - Stage 2 (%&lt;=20-day)</t>
  </si>
  <si>
    <t>2019/20</t>
  </si>
  <si>
    <t>2020/21</t>
  </si>
  <si>
    <t>% Stage 2 - within 20 Days</t>
  </si>
  <si>
    <t>% Stage 1 - within 5 Days</t>
  </si>
  <si>
    <t>Complaints - Stage 1 (%&lt;=5-day)</t>
  </si>
  <si>
    <r>
      <t xml:space="preserve">Diagnostics (&lt;=6 wks) - </t>
    </r>
    <r>
      <rPr>
        <sz val="8"/>
        <color indexed="8"/>
        <rFont val="Arial"/>
        <family val="2"/>
      </rPr>
      <t>Radiology/Imaging</t>
    </r>
  </si>
  <si>
    <t xml:space="preserve"> http://www.ahrq.gov/professionals/quality-patient-safety/talkingquality/create/sixdomains.html</t>
  </si>
  <si>
    <r>
      <t>CAMHs</t>
    </r>
    <r>
      <rPr>
        <vertAlign val="superscript"/>
        <sz val="8"/>
        <color indexed="8"/>
        <rFont val="Arial"/>
        <family val="2"/>
      </rPr>
      <t>8</t>
    </r>
    <r>
      <rPr>
        <sz val="8"/>
        <color indexed="8"/>
        <rFont val="Arial"/>
        <family val="2"/>
      </rPr>
      <t xml:space="preserve"> (&lt;=18 wks)</t>
    </r>
  </si>
  <si>
    <r>
      <t>TBC</t>
    </r>
    <r>
      <rPr>
        <vertAlign val="superscript"/>
        <sz val="8"/>
        <color indexed="8"/>
        <rFont val="Arial"/>
        <family val="2"/>
      </rPr>
      <t>11</t>
    </r>
  </si>
  <si>
    <t>http://www.gov.scot/Topics/Statistics/SIMD</t>
  </si>
  <si>
    <t>http://www.isdscotland.org/Health-Topics/Mental-Health/Publications/2017-01-24/2017-01-24-DementiaPDS-Summary.pdf?</t>
  </si>
  <si>
    <t>1. Much of this reporting uses management information and is therefore subject to change;</t>
  </si>
  <si>
    <t>2. 6 Domains of Healthcare Quality</t>
  </si>
  <si>
    <t>3. This describes the standard type – ‘LDP’ target/standards are Local Delivery Plan (previously HEAT), target/standards; Quality standards were originally reported    under a separate Quality Paper.</t>
  </si>
  <si>
    <t>4. Performance Against Target/Standard – describes where Latest Performance meets or does not meet Target.</t>
  </si>
  <si>
    <t>5. Trend - describes Improvement, No Change or Deterioration for Latest Performance, where Performance Against Target/Standard is ‘Not Met’, against an average of the last two relevant reported data points.  HAI measures use HIS run chart assessment to ascertain trend.  (Black cells indicate that a Standard is ‘Met’ so a Trend is not available’).</t>
  </si>
  <si>
    <t xml:space="preserve">6.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</si>
  <si>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 xml:space="preserve">7. Date of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</si>
  <si>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8. Abbreviations – CAMHS  - Child and Adolescent Mental Health Services;  CDI- Clostridium difficile Infection; SAB Staphylococcus aureus Bacteraemia;  IPDC –  Inpatient and Day-case;  IVF – In Vitro Fertilisation</t>
  </si>
  <si>
    <t>Trend  (Stage 1):</t>
  </si>
  <si>
    <t>Trend  (Stage 2):</t>
  </si>
  <si>
    <t>Complaints - Stage 1 &amp; 2</t>
  </si>
  <si>
    <t>2015 &amp; 2016</t>
  </si>
  <si>
    <t>2015 &amp; 2016 (Combined Calendar Years)</t>
  </si>
  <si>
    <t>Oct - Dec 16</t>
  </si>
  <si>
    <t>Component Target - 100% within four hours of admission</t>
  </si>
  <si>
    <t>Diagnostics (&lt;=6 wks) - Gastroenterology/ Urology Diagnostics</t>
  </si>
  <si>
    <t xml:space="preserve">Delayed Discharges &gt;3 Days for NHS Lothian and East Lothian IJB (excl. Code 9s &amp; 100s) </t>
  </si>
  <si>
    <t>Delayed Discharges &gt;3 Days for NHS Lothian and City of Edinburgh IJB (excl. Code 9s &amp; 100s) ity of Edinburgh</t>
  </si>
  <si>
    <t>Delayed Discharges &gt;3 Days for NHS Lothian and Midlothian IJB (excl. Code 9s &amp; 100s)</t>
  </si>
  <si>
    <t>Delayed Discharges &gt;3 Days for NHS Lothian and West Lothian IJB (excl. Code 9s &amp; 100s)</t>
  </si>
  <si>
    <t>NHS Lothian year on year performance against standard</t>
  </si>
  <si>
    <t>Updated NRAC to 14.66% for 2016/17 allocation</t>
  </si>
  <si>
    <t>Updated NRAC to 14.76% for 2017/18 allocation</t>
  </si>
  <si>
    <t>NHS Lothian &amp; East Lothian IJB</t>
  </si>
  <si>
    <t>NHS Lothian &amp; Edinburgh IJB</t>
  </si>
  <si>
    <t>NHS Lothian &amp; West Lothian IJB</t>
  </si>
  <si>
    <t>NHS Lothian &amp; Midlothian IJB</t>
  </si>
  <si>
    <t>Scottish Prison Service</t>
  </si>
  <si>
    <t>GPs to provide 48 Hour access or advance booking to an appropriate member of the GP team for at least 90 per cent of patients.</t>
  </si>
  <si>
    <t>48-hour GP access - The performance measure for this standard is measured by the Health and Care Experience Survey and says that at least 90% of people should have 48-hour access to the appropriate healthcare professional.</t>
  </si>
  <si>
    <t>Advance booking - The performance measure for this standard is measured by the Health and Care Experience Survey and says that at least 90% of people should be able to book an appointment with a GP more than 48 hours in advance.</t>
  </si>
  <si>
    <t>Numner of C.Diff Episodes</t>
  </si>
  <si>
    <t>Rate of C.Diff Infections</t>
  </si>
  <si>
    <t>Target Incidence (max)</t>
  </si>
  <si>
    <t>Numner of SAB Episodes</t>
  </si>
  <si>
    <t>Rate of SAB Infections</t>
  </si>
  <si>
    <t>Total Over 12 Weeks at Month End</t>
  </si>
  <si>
    <t>Percentage of Inpatients Seen Within 12 Weeks</t>
  </si>
  <si>
    <t>Number of Inpatients Waiting Over 12 Weeks at Month End</t>
  </si>
  <si>
    <t>Percentage &amp; Number Dual Axis Chart</t>
  </si>
  <si>
    <t>Percentage of patients to commence IVF treatment within 12 months of referral</t>
  </si>
  <si>
    <t>Percentage of patients waiting 12 weeks or less for a new outpatient appointment</t>
  </si>
  <si>
    <t>Number of Patients Waiting Over 12 Weeks for a New Outpatient Appointment</t>
  </si>
  <si>
    <t xml:space="preserve">Percentage of Patients seen within 18 wks for 1st Treatment </t>
  </si>
  <si>
    <t>Percentage of Planned/Elective Patients to Commence Treatment Within 18 Weeks of Referral</t>
  </si>
  <si>
    <t>NHS Lothian Performance Against Standard</t>
  </si>
  <si>
    <t>Comparison of NHS Lothian Quarterly Smoking Cessation Outcomes Against Standards, excl. 50% Target Shares (HEAT for 2014/15, &amp; LDP for 2015/16 &amp; 2016/17)  (Source:  Smoking Cessation Database for 2014/15 &amp; ISD  for 2015/16)</t>
  </si>
  <si>
    <t>NHS Lothian Quarterly Smoking Cessation Outcomes for Non-Pharmacy &amp; Prisons (HEAT for 2014/15, &amp; LDP for 2015/16 &amp; 2016/17)  (Source:  Smoking Cessation Database for 2014/15 &amp; ISD  for 2015/16)</t>
  </si>
  <si>
    <t>NHS Lothian Quarterly Smoking Cessation Outcomes for PCR-Pharmacies (HEAT for 2014/15, &amp; LDP for 2015/16 &amp; 2016/17)  (Source:  Smoking Cessation Database for 2014/15 &amp; ISD  for 2015/16)</t>
  </si>
  <si>
    <t xml:space="preserve">Comparison of NHS Lothian Quarterly Smoking Cessation Outcomes Against Standards, incl. 50% Target Shares (HEAT for 2014/15, &amp; LDP for 2015/16 &amp; 2016/17)  (Source:  Smoking Cessation Database for 2014/15 &amp; ISD  for 2015/16) </t>
  </si>
  <si>
    <t>The key elements of the stroke care bundle are:-</t>
  </si>
  <si>
    <r>
      <rPr>
        <sz val="10"/>
        <color theme="1"/>
        <rFont val="Arial"/>
        <family val="2"/>
      </rPr>
      <t xml:space="preserve">1. Admission </t>
    </r>
    <r>
      <rPr>
        <b/>
        <sz val="10"/>
        <color theme="1"/>
        <rFont val="Arial"/>
        <family val="2"/>
      </rPr>
      <t xml:space="preserve">to the stroke unit on the day of admission, or the day following presentation </t>
    </r>
    <r>
      <rPr>
        <sz val="10"/>
        <color theme="1"/>
        <rFont val="Arial"/>
        <family val="2"/>
      </rPr>
      <t>at hospital;</t>
    </r>
  </si>
  <si>
    <r>
      <t xml:space="preserve">2. Screening by a standardised assessment method to identify any difficulty swallowing safely due to low conscious level and/ or the presence of signs of dysphagia </t>
    </r>
    <r>
      <rPr>
        <b/>
        <sz val="10"/>
        <color theme="1"/>
        <rFont val="Arial"/>
        <family val="2"/>
      </rPr>
      <t>within 4</t>
    </r>
    <r>
      <rPr>
        <sz val="10"/>
        <color theme="1"/>
        <rFont val="Arial"/>
        <family val="2"/>
      </rPr>
      <t xml:space="preserve"> </t>
    </r>
    <r>
      <rPr>
        <b/>
        <sz val="10"/>
        <color theme="1"/>
        <rFont val="Arial"/>
        <family val="2"/>
      </rPr>
      <t>hours of arrival at hospital;</t>
    </r>
  </si>
  <si>
    <r>
      <t xml:space="preserve">3. CT/ MRI imaging </t>
    </r>
    <r>
      <rPr>
        <b/>
        <sz val="10"/>
        <color theme="1"/>
        <rFont val="Arial"/>
        <family val="2"/>
      </rPr>
      <t xml:space="preserve">within 24 hours </t>
    </r>
    <r>
      <rPr>
        <sz val="10"/>
        <color theme="1"/>
        <rFont val="Arial"/>
        <family val="2"/>
      </rPr>
      <t xml:space="preserve">of admission; and </t>
    </r>
  </si>
  <si>
    <r>
      <t xml:space="preserve">4. Aspirin is given </t>
    </r>
    <r>
      <rPr>
        <b/>
        <sz val="10"/>
        <color theme="1"/>
        <rFont val="Arial"/>
        <family val="2"/>
      </rPr>
      <t xml:space="preserve">on the day of admission or the following day where </t>
    </r>
    <r>
      <rPr>
        <sz val="10"/>
        <color theme="1"/>
        <rFont val="Arial"/>
        <family val="2"/>
      </rPr>
      <t>haemorrhagic stroke has been excluded, or other contraindication, as specified in the national audit.</t>
    </r>
  </si>
  <si>
    <t>1. Access to stroke unit within one day of admission*</t>
  </si>
  <si>
    <t>2. Swallow screen within four hours of admission**</t>
  </si>
  <si>
    <t>3. Scanned within 24 hours of admission***</t>
  </si>
  <si>
    <t>* National Target is enforced from April 2016.  Prior to this there was no national target - but the NHS Lothian local target was 70%.</t>
  </si>
  <si>
    <t>** Data to March 16 incl. is not comparable to data from April 16 onwards, due to change in standard (from 90% on day of admission, to 100% within 4 hours of admission).</t>
  </si>
  <si>
    <t>Number of Initial Stroke Patients Receiving Appropriate Bundle of Care</t>
  </si>
  <si>
    <t>Number of Patients Swallow Screened on Day of Admission</t>
  </si>
  <si>
    <t>SPC (numbers)</t>
  </si>
  <si>
    <t>SPC (performance)</t>
  </si>
  <si>
    <t>Total &gt;6 Weeks Overdue</t>
  </si>
  <si>
    <t>Colonoscopy &gt;6 Weeks Overdue</t>
  </si>
  <si>
    <t>Flexible Cystoscopy &gt;6 Weeks Overdue</t>
  </si>
  <si>
    <t>Flexible Sigmoidoscopy &gt;6 Weeks Overdue</t>
  </si>
  <si>
    <t>Upper Endoscopy &gt;6 Weeks Overdue</t>
  </si>
  <si>
    <t>Run Charts</t>
  </si>
  <si>
    <t>Non coloured tabs contain Management Information</t>
  </si>
  <si>
    <t>Tabs that are this colour contain Published Data</t>
  </si>
  <si>
    <t>All</t>
  </si>
  <si>
    <t>SPC</t>
  </si>
  <si>
    <t>Total Radiology Patients over 6 Weeks</t>
  </si>
  <si>
    <t>MRI Patients over 6 Weeks</t>
  </si>
  <si>
    <t>CT Patients over 6 Weeks</t>
  </si>
  <si>
    <t>General Ultrasound Patients over 6 Weeks</t>
  </si>
  <si>
    <t>Barium Studies Patients over 6 Weeks</t>
  </si>
  <si>
    <t>Vasc Labs</t>
  </si>
  <si>
    <t>Total Vascular Labs Patients Over 6 Weeks</t>
  </si>
  <si>
    <t>Total Diagnostics</t>
  </si>
  <si>
    <t>Total Diagnostics Labs Patients Over 6 Weeks</t>
  </si>
  <si>
    <t>Usually 0</t>
  </si>
  <si>
    <t>Time Series</t>
  </si>
  <si>
    <t>Total Diagnostics Patients Over 6 Weeks</t>
  </si>
  <si>
    <t>Radiology Patients Over 6 Weeks</t>
  </si>
  <si>
    <t>Vascular Labs Patients Over 6 Weeks</t>
  </si>
  <si>
    <t>Upper Endoscopy Patients Over 6 Weeks</t>
  </si>
  <si>
    <t>Gastroenterology/Urology Patients Over 6 Weeks</t>
  </si>
  <si>
    <t>Colonoscopy Patients Over 6 Weeks</t>
  </si>
  <si>
    <t>Flexible Sigmoidoscopy (Lower Endoscopy) Patients Over 6 Weeks</t>
  </si>
  <si>
    <t>Flexible Cystoscopy Patients Over 6 Weeks</t>
  </si>
  <si>
    <t>Percentage of children and young people seen within 18 weeks for first treatment</t>
  </si>
  <si>
    <r>
      <t>Figure 3: Generic Teams - Number of children and young people seen for 1</t>
    </r>
    <r>
      <rPr>
        <b/>
        <vertAlign val="superscript"/>
        <sz val="10"/>
        <color rgb="FF000000"/>
        <rFont val="Arial"/>
        <family val="2"/>
      </rPr>
      <t>st</t>
    </r>
    <r>
      <rPr>
        <b/>
        <sz val="10"/>
        <color rgb="FF000000"/>
        <rFont val="Arial"/>
        <family val="2"/>
      </rPr>
      <t xml:space="preserve"> treatment – Higher Count is Better</t>
    </r>
  </si>
  <si>
    <r>
      <t>Figure 4: Generic Teams - Number of children and young people seen for 1</t>
    </r>
    <r>
      <rPr>
        <b/>
        <vertAlign val="superscript"/>
        <sz val="10"/>
        <color rgb="FF000000"/>
        <rFont val="Arial"/>
        <family val="2"/>
      </rPr>
      <t>st</t>
    </r>
    <r>
      <rPr>
        <b/>
        <sz val="10"/>
        <color rgb="FF000000"/>
        <rFont val="Arial"/>
        <family val="2"/>
      </rPr>
      <t xml:space="preserve"> treatment waiting over 18 weeks when seen – Lower Count is Better</t>
    </r>
  </si>
  <si>
    <t>Figure 5: Generic Teams - Number of children and young people waiting over 18 weeks – Lower Count is Better</t>
  </si>
  <si>
    <t>Figure 2: All Teams - Number of children and young people waiting over 18 weeks – Lower Count is Better</t>
  </si>
  <si>
    <r>
      <t>Figure 1: All Teams</t>
    </r>
    <r>
      <rPr>
        <b/>
        <sz val="10"/>
        <color rgb="FF0070C0"/>
        <rFont val="Arial"/>
        <family val="2"/>
      </rPr>
      <t xml:space="preserve"> - </t>
    </r>
    <r>
      <rPr>
        <b/>
        <sz val="10"/>
        <color rgb="FF000000"/>
        <rFont val="Arial"/>
        <family val="2"/>
      </rPr>
      <t xml:space="preserve">Percentage of children and young people </t>
    </r>
    <r>
      <rPr>
        <b/>
        <u/>
        <sz val="10"/>
        <color rgb="FF000000"/>
        <rFont val="Arial"/>
        <family val="2"/>
      </rPr>
      <t>seen</t>
    </r>
    <r>
      <rPr>
        <b/>
        <sz val="10"/>
        <color rgb="FF000000"/>
        <rFont val="Arial"/>
        <family val="2"/>
      </rPr>
      <t xml:space="preserve"> within 18 weeks for first treatment</t>
    </r>
    <r>
      <rPr>
        <b/>
        <sz val="10"/>
        <color rgb="FF0070C0"/>
        <rFont val="Arial"/>
        <family val="2"/>
      </rPr>
      <t xml:space="preserve"> – Higher % is Better</t>
    </r>
  </si>
  <si>
    <t>Figure 6: Generic Teams - Referrals by month</t>
  </si>
  <si>
    <t>Figure 7: Generic Teams - Accepted referrals rate by month</t>
  </si>
  <si>
    <t>Patients waiting at month end [adjusted]</t>
  </si>
  <si>
    <t>Service</t>
  </si>
  <si>
    <t>Number waiting</t>
  </si>
  <si>
    <t>ADHD Teams</t>
  </si>
  <si>
    <t>Generic Teams</t>
  </si>
  <si>
    <t>Tier 4 &amp; Specialist Teams</t>
  </si>
  <si>
    <t>Patients seen for 1st treatment [adjusted]</t>
  </si>
  <si>
    <t>Patient Numbers Service Breakdown</t>
  </si>
  <si>
    <t>Patients waiting at month end adjusted</t>
  </si>
  <si>
    <t>CAMHS</t>
  </si>
  <si>
    <t>cCBT</t>
  </si>
  <si>
    <t>General Adult Services</t>
  </si>
  <si>
    <t>Learning Disabilities</t>
  </si>
  <si>
    <t>Older Adult Services</t>
  </si>
  <si>
    <t>Psychotherapy</t>
  </si>
  <si>
    <t>Specialist Services [Adult]</t>
  </si>
  <si>
    <t>Clinical Health Psychology</t>
  </si>
  <si>
    <t>Neuropsychology</t>
  </si>
  <si>
    <t>GSH (3rd Sector)</t>
  </si>
  <si>
    <t>Total Seen</t>
  </si>
  <si>
    <t>Total Waiting</t>
  </si>
  <si>
    <t>Patients seen for 1st treatment (adjusted)</t>
  </si>
  <si>
    <t>within 18 weeks</t>
  </si>
  <si>
    <t>over 18 weeks</t>
  </si>
  <si>
    <t>% within 18 weeks</t>
  </si>
  <si>
    <t>% over 18 weeks</t>
  </si>
  <si>
    <t>Number seen</t>
  </si>
  <si>
    <t>Figure 3: Referrals for Psychological Therapy (All Teams)</t>
  </si>
  <si>
    <r>
      <t>Figure 2: Psychological Therapies: Number of Patients waiting &gt;18 wks</t>
    </r>
    <r>
      <rPr>
        <b/>
        <sz val="10"/>
        <color rgb="FF000000"/>
        <rFont val="Arial"/>
        <family val="2"/>
      </rPr>
      <t xml:space="preserve"> at Month End by </t>
    </r>
    <r>
      <rPr>
        <b/>
        <sz val="10"/>
        <color theme="1"/>
        <rFont val="Arial"/>
        <family val="2"/>
      </rPr>
      <t>Month – Lower Count is Better</t>
    </r>
  </si>
  <si>
    <r>
      <t>Figure 5: General Adult Services: Number of patients seen for 1</t>
    </r>
    <r>
      <rPr>
        <b/>
        <vertAlign val="superscript"/>
        <sz val="10"/>
        <color theme="1"/>
        <rFont val="Arial"/>
        <family val="2"/>
      </rPr>
      <t>st</t>
    </r>
    <r>
      <rPr>
        <b/>
        <sz val="10"/>
        <color theme="1"/>
        <rFont val="Arial"/>
        <family val="2"/>
      </rPr>
      <t xml:space="preserve"> Treatment waiting &gt;18 wks – Lower Count is Better</t>
    </r>
  </si>
  <si>
    <r>
      <t>Figure 4: General Adult Services: Number of patients seen for 1</t>
    </r>
    <r>
      <rPr>
        <b/>
        <vertAlign val="superscript"/>
        <sz val="10"/>
        <color theme="1"/>
        <rFont val="Arial"/>
        <family val="2"/>
      </rPr>
      <t>st</t>
    </r>
    <r>
      <rPr>
        <b/>
        <sz val="10"/>
        <color theme="1"/>
        <rFont val="Arial"/>
        <family val="2"/>
      </rPr>
      <t xml:space="preserve"> Treatment – Higher Count is Better</t>
    </r>
  </si>
  <si>
    <t>Figure 1: Psychological Therapies: % of Patients seen within 18 wks for 1st Treatment</t>
  </si>
  <si>
    <t>Figure 6: General Adult Services: Number of patients waiting &gt;18 wks at Month End – Lower Count is Better</t>
  </si>
  <si>
    <t>Figure 7: General Adult Services: Referrals for Psychological Therapies</t>
  </si>
  <si>
    <t>No. of eligible referrals who started treatment within 31 days</t>
  </si>
  <si>
    <t>Upper GI</t>
  </si>
  <si>
    <t>Grand Total</t>
  </si>
  <si>
    <t>%</t>
  </si>
  <si>
    <t>No. of eligible referrals</t>
  </si>
  <si>
    <t>No. of eligible referrals who did not start treatment within 31 days</t>
  </si>
  <si>
    <t>No. of eligible referrals who started treatment within 62 days</t>
  </si>
  <si>
    <t>No. of eligible referrals who did not start treatment within 62 days</t>
  </si>
  <si>
    <t xml:space="preserve">Code 9s are used for 'complex' cases - they are codes used when a partnership is unable, for reasons beyond their control, to secure a patient's safe, timely and appropriate discharge from hospital. </t>
  </si>
  <si>
    <t xml:space="preserve">Code 100 is used for commissioning/ re-provisioning. </t>
  </si>
  <si>
    <t>50% reduction in Cardiac Arrests from the 2009 (Jan-Dec) baseline median of 1.91 to December 2019</t>
  </si>
  <si>
    <t>20% reduction in all inpatient falls with harm from 2010/11 (Apr-Mar) baseline median of 0.38.</t>
  </si>
  <si>
    <t>Increase the proportion of people diagnosed and treated in the first stage of breast, colorectal and lung cancer by 25 per cent.</t>
  </si>
  <si>
    <t>90 per cent of young people to commence treatment for specialist Child and Adolescent Mental Health services within 18 weeks of referral.</t>
  </si>
  <si>
    <t>NHS Boards to achieve a staff sickness absence rate of 4 per cent</t>
  </si>
  <si>
    <t>Total Delays</t>
  </si>
  <si>
    <t>Part 1: Worse</t>
  </si>
  <si>
    <t>Part 2: Worse</t>
  </si>
  <si>
    <t xml:space="preserve">9. SIMD - Scottish Index of Multiple Deprivation, </t>
  </si>
  <si>
    <t>10. From the start of April 2017 there has been a national change on assessment of the complaints process.  As no historical data is available for the proposed metrics, data will only be available covering April onward.  Furthermore as a new measure, there will be an absence of comparative data initially in order to consider performance against that elsewhere.</t>
  </si>
  <si>
    <t>11. ISD have stated in their publication of 24/1/17 “there is no specific threshold or target in which NHS Boards are expected to be attaining to as the PDS services are still within their infancy and it is anticipated there is likely further developments required”.  Please also see relevant IJB level Proforma below (in Section 6 Exception Proformas).</t>
  </si>
  <si>
    <r>
      <t>min for each SIMD</t>
    </r>
    <r>
      <rPr>
        <vertAlign val="superscript"/>
        <sz val="8"/>
        <color indexed="8"/>
        <rFont val="Arial"/>
        <family val="2"/>
      </rPr>
      <t>9</t>
    </r>
    <r>
      <rPr>
        <sz val="8"/>
        <color indexed="8"/>
        <rFont val="Arial"/>
        <family val="2"/>
      </rPr>
      <t xml:space="preserve"> quintile</t>
    </r>
  </si>
  <si>
    <r>
      <t>TBC</t>
    </r>
    <r>
      <rPr>
        <vertAlign val="superscript"/>
        <sz val="8"/>
        <color indexed="8"/>
        <rFont val="Arial"/>
        <family val="2"/>
      </rPr>
      <t>10</t>
    </r>
  </si>
  <si>
    <t>MM</t>
  </si>
  <si>
    <t>Chart Legend</t>
  </si>
  <si>
    <t>Lines this colour in charts signify a shift.</t>
  </si>
  <si>
    <t>Sections of data circled in charts signifies a trend.</t>
  </si>
  <si>
    <t>Data points with a white centre signify points outwith the control limits.</t>
  </si>
  <si>
    <t>Jan - Mar 17</t>
  </si>
  <si>
    <t>1st</t>
  </si>
  <si>
    <t>Lothian v Scotland:</t>
  </si>
  <si>
    <t>Lothian v Scotland (31 day):</t>
  </si>
  <si>
    <t>Lothian v Scotland (62 day):</t>
  </si>
  <si>
    <t>Lothian v Scotland (Stage 1 - 5 Day):</t>
  </si>
  <si>
    <t>Lothian v Scotland (Stage 2 - 20 Day):</t>
  </si>
  <si>
    <t>Lothian v Scotland 1:</t>
  </si>
  <si>
    <t>Lothian v Scotland 2:</t>
  </si>
  <si>
    <t>Lothian v Scotland (48-hour):</t>
  </si>
  <si>
    <t>Lothian v Scotland (Advanced booking):</t>
  </si>
  <si>
    <t>Lothian v Scotland (C.Diff):</t>
  </si>
  <si>
    <t>Lothian v Scotland (SAB):</t>
  </si>
  <si>
    <t>Lothian v Scotland (%):</t>
  </si>
  <si>
    <t>Lothian v Scotland (NRAC):</t>
  </si>
  <si>
    <t>NHS Lothian Performance</t>
  </si>
  <si>
    <t>Royal Infirmary of Edinburgh Performance</t>
  </si>
  <si>
    <t>Western General Hospital Performance</t>
  </si>
  <si>
    <t>Royal Hospital for Sick Children Performance</t>
  </si>
  <si>
    <t>St John's Hospital Performance</t>
  </si>
  <si>
    <r>
      <t>Figure 8:  Pareto – children &amp; young people waiting &gt;18 weeks per team</t>
    </r>
    <r>
      <rPr>
        <b/>
        <sz val="10"/>
        <color rgb="FF0070C0"/>
        <rFont val="Arial"/>
        <family val="2"/>
      </rPr>
      <t xml:space="preserve"> </t>
    </r>
    <r>
      <rPr>
        <b/>
        <sz val="10"/>
        <color rgb="FF000000"/>
        <rFont val="Arial"/>
        <family val="2"/>
      </rPr>
      <t>– as at end of Sep 2017 - Lower Count is Better</t>
    </r>
  </si>
  <si>
    <r>
      <t xml:space="preserve">Figure 8: Pareto – Patients Waiting &gt;18 Weeks For Treatment Per </t>
    </r>
    <r>
      <rPr>
        <b/>
        <sz val="10"/>
        <color theme="1"/>
        <rFont val="Arial"/>
        <family val="2"/>
      </rPr>
      <t>Team – as at end Sep 17 - Lower Count is Better</t>
    </r>
    <r>
      <rPr>
        <b/>
        <sz val="10"/>
        <color rgb="FF0070C0"/>
        <rFont val="Arial"/>
        <family val="2"/>
      </rPr>
      <t xml:space="preserve"> </t>
    </r>
  </si>
  <si>
    <t>NHS Lothian against standard with delayed discharges</t>
  </si>
  <si>
    <t>Neurosurgery</t>
  </si>
  <si>
    <t>A shift is six or more consecutive points all above or all below the median. Values that fall on the median do not add to nor break a shift. Skip all values that fall on the median and continue counting.</t>
  </si>
  <si>
    <t>A trend is five or more consecutive points all going up or all going down. If the value of two or more consecutive points is the same, only count the first point and ignore the repeating values; like values do not make or break a trend.</t>
  </si>
  <si>
    <t>NHS Lothian Performance - All Cancer Types</t>
  </si>
  <si>
    <t>NHS Lothian Performance - Urological</t>
  </si>
  <si>
    <t>Data for Charts</t>
  </si>
  <si>
    <t>Planned Repeat Surveillance Endoscopy (past due date)</t>
  </si>
  <si>
    <t>93.5%</t>
  </si>
  <si>
    <t>94.3%</t>
  </si>
  <si>
    <t>1. Stage 1 - Early, local resolution - 5 working days.</t>
  </si>
  <si>
    <t>2. Stage 2 - For the complex, serious investigation - 20 working days.</t>
  </si>
  <si>
    <t>Total Delayed Discharges against &gt;3 days</t>
  </si>
  <si>
    <t>23rd</t>
  </si>
  <si>
    <t>29th (+2 months)</t>
  </si>
  <si>
    <t>20th  (+2 months)</t>
  </si>
  <si>
    <t>20th (+2 months)</t>
  </si>
  <si>
    <r>
      <t xml:space="preserve">Did Start Treatment within 62 Days by Cancer Type – Apr 2015-Oct 2017 - Pareto </t>
    </r>
    <r>
      <rPr>
        <b/>
        <vertAlign val="superscript"/>
        <sz val="10"/>
        <color theme="1"/>
        <rFont val="Arial"/>
        <family val="2"/>
      </rPr>
      <t>1</t>
    </r>
  </si>
  <si>
    <r>
      <t xml:space="preserve">Did Not Start Treatment within 62 Days by Cancer Type – Apr 2015-Oct 2017 - Pareto </t>
    </r>
    <r>
      <rPr>
        <b/>
        <vertAlign val="superscript"/>
        <sz val="10"/>
        <color theme="1"/>
        <rFont val="Arial"/>
        <family val="2"/>
      </rPr>
      <t>1</t>
    </r>
  </si>
  <si>
    <t>Did Not Start Treatment Within 62 Days - Apr 2015-Oct 2017</t>
  </si>
  <si>
    <t>Did Start Treatment Within 62 Days - Apr 2015-Oct 2017</t>
  </si>
  <si>
    <t>Number of Eligible Referrals Starting Treatment within and out-with 62 Day Standard - Apr 2015-Oct 2017</t>
  </si>
  <si>
    <t>Did Start Treatment Within 31 Days - Apr 2015-Oct 2017</t>
  </si>
  <si>
    <t>Did Not Start Treatment Within 31 Days - Apr 2015-Oct 2017</t>
  </si>
  <si>
    <r>
      <t xml:space="preserve">Did Start Treatment within 31 Days by Cancer Type – Apr 2015-Oct 2017 - Pareto </t>
    </r>
    <r>
      <rPr>
        <b/>
        <vertAlign val="superscript"/>
        <sz val="10"/>
        <color theme="1"/>
        <rFont val="Arial"/>
        <family val="2"/>
      </rPr>
      <t>1</t>
    </r>
  </si>
  <si>
    <r>
      <t xml:space="preserve">Did Not Start Treatment within 31 Days by Cancer Type – Apr 2015-Oct 2017 - Pareto </t>
    </r>
    <r>
      <rPr>
        <b/>
        <vertAlign val="superscript"/>
        <sz val="10"/>
        <color theme="1"/>
        <rFont val="Arial"/>
        <family val="2"/>
      </rPr>
      <t>1</t>
    </r>
  </si>
  <si>
    <t>Number of Eligible Referrals Starting Treatment within and out-with 31 Day Standard - Apr 2015-Oct 2017</t>
  </si>
  <si>
    <r>
      <rPr>
        <vertAlign val="superscript"/>
        <sz val="10"/>
        <color theme="1"/>
        <rFont val="Arial"/>
        <family val="2"/>
      </rPr>
      <t>1</t>
    </r>
    <r>
      <rPr>
        <sz val="10"/>
        <color theme="1"/>
        <rFont val="Arial"/>
        <family val="2"/>
      </rPr>
      <t xml:space="preserve"> Most patients who did not start treatment within 31 days between Apr 15 and Oct 17 incl. were urological patients but urological patients were also the second largest group to start treatment within 31 days.</t>
    </r>
  </si>
  <si>
    <r>
      <rPr>
        <vertAlign val="superscript"/>
        <sz val="10"/>
        <color theme="1"/>
        <rFont val="Arial"/>
        <family val="2"/>
      </rPr>
      <t>1</t>
    </r>
    <r>
      <rPr>
        <sz val="10"/>
        <color theme="1"/>
        <rFont val="Arial"/>
        <family val="2"/>
      </rPr>
      <t xml:space="preserve"> Most patients who did not start treatment within 62 days between Apr 15 and Oct 17 incl. were urological patients but urological patients were also the third largest group to start treatment within 62 days.</t>
    </r>
  </si>
  <si>
    <t>ORAL SURGERY</t>
  </si>
  <si>
    <t>*** From April 2016 standard has changed from 90% to 95% on day of admission.</t>
  </si>
  <si>
    <t>Vascular Surgery</t>
  </si>
  <si>
    <t>NEUROSURGERY</t>
  </si>
  <si>
    <t>Apr - Jun 17</t>
  </si>
  <si>
    <t>Stage 1 Complaints</t>
  </si>
  <si>
    <t>Stage 1 Complaints &lt;= 5 days</t>
  </si>
  <si>
    <t>Stage 2 Complaints</t>
  </si>
  <si>
    <t>Stage 2 Complaints &lt;= 20 days</t>
  </si>
  <si>
    <t>No. Of Maternities</t>
  </si>
  <si>
    <t>CA calls</t>
  </si>
  <si>
    <t>Discharge &amp;Death</t>
  </si>
  <si>
    <t>Occupied Bed Days</t>
  </si>
  <si>
    <t>Count of Falls</t>
  </si>
  <si>
    <t>Temporary New Median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</si>
</sst>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mmm\ yy"/>
    <numFmt numFmtId="167" formatCode="0.000"/>
    <numFmt numFmtId="168" formatCode="yyyy/yy"/>
    <numFmt numFmtId="169" formatCode="#,##0.0%;&quot;n/a&quot;"/>
    <numFmt numFmtId="170" formatCode="#,##0_ ;\-#,##0\ "/>
    <numFmt numFmtId="171" formatCode="_-* #,##0_-;\-* #,##0_-;_-* &quot;-&quot;??_-;_-@_-"/>
  </numFmts>
  <fonts count="140" x14ac:knownFonts="1">
    <font>
      <sz val="11"/>
      <color theme="1"/>
      <name val="Calibri"/>
      <family val="2"/>
      <scheme val="minor"/>
    </font>
    <font>
      <b/>
      <sz val="10"/>
      <color indexed="8"/>
      <name val="Arial"/>
      <family val="2"/>
    </font>
    <font>
      <sz val="10"/>
      <color indexed="8"/>
      <name val="Arial"/>
      <family val="2"/>
    </font>
    <font>
      <b/>
      <u/>
      <sz val="10"/>
      <name val="Arial"/>
      <family val="2"/>
    </font>
    <font>
      <b/>
      <sz val="10"/>
      <name val="Arial"/>
      <family val="2"/>
    </font>
    <font>
      <sz val="10"/>
      <name val="Arial"/>
      <family val="2"/>
    </font>
    <font>
      <sz val="8"/>
      <color indexed="8"/>
      <name val="Arial"/>
      <family val="2"/>
    </font>
    <font>
      <vertAlign val="superscript"/>
      <sz val="8"/>
      <color indexed="8"/>
      <name val="Arial"/>
      <family val="2"/>
    </font>
    <font>
      <sz val="8"/>
      <color indexed="8"/>
      <name val="Arial"/>
      <family val="2"/>
    </font>
    <font>
      <sz val="8"/>
      <name val="Arial"/>
      <family val="2"/>
    </font>
    <font>
      <sz val="10"/>
      <name val="Arial"/>
      <family val="2"/>
    </font>
    <font>
      <b/>
      <sz val="10"/>
      <color indexed="30"/>
      <name val="Arial"/>
      <family val="2"/>
    </font>
    <font>
      <b/>
      <vertAlign val="superscript"/>
      <sz val="8"/>
      <color indexed="8"/>
      <name val="Arial"/>
      <family val="2"/>
    </font>
    <font>
      <sz val="10"/>
      <name val="Arial"/>
      <family val="2"/>
    </font>
    <font>
      <sz val="10"/>
      <color indexed="23"/>
      <name val="Arial"/>
      <family val="2"/>
    </font>
    <font>
      <sz val="10"/>
      <color indexed="55"/>
      <name val="Arial"/>
      <family val="2"/>
    </font>
    <font>
      <sz val="11"/>
      <color indexed="8"/>
      <name val="Calibri"/>
      <family val="2"/>
    </font>
    <font>
      <b/>
      <sz val="12"/>
      <color indexed="8"/>
      <name val="Arial"/>
      <family val="2"/>
    </font>
    <font>
      <sz val="8"/>
      <color indexed="8"/>
      <name val="Arial"/>
      <family val="2"/>
    </font>
    <font>
      <sz val="8"/>
      <color indexed="8"/>
      <name val="Arial"/>
      <family val="2"/>
    </font>
    <font>
      <u/>
      <sz val="8"/>
      <color indexed="12"/>
      <name val="Arial"/>
      <family val="2"/>
    </font>
    <font>
      <sz val="11"/>
      <color indexed="8"/>
      <name val="Arial"/>
      <family val="2"/>
    </font>
    <font>
      <b/>
      <sz val="8"/>
      <color indexed="8"/>
      <name val="Arial"/>
      <family val="2"/>
    </font>
    <font>
      <b/>
      <sz val="8"/>
      <color indexed="8"/>
      <name val="Arial"/>
      <family val="2"/>
    </font>
    <font>
      <sz val="10"/>
      <color indexed="30"/>
      <name val="Arial"/>
      <family val="2"/>
    </font>
    <font>
      <b/>
      <sz val="10"/>
      <color indexed="23"/>
      <name val="Arial"/>
      <family val="2"/>
    </font>
    <font>
      <b/>
      <sz val="10"/>
      <color indexed="10"/>
      <name val="Arial"/>
      <family val="2"/>
    </font>
    <font>
      <sz val="10"/>
      <color indexed="10"/>
      <name val="Arial"/>
      <family val="2"/>
    </font>
    <font>
      <b/>
      <sz val="10"/>
      <color indexed="56"/>
      <name val="Arial"/>
      <family val="2"/>
    </font>
    <font>
      <sz val="10"/>
      <color indexed="56"/>
      <name val="Arial"/>
      <family val="2"/>
    </font>
    <font>
      <b/>
      <sz val="10"/>
      <color indexed="29"/>
      <name val="Arial"/>
      <family val="2"/>
    </font>
    <font>
      <sz val="6"/>
      <color indexed="8"/>
      <name val="Arial"/>
      <family val="2"/>
    </font>
    <font>
      <b/>
      <sz val="6"/>
      <color indexed="8"/>
      <name val="Arial"/>
      <family val="2"/>
    </font>
    <font>
      <sz val="6"/>
      <color indexed="8"/>
      <name val="Arial"/>
      <family val="2"/>
    </font>
    <font>
      <b/>
      <vertAlign val="superscript"/>
      <sz val="6"/>
      <color indexed="8"/>
      <name val="Arial"/>
      <family val="2"/>
    </font>
    <font>
      <b/>
      <sz val="16"/>
      <color indexed="8"/>
      <name val="Arial"/>
      <family val="2"/>
    </font>
    <font>
      <sz val="10"/>
      <name val="Arial"/>
      <family val="2"/>
    </font>
    <font>
      <sz val="10"/>
      <color indexed="63"/>
      <name val="Arial"/>
      <family val="2"/>
    </font>
    <font>
      <b/>
      <u/>
      <sz val="10"/>
      <color indexed="30"/>
      <name val="Arial"/>
      <family val="2"/>
    </font>
    <font>
      <b/>
      <u/>
      <sz val="10"/>
      <color indexed="8"/>
      <name val="Arial"/>
      <family val="2"/>
    </font>
    <font>
      <u/>
      <sz val="10"/>
      <color indexed="12"/>
      <name val="Arial"/>
      <family val="2"/>
    </font>
    <font>
      <sz val="10"/>
      <color indexed="12"/>
      <name val="Arial"/>
      <family val="2"/>
    </font>
    <font>
      <b/>
      <sz val="10"/>
      <color indexed="55"/>
      <name val="Arial"/>
      <family val="2"/>
    </font>
    <font>
      <vertAlign val="superscript"/>
      <sz val="10"/>
      <color indexed="8"/>
      <name val="Arial"/>
      <family val="2"/>
    </font>
    <font>
      <b/>
      <vertAlign val="superscript"/>
      <sz val="10"/>
      <color indexed="8"/>
      <name val="Arial"/>
      <family val="2"/>
    </font>
    <font>
      <sz val="7"/>
      <color indexed="8"/>
      <name val="Arial"/>
      <family val="2"/>
    </font>
    <font>
      <u/>
      <sz val="10"/>
      <color indexed="12"/>
      <name val="Arial"/>
      <family val="2"/>
    </font>
    <font>
      <sz val="10"/>
      <color indexed="8"/>
      <name val="Arial"/>
      <family val="2"/>
    </font>
    <font>
      <b/>
      <sz val="10"/>
      <color indexed="8"/>
      <name val="Arial"/>
      <family val="2"/>
    </font>
    <font>
      <sz val="10"/>
      <color indexed="8"/>
      <name val="Calibri"/>
      <family val="2"/>
    </font>
    <font>
      <b/>
      <sz val="10"/>
      <color indexed="30"/>
      <name val="Arial"/>
      <family val="2"/>
    </font>
    <font>
      <sz val="10"/>
      <color indexed="10"/>
      <name val="Arial"/>
      <family val="2"/>
    </font>
    <font>
      <sz val="10"/>
      <color indexed="30"/>
      <name val="Arial"/>
      <family val="2"/>
    </font>
    <font>
      <sz val="10"/>
      <color indexed="23"/>
      <name val="Arial"/>
      <family val="2"/>
    </font>
    <font>
      <b/>
      <sz val="10"/>
      <color indexed="30"/>
      <name val="Arial"/>
      <family val="2"/>
    </font>
    <font>
      <b/>
      <sz val="10"/>
      <color indexed="10"/>
      <name val="Arial"/>
      <family val="2"/>
    </font>
    <font>
      <b/>
      <sz val="10"/>
      <color indexed="23"/>
      <name val="Arial"/>
      <family val="2"/>
    </font>
    <font>
      <b/>
      <sz val="10"/>
      <color indexed="55"/>
      <name val="Arial"/>
      <family val="2"/>
    </font>
    <font>
      <sz val="8"/>
      <name val="Calibri"/>
      <family val="2"/>
    </font>
    <font>
      <i/>
      <sz val="10"/>
      <color indexed="8"/>
      <name val="Arial"/>
      <family val="2"/>
    </font>
    <font>
      <u/>
      <sz val="11"/>
      <color theme="10"/>
      <name val="Calibri"/>
      <family val="2"/>
      <scheme val="minor"/>
    </font>
    <font>
      <sz val="11"/>
      <color rgb="FFFF0000"/>
      <name val="Calibri"/>
      <family val="2"/>
      <scheme val="minor"/>
    </font>
    <font>
      <sz val="10"/>
      <color rgb="FFFF0000"/>
      <name val="Arial"/>
      <family val="2"/>
    </font>
    <font>
      <u/>
      <sz val="10"/>
      <color theme="10"/>
      <name val="Arial"/>
      <family val="2"/>
    </font>
    <font>
      <sz val="10"/>
      <color theme="0" tint="-0.499984740745262"/>
      <name val="Arial"/>
      <family val="2"/>
    </font>
    <font>
      <sz val="10"/>
      <color theme="1"/>
      <name val="Arial"/>
      <family val="2"/>
    </font>
    <font>
      <sz val="10"/>
      <color rgb="FFFF0000"/>
      <name val="Calibri"/>
      <family val="2"/>
    </font>
    <font>
      <sz val="10"/>
      <color theme="0"/>
      <name val="Arial"/>
      <family val="2"/>
    </font>
    <font>
      <sz val="10"/>
      <color theme="0"/>
      <name val="Calibri"/>
      <family val="2"/>
    </font>
    <font>
      <b/>
      <sz val="10"/>
      <color rgb="FF0070C0"/>
      <name val="Arial"/>
      <family val="2"/>
    </font>
    <font>
      <b/>
      <sz val="10"/>
      <color rgb="FFFFB2B2"/>
      <name val="Arial"/>
      <family val="2"/>
    </font>
    <font>
      <sz val="10"/>
      <color rgb="FFFFB2B2"/>
      <name val="Arial"/>
      <family val="2"/>
    </font>
    <font>
      <sz val="10"/>
      <color rgb="FFFF8080"/>
      <name val="Arial"/>
      <family val="2"/>
    </font>
    <font>
      <sz val="10"/>
      <color theme="0" tint="-0.34998626667073579"/>
      <name val="Arial"/>
      <family val="2"/>
    </font>
    <font>
      <b/>
      <sz val="10"/>
      <color theme="0" tint="-0.34998626667073579"/>
      <name val="Arial"/>
      <family val="2"/>
    </font>
    <font>
      <b/>
      <sz val="10"/>
      <color theme="1"/>
      <name val="Arial"/>
      <family val="2"/>
    </font>
    <font>
      <b/>
      <sz val="11"/>
      <color indexed="8"/>
      <name val="Arial"/>
      <family val="2"/>
    </font>
    <font>
      <sz val="10"/>
      <color rgb="FF003366"/>
      <name val="Arial"/>
      <family val="2"/>
    </font>
    <font>
      <b/>
      <sz val="10"/>
      <color rgb="FF003366"/>
      <name val="Arial"/>
      <family val="2"/>
    </font>
    <font>
      <b/>
      <i/>
      <sz val="8"/>
      <color theme="0" tint="-0.34998626667073579"/>
      <name val="Arial"/>
      <family val="2"/>
    </font>
    <font>
      <b/>
      <sz val="10"/>
      <color rgb="FFFF0000"/>
      <name val="Arial"/>
      <family val="2"/>
    </font>
    <font>
      <sz val="10"/>
      <color rgb="FF0070C0"/>
      <name val="Arial"/>
      <family val="2"/>
    </font>
    <font>
      <b/>
      <sz val="10"/>
      <color rgb="FF0066CC"/>
      <name val="Arial"/>
      <family val="2"/>
    </font>
    <font>
      <sz val="10"/>
      <color rgb="FF000000"/>
      <name val="Arial"/>
      <family val="2"/>
    </font>
    <font>
      <b/>
      <sz val="11"/>
      <color theme="0" tint="-0.34998626667073579"/>
      <name val="Arial"/>
      <family val="2"/>
    </font>
    <font>
      <sz val="10"/>
      <color rgb="FF0066CC"/>
      <name val="Arial"/>
      <family val="2"/>
    </font>
    <font>
      <b/>
      <sz val="8"/>
      <color theme="1"/>
      <name val="Arial"/>
      <family val="2"/>
    </font>
    <font>
      <u/>
      <sz val="8"/>
      <color theme="10"/>
      <name val="Arial"/>
      <family val="2"/>
    </font>
    <font>
      <b/>
      <sz val="10"/>
      <color rgb="FF000000"/>
      <name val="Arial"/>
      <family val="2"/>
    </font>
    <font>
      <b/>
      <sz val="12"/>
      <color theme="1"/>
      <name val="Arial"/>
      <family val="2"/>
    </font>
    <font>
      <b/>
      <sz val="12"/>
      <name val="Arial"/>
      <family val="2"/>
    </font>
    <font>
      <sz val="10"/>
      <color rgb="FF808080"/>
      <name val="Arial"/>
      <family val="2"/>
    </font>
    <font>
      <b/>
      <sz val="10"/>
      <color rgb="FF808080"/>
      <name val="Arial"/>
      <family val="2"/>
    </font>
    <font>
      <b/>
      <sz val="11"/>
      <name val="Arial"/>
      <family val="2"/>
    </font>
    <font>
      <b/>
      <u/>
      <sz val="10"/>
      <color rgb="FF000000"/>
      <name val="Arial"/>
      <family val="2"/>
    </font>
    <font>
      <b/>
      <vertAlign val="superscript"/>
      <sz val="10"/>
      <color rgb="FF000000"/>
      <name val="Arial"/>
      <family val="2"/>
    </font>
    <font>
      <sz val="10"/>
      <color rgb="FF000000"/>
      <name val="Times New Roman"/>
      <family val="1"/>
    </font>
    <font>
      <b/>
      <sz val="10"/>
      <color rgb="FF333333"/>
      <name val="Arial"/>
      <family val="2"/>
    </font>
    <font>
      <sz val="9"/>
      <color rgb="FF333333"/>
      <name val="Arial"/>
      <family val="2"/>
    </font>
    <font>
      <b/>
      <vertAlign val="superscript"/>
      <sz val="10"/>
      <color theme="1"/>
      <name val="Arial"/>
      <family val="2"/>
    </font>
    <font>
      <vertAlign val="superscript"/>
      <sz val="10"/>
      <color theme="1"/>
      <name val="Arial"/>
      <family val="2"/>
    </font>
    <font>
      <b/>
      <sz val="10"/>
      <color indexed="64"/>
      <name val="Arial"/>
      <family val="2"/>
    </font>
    <font>
      <sz val="10"/>
      <color indexed="64"/>
      <name val="Arial"/>
      <family val="2"/>
    </font>
    <font>
      <sz val="10"/>
      <color rgb="FF00B050"/>
      <name val="Arial"/>
      <family val="2"/>
    </font>
    <font>
      <b/>
      <i/>
      <sz val="8"/>
      <name val="Arial"/>
      <family val="2"/>
    </font>
    <font>
      <b/>
      <i/>
      <sz val="10"/>
      <color theme="0" tint="-0.34998626667073579"/>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ourier"/>
      <family val="3"/>
    </font>
    <font>
      <sz val="10"/>
      <name val="Arial"/>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74">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31"/>
        <bgColor indexed="64"/>
      </patternFill>
    </fill>
    <fill>
      <patternFill patternType="solid">
        <fgColor indexed="10"/>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solid">
        <fgColor indexed="27"/>
        <bgColor indexed="64"/>
      </patternFill>
    </fill>
    <fill>
      <patternFill patternType="solid">
        <fgColor rgb="FFFFFFB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1"/>
      </left>
      <right style="thin">
        <color indexed="31"/>
      </right>
      <top style="thin">
        <color indexed="31"/>
      </top>
      <bottom style="thin">
        <color indexed="31"/>
      </bottom>
      <diagonal/>
    </border>
  </borders>
  <cellStyleXfs count="108">
    <xf numFmtId="0" fontId="0" fillId="0" borderId="0"/>
    <xf numFmtId="43" fontId="16" fillId="0" borderId="0" applyFont="0" applyFill="0" applyBorder="0" applyAlignment="0" applyProtection="0"/>
    <xf numFmtId="0" fontId="60" fillId="0" borderId="0" applyNumberFormat="0" applyFill="0" applyBorder="0" applyAlignment="0" applyProtection="0"/>
    <xf numFmtId="0" fontId="5" fillId="0" borderId="0"/>
    <xf numFmtId="0" fontId="9" fillId="0" borderId="0"/>
    <xf numFmtId="0" fontId="10" fillId="0" borderId="0"/>
    <xf numFmtId="0" fontId="13" fillId="0" borderId="0"/>
    <xf numFmtId="0" fontId="36" fillId="0" borderId="0"/>
    <xf numFmtId="0" fontId="2" fillId="0" borderId="0"/>
    <xf numFmtId="0" fontId="5" fillId="0" borderId="0"/>
    <xf numFmtId="9"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7" fillId="0" borderId="0" applyNumberFormat="0" applyFill="0" applyBorder="0" applyAlignment="0" applyProtection="0"/>
    <xf numFmtId="0" fontId="108" fillId="0" borderId="27" applyNumberFormat="0" applyFill="0" applyAlignment="0" applyProtection="0"/>
    <xf numFmtId="0" fontId="109" fillId="0" borderId="28" applyNumberFormat="0" applyFill="0" applyAlignment="0" applyProtection="0"/>
    <xf numFmtId="0" fontId="110" fillId="0" borderId="29" applyNumberFormat="0" applyFill="0" applyAlignment="0" applyProtection="0"/>
    <xf numFmtId="0" fontId="110" fillId="0" borderId="0" applyNumberFormat="0" applyFill="0" applyBorder="0" applyAlignment="0" applyProtection="0"/>
    <xf numFmtId="0" fontId="111" fillId="21" borderId="0" applyNumberFormat="0" applyBorder="0" applyAlignment="0" applyProtection="0"/>
    <xf numFmtId="0" fontId="112" fillId="22" borderId="0" applyNumberFormat="0" applyBorder="0" applyAlignment="0" applyProtection="0"/>
    <xf numFmtId="0" fontId="113" fillId="23" borderId="0" applyNumberFormat="0" applyBorder="0" applyAlignment="0" applyProtection="0"/>
    <xf numFmtId="0" fontId="114" fillId="24" borderId="30" applyNumberFormat="0" applyAlignment="0" applyProtection="0"/>
    <xf numFmtId="0" fontId="115" fillId="25" borderId="31" applyNumberFormat="0" applyAlignment="0" applyProtection="0"/>
    <xf numFmtId="0" fontId="116" fillId="25" borderId="30" applyNumberFormat="0" applyAlignment="0" applyProtection="0"/>
    <xf numFmtId="0" fontId="117" fillId="0" borderId="32" applyNumberFormat="0" applyFill="0" applyAlignment="0" applyProtection="0"/>
    <xf numFmtId="0" fontId="118" fillId="26" borderId="33" applyNumberFormat="0" applyAlignment="0" applyProtection="0"/>
    <xf numFmtId="0" fontId="61" fillId="0" borderId="0" applyNumberFormat="0" applyFill="0" applyBorder="0" applyAlignment="0" applyProtection="0"/>
    <xf numFmtId="0" fontId="106" fillId="27" borderId="34" applyNumberFormat="0" applyFont="0" applyAlignment="0" applyProtection="0"/>
    <xf numFmtId="0" fontId="119" fillId="0" borderId="0" applyNumberFormat="0" applyFill="0" applyBorder="0" applyAlignment="0" applyProtection="0"/>
    <xf numFmtId="0" fontId="120" fillId="0" borderId="35" applyNumberFormat="0" applyFill="0" applyAlignment="0" applyProtection="0"/>
    <xf numFmtId="0" fontId="121"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121" fillId="31" borderId="0" applyNumberFormat="0" applyBorder="0" applyAlignment="0" applyProtection="0"/>
    <xf numFmtId="0" fontId="121"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06" fillId="37" borderId="0" applyNumberFormat="0" applyBorder="0" applyAlignment="0" applyProtection="0"/>
    <xf numFmtId="0" fontId="106" fillId="38" borderId="0" applyNumberFormat="0" applyBorder="0" applyAlignment="0" applyProtection="0"/>
    <xf numFmtId="0" fontId="121" fillId="39" borderId="0" applyNumberFormat="0" applyBorder="0" applyAlignment="0" applyProtection="0"/>
    <xf numFmtId="0" fontId="121"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21" fillId="43" borderId="0" applyNumberFormat="0" applyBorder="0" applyAlignment="0" applyProtection="0"/>
    <xf numFmtId="0" fontId="121" fillId="44"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21" fillId="47" borderId="0" applyNumberFormat="0" applyBorder="0" applyAlignment="0" applyProtection="0"/>
    <xf numFmtId="0" fontId="121" fillId="48"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21" fillId="51" borderId="0" applyNumberFormat="0" applyBorder="0" applyAlignment="0" applyProtection="0"/>
    <xf numFmtId="0" fontId="122" fillId="0" borderId="0"/>
    <xf numFmtId="0" fontId="122" fillId="0" borderId="0"/>
    <xf numFmtId="0" fontId="122" fillId="0" borderId="0"/>
    <xf numFmtId="9" fontId="5" fillId="0" borderId="0" applyFont="0" applyFill="0" applyBorder="0" applyAlignment="0" applyProtection="0"/>
    <xf numFmtId="0" fontId="123" fillId="0" borderId="0"/>
    <xf numFmtId="0" fontId="16" fillId="52"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55" borderId="0" applyNumberFormat="0" applyBorder="0" applyAlignment="0" applyProtection="0"/>
    <xf numFmtId="0" fontId="16" fillId="58" borderId="0" applyNumberFormat="0" applyBorder="0" applyAlignment="0" applyProtection="0"/>
    <xf numFmtId="0" fontId="16" fillId="61" borderId="0" applyNumberFormat="0" applyBorder="0" applyAlignment="0" applyProtection="0"/>
    <xf numFmtId="0" fontId="124" fillId="62" borderId="0" applyNumberFormat="0" applyBorder="0" applyAlignment="0" applyProtection="0"/>
    <xf numFmtId="0" fontId="124" fillId="59" borderId="0" applyNumberFormat="0" applyBorder="0" applyAlignment="0" applyProtection="0"/>
    <xf numFmtId="0" fontId="124" fillId="60" borderId="0" applyNumberFormat="0" applyBorder="0" applyAlignment="0" applyProtection="0"/>
    <xf numFmtId="0" fontId="124" fillId="63" borderId="0" applyNumberFormat="0" applyBorder="0" applyAlignment="0" applyProtection="0"/>
    <xf numFmtId="0" fontId="124"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7" borderId="0" applyNumberFormat="0" applyBorder="0" applyAlignment="0" applyProtection="0"/>
    <xf numFmtId="0" fontId="124" fillId="68" borderId="0" applyNumberFormat="0" applyBorder="0" applyAlignment="0" applyProtection="0"/>
    <xf numFmtId="0" fontId="124" fillId="63" borderId="0" applyNumberFormat="0" applyBorder="0" applyAlignment="0" applyProtection="0"/>
    <xf numFmtId="0" fontId="124" fillId="64" borderId="0" applyNumberFormat="0" applyBorder="0" applyAlignment="0" applyProtection="0"/>
    <xf numFmtId="0" fontId="124" fillId="69" borderId="0" applyNumberFormat="0" applyBorder="0" applyAlignment="0" applyProtection="0"/>
    <xf numFmtId="0" fontId="125" fillId="53" borderId="0" applyNumberFormat="0" applyBorder="0" applyAlignment="0" applyProtection="0"/>
    <xf numFmtId="0" fontId="126" fillId="70" borderId="36" applyNumberFormat="0" applyAlignment="0" applyProtection="0"/>
    <xf numFmtId="0" fontId="127" fillId="71" borderId="37" applyNumberFormat="0" applyAlignment="0" applyProtection="0"/>
    <xf numFmtId="0" fontId="128" fillId="0" borderId="0" applyNumberFormat="0" applyFill="0" applyBorder="0" applyAlignment="0" applyProtection="0"/>
    <xf numFmtId="0" fontId="129" fillId="54" borderId="0" applyNumberFormat="0" applyBorder="0" applyAlignment="0" applyProtection="0"/>
    <xf numFmtId="0" fontId="130" fillId="0" borderId="38" applyNumberFormat="0" applyFill="0" applyAlignment="0" applyProtection="0"/>
    <xf numFmtId="0" fontId="131" fillId="0" borderId="39" applyNumberFormat="0" applyFill="0" applyAlignment="0" applyProtection="0"/>
    <xf numFmtId="0" fontId="132" fillId="0" borderId="40" applyNumberFormat="0" applyFill="0" applyAlignment="0" applyProtection="0"/>
    <xf numFmtId="0" fontId="132" fillId="0" borderId="0" applyNumberFormat="0" applyFill="0" applyBorder="0" applyAlignment="0" applyProtection="0"/>
    <xf numFmtId="0" fontId="133" fillId="57" borderId="36" applyNumberFormat="0" applyAlignment="0" applyProtection="0"/>
    <xf numFmtId="0" fontId="134" fillId="0" borderId="41" applyNumberFormat="0" applyFill="0" applyAlignment="0" applyProtection="0"/>
    <xf numFmtId="0" fontId="135" fillId="72" borderId="0" applyNumberFormat="0" applyBorder="0" applyAlignment="0" applyProtection="0"/>
    <xf numFmtId="0" fontId="16" fillId="73" borderId="42" applyNumberFormat="0" applyFont="0" applyAlignment="0" applyProtection="0"/>
    <xf numFmtId="0" fontId="136" fillId="70" borderId="43" applyNumberFormat="0" applyAlignment="0" applyProtection="0"/>
    <xf numFmtId="0" fontId="137" fillId="0" borderId="0" applyNumberFormat="0" applyFill="0" applyBorder="0" applyAlignment="0" applyProtection="0"/>
    <xf numFmtId="0" fontId="138" fillId="0" borderId="44" applyNumberFormat="0" applyFill="0" applyAlignment="0" applyProtection="0"/>
    <xf numFmtId="0" fontId="139"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xf numFmtId="0" fontId="123" fillId="0" borderId="0"/>
  </cellStyleXfs>
  <cellXfs count="1085">
    <xf numFmtId="0" fontId="0" fillId="0" borderId="0" xfId="0"/>
    <xf numFmtId="15" fontId="3"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wrapText="1"/>
      <protection locked="0"/>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18" fillId="3" borderId="2" xfId="0" applyFont="1" applyFill="1" applyBorder="1" applyAlignment="1">
      <alignment horizontal="center" vertical="center" wrapText="1"/>
    </xf>
    <xf numFmtId="0" fontId="20" fillId="2" borderId="0" xfId="2" applyFont="1" applyFill="1" applyAlignment="1">
      <alignment vertical="center"/>
    </xf>
    <xf numFmtId="0" fontId="18" fillId="3" borderId="3" xfId="0" applyFont="1" applyFill="1" applyBorder="1" applyAlignment="1">
      <alignment horizontal="center" vertical="center"/>
    </xf>
    <xf numFmtId="0" fontId="18" fillId="2" borderId="4" xfId="0" applyFont="1" applyFill="1" applyBorder="1" applyAlignment="1">
      <alignment horizontal="left" vertical="center" wrapText="1"/>
    </xf>
    <xf numFmtId="0" fontId="18" fillId="2" borderId="4" xfId="0" applyFont="1" applyFill="1" applyBorder="1" applyAlignment="1">
      <alignment horizontal="left" vertical="center"/>
    </xf>
    <xf numFmtId="164" fontId="18" fillId="2" borderId="4" xfId="0" applyNumberFormat="1" applyFont="1" applyFill="1" applyBorder="1" applyAlignment="1">
      <alignment horizontal="left" vertical="center"/>
    </xf>
    <xf numFmtId="2" fontId="18" fillId="0" borderId="5" xfId="0" applyNumberFormat="1" applyFont="1" applyBorder="1" applyAlignment="1">
      <alignment horizontal="center" vertical="center"/>
    </xf>
    <xf numFmtId="164" fontId="18" fillId="2" borderId="3" xfId="0" applyNumberFormat="1" applyFont="1" applyFill="1" applyBorder="1" applyAlignment="1">
      <alignment horizontal="center" vertical="center"/>
    </xf>
    <xf numFmtId="0" fontId="21" fillId="0" borderId="0" xfId="0" applyFont="1"/>
    <xf numFmtId="0" fontId="21" fillId="0" borderId="0" xfId="0" applyFont="1" applyAlignment="1">
      <alignment horizontal="center"/>
    </xf>
    <xf numFmtId="164" fontId="19" fillId="2" borderId="5" xfId="0" applyNumberFormat="1" applyFont="1" applyFill="1" applyBorder="1" applyAlignment="1">
      <alignment horizontal="center" vertical="center"/>
    </xf>
    <xf numFmtId="0" fontId="21" fillId="2" borderId="0" xfId="0" applyFont="1" applyFill="1"/>
    <xf numFmtId="0" fontId="21"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xf numFmtId="0" fontId="2" fillId="0" borderId="1" xfId="8" applyFont="1" applyFill="1" applyBorder="1" applyAlignment="1">
      <alignment horizontal="center" wrapText="1"/>
    </xf>
    <xf numFmtId="2" fontId="19" fillId="2" borderId="3" xfId="0" applyNumberFormat="1" applyFont="1" applyFill="1" applyBorder="1" applyAlignment="1">
      <alignment horizontal="center" vertical="center"/>
    </xf>
    <xf numFmtId="2" fontId="18" fillId="2" borderId="3" xfId="0" applyNumberFormat="1" applyFont="1" applyFill="1" applyBorder="1" applyAlignment="1">
      <alignment horizontal="center" vertical="center"/>
    </xf>
    <xf numFmtId="2" fontId="18" fillId="2" borderId="5"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5" xfId="0" applyFont="1" applyFill="1" applyBorder="1" applyAlignment="1">
      <alignment horizontal="left" vertical="center"/>
    </xf>
    <xf numFmtId="1" fontId="19" fillId="2" borderId="5" xfId="0" applyNumberFormat="1" applyFont="1" applyFill="1" applyBorder="1" applyAlignment="1">
      <alignment horizontal="center" vertical="center"/>
    </xf>
    <xf numFmtId="2" fontId="18" fillId="2" borderId="6" xfId="0" applyNumberFormat="1" applyFont="1" applyFill="1" applyBorder="1" applyAlignment="1">
      <alignment horizontal="center" vertical="center"/>
    </xf>
    <xf numFmtId="2" fontId="19" fillId="2" borderId="7" xfId="0" applyNumberFormat="1" applyFont="1" applyFill="1" applyBorder="1" applyAlignment="1">
      <alignment horizontal="center" vertical="center"/>
    </xf>
    <xf numFmtId="1" fontId="19" fillId="2" borderId="7" xfId="0" applyNumberFormat="1" applyFont="1" applyFill="1" applyBorder="1" applyAlignment="1">
      <alignment horizontal="center" vertical="center"/>
    </xf>
    <xf numFmtId="2" fontId="18" fillId="0" borderId="2" xfId="0" applyNumberFormat="1" applyFont="1" applyBorder="1" applyAlignment="1">
      <alignment horizontal="center" vertical="center" wrapText="1"/>
    </xf>
    <xf numFmtId="2" fontId="18" fillId="2" borderId="5" xfId="0" applyNumberFormat="1" applyFont="1" applyFill="1" applyBorder="1" applyAlignment="1">
      <alignment horizontal="left" vertical="center"/>
    </xf>
    <xf numFmtId="17" fontId="18" fillId="0" borderId="4" xfId="0" applyNumberFormat="1" applyFont="1" applyBorder="1" applyAlignment="1">
      <alignment horizontal="center" vertical="center" wrapText="1"/>
    </xf>
    <xf numFmtId="0" fontId="18" fillId="4" borderId="3" xfId="0" applyFont="1" applyFill="1" applyBorder="1" applyAlignment="1">
      <alignment horizontal="center" vertical="center"/>
    </xf>
    <xf numFmtId="0" fontId="18" fillId="0" borderId="2" xfId="0" applyFont="1" applyFill="1" applyBorder="1" applyAlignment="1">
      <alignment horizontal="center" vertical="center" wrapText="1"/>
    </xf>
    <xf numFmtId="17" fontId="8" fillId="0"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7" fontId="8" fillId="2"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0" fontId="18" fillId="2" borderId="3" xfId="0" applyFont="1" applyFill="1" applyBorder="1" applyAlignment="1">
      <alignment horizontal="center" vertical="center"/>
    </xf>
    <xf numFmtId="0" fontId="18" fillId="5" borderId="3" xfId="0" applyFont="1" applyFill="1" applyBorder="1" applyAlignment="1">
      <alignment horizontal="center" vertical="center"/>
    </xf>
    <xf numFmtId="166" fontId="18" fillId="2" borderId="3"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3" xfId="0" applyFont="1" applyFill="1" applyBorder="1" applyAlignment="1">
      <alignment horizontal="center" vertical="center"/>
    </xf>
    <xf numFmtId="164" fontId="18" fillId="0" borderId="5" xfId="0" applyNumberFormat="1" applyFont="1" applyBorder="1" applyAlignment="1">
      <alignment horizontal="center" vertical="center"/>
    </xf>
    <xf numFmtId="0" fontId="18" fillId="0" borderId="2" xfId="0" applyFont="1" applyBorder="1" applyAlignment="1">
      <alignment horizontal="center" vertical="center" wrapText="1"/>
    </xf>
    <xf numFmtId="0" fontId="19" fillId="0" borderId="4" xfId="0" applyFont="1" applyBorder="1"/>
    <xf numFmtId="0" fontId="19" fillId="0" borderId="8" xfId="0" applyFont="1" applyBorder="1"/>
    <xf numFmtId="166" fontId="8" fillId="0" borderId="3" xfId="0" applyNumberFormat="1" applyFont="1" applyBorder="1" applyAlignment="1">
      <alignment horizontal="center" vertical="center" wrapText="1"/>
    </xf>
    <xf numFmtId="164" fontId="18" fillId="2" borderId="3" xfId="0" applyNumberFormat="1" applyFont="1" applyFill="1" applyBorder="1" applyAlignment="1">
      <alignment vertical="center"/>
    </xf>
    <xf numFmtId="1" fontId="24" fillId="0" borderId="1" xfId="0" applyNumberFormat="1" applyFont="1" applyBorder="1" applyAlignment="1">
      <alignment horizontal="right"/>
    </xf>
    <xf numFmtId="164" fontId="24" fillId="0" borderId="1" xfId="0" applyNumberFormat="1" applyFont="1" applyBorder="1" applyAlignment="1">
      <alignment horizontal="center"/>
    </xf>
    <xf numFmtId="164" fontId="24" fillId="0" borderId="1" xfId="0" applyNumberFormat="1" applyFont="1" applyBorder="1" applyAlignment="1">
      <alignment horizontal="right"/>
    </xf>
    <xf numFmtId="0" fontId="26" fillId="0" borderId="1" xfId="0" applyFont="1" applyFill="1" applyBorder="1" applyAlignment="1" applyProtection="1">
      <alignment horizontal="center" wrapText="1"/>
      <protection locked="0"/>
    </xf>
    <xf numFmtId="2" fontId="27" fillId="0" borderId="1" xfId="0" applyNumberFormat="1" applyFont="1" applyFill="1" applyBorder="1" applyAlignment="1" applyProtection="1">
      <alignment horizontal="center"/>
      <protection locked="0"/>
    </xf>
    <xf numFmtId="0" fontId="25" fillId="0" borderId="1" xfId="0" applyFont="1" applyFill="1" applyBorder="1" applyAlignment="1">
      <alignment horizontal="left"/>
    </xf>
    <xf numFmtId="0" fontId="25" fillId="0" borderId="1" xfId="0" applyFont="1" applyFill="1" applyBorder="1"/>
    <xf numFmtId="1" fontId="25" fillId="0" borderId="1" xfId="0" applyNumberFormat="1" applyFont="1" applyBorder="1" applyAlignment="1">
      <alignment horizontal="right"/>
    </xf>
    <xf numFmtId="0" fontId="18" fillId="0" borderId="3" xfId="0" applyFont="1" applyFill="1" applyBorder="1" applyAlignment="1">
      <alignment horizontal="center" vertical="center"/>
    </xf>
    <xf numFmtId="164" fontId="25" fillId="0" borderId="1" xfId="0" applyNumberFormat="1" applyFont="1" applyBorder="1" applyAlignment="1">
      <alignment horizontal="right"/>
    </xf>
    <xf numFmtId="164" fontId="24" fillId="0" borderId="1" xfId="0" applyNumberFormat="1" applyFont="1" applyFill="1" applyBorder="1" applyAlignment="1">
      <alignment horizontal="center"/>
    </xf>
    <xf numFmtId="2" fontId="18" fillId="2" borderId="3" xfId="0" applyNumberFormat="1" applyFont="1" applyFill="1" applyBorder="1" applyAlignment="1">
      <alignment horizontal="center" vertical="center" wrapText="1"/>
    </xf>
    <xf numFmtId="1" fontId="28" fillId="0" borderId="1" xfId="0" applyNumberFormat="1" applyFont="1" applyBorder="1" applyAlignment="1">
      <alignment horizontal="right"/>
    </xf>
    <xf numFmtId="1" fontId="29" fillId="0" borderId="1" xfId="0" applyNumberFormat="1" applyFont="1" applyBorder="1" applyAlignment="1">
      <alignment horizontal="right"/>
    </xf>
    <xf numFmtId="1" fontId="29" fillId="0" borderId="1" xfId="0" applyNumberFormat="1" applyFont="1" applyBorder="1"/>
    <xf numFmtId="1" fontId="28" fillId="0" borderId="1" xfId="0" applyNumberFormat="1" applyFont="1" applyBorder="1"/>
    <xf numFmtId="0" fontId="18" fillId="0" borderId="6" xfId="0" applyFont="1" applyBorder="1" applyAlignment="1">
      <alignment horizontal="center" vertical="center" wrapText="1"/>
    </xf>
    <xf numFmtId="0" fontId="18" fillId="3" borderId="6" xfId="0" applyFont="1" applyFill="1" applyBorder="1" applyAlignment="1">
      <alignment horizontal="center" vertical="center" wrapText="1"/>
    </xf>
    <xf numFmtId="0" fontId="18" fillId="2" borderId="8" xfId="0" applyFont="1" applyFill="1" applyBorder="1" applyAlignment="1">
      <alignment horizontal="center" vertical="center"/>
    </xf>
    <xf numFmtId="17" fontId="18" fillId="0" borderId="8" xfId="0" applyNumberFormat="1" applyFont="1" applyBorder="1" applyAlignment="1">
      <alignment horizontal="center" vertical="center" wrapText="1"/>
    </xf>
    <xf numFmtId="166" fontId="18" fillId="2" borderId="15" xfId="0" applyNumberFormat="1" applyFont="1" applyFill="1" applyBorder="1" applyAlignment="1">
      <alignment horizontal="center" vertical="center" wrapText="1"/>
    </xf>
    <xf numFmtId="0" fontId="18" fillId="3" borderId="15" xfId="0" applyFont="1" applyFill="1" applyBorder="1" applyAlignment="1">
      <alignment horizontal="center" vertical="center"/>
    </xf>
    <xf numFmtId="0" fontId="25" fillId="0" borderId="1" xfId="0" applyFont="1" applyFill="1" applyBorder="1" applyAlignment="1">
      <alignment wrapText="1"/>
    </xf>
    <xf numFmtId="0" fontId="25" fillId="0" borderId="0" xfId="0" applyFont="1" applyFill="1" applyBorder="1" applyAlignment="1">
      <alignment wrapText="1"/>
    </xf>
    <xf numFmtId="164" fontId="25" fillId="0" borderId="0" xfId="0" applyNumberFormat="1" applyFont="1" applyBorder="1" applyAlignment="1">
      <alignment horizontal="right"/>
    </xf>
    <xf numFmtId="0" fontId="30" fillId="0" borderId="1" xfId="0" applyFont="1" applyBorder="1" applyAlignment="1">
      <alignment horizontal="right"/>
    </xf>
    <xf numFmtId="0" fontId="26" fillId="0" borderId="1" xfId="0" applyFont="1" applyBorder="1" applyAlignment="1">
      <alignment horizontal="right"/>
    </xf>
    <xf numFmtId="17" fontId="18" fillId="2" borderId="15" xfId="0" applyNumberFormat="1" applyFont="1" applyFill="1" applyBorder="1" applyAlignment="1">
      <alignment horizontal="center" vertical="center"/>
    </xf>
    <xf numFmtId="9" fontId="18" fillId="2" borderId="16" xfId="0" applyNumberFormat="1" applyFont="1" applyFill="1" applyBorder="1" applyAlignment="1">
      <alignment horizontal="center" vertical="center"/>
    </xf>
    <xf numFmtId="0" fontId="19" fillId="2" borderId="4" xfId="0" applyFont="1" applyFill="1" applyBorder="1" applyAlignment="1">
      <alignment horizontal="left" vertical="center"/>
    </xf>
    <xf numFmtId="2" fontId="18" fillId="0" borderId="3" xfId="0" applyNumberFormat="1" applyFont="1" applyFill="1" applyBorder="1" applyAlignment="1">
      <alignment horizontal="center" vertical="center"/>
    </xf>
    <xf numFmtId="0" fontId="31"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3" fillId="2" borderId="2" xfId="0" applyFont="1" applyFill="1" applyBorder="1" applyAlignment="1">
      <alignment horizontal="center" vertical="center" wrapText="1"/>
    </xf>
    <xf numFmtId="164" fontId="2" fillId="0" borderId="1" xfId="0" applyNumberFormat="1" applyFont="1" applyBorder="1" applyAlignment="1">
      <alignment horizontal="center"/>
    </xf>
    <xf numFmtId="164" fontId="2" fillId="0" borderId="1" xfId="0" applyNumberFormat="1" applyFont="1" applyFill="1" applyBorder="1" applyAlignment="1">
      <alignment horizontal="center"/>
    </xf>
    <xf numFmtId="0" fontId="2" fillId="0" borderId="0" xfId="0" applyFont="1" applyBorder="1"/>
    <xf numFmtId="0" fontId="2" fillId="0" borderId="1" xfId="0" applyFont="1" applyBorder="1" applyAlignment="1">
      <alignment horizontal="center" wrapText="1"/>
    </xf>
    <xf numFmtId="1" fontId="11" fillId="0" borderId="1" xfId="0" applyNumberFormat="1" applyFont="1" applyBorder="1" applyAlignment="1">
      <alignment horizontal="right"/>
    </xf>
    <xf numFmtId="0" fontId="33" fillId="0" borderId="2" xfId="0" applyFont="1" applyFill="1" applyBorder="1" applyAlignment="1">
      <alignment horizontal="center" vertical="center" wrapText="1"/>
    </xf>
    <xf numFmtId="0" fontId="21" fillId="0" borderId="0" xfId="0" applyFont="1" applyFill="1"/>
    <xf numFmtId="3" fontId="11" fillId="0" borderId="1" xfId="0" applyNumberFormat="1" applyFont="1" applyBorder="1" applyAlignment="1">
      <alignment horizontal="right"/>
    </xf>
    <xf numFmtId="1" fontId="2" fillId="0" borderId="1" xfId="0" applyNumberFormat="1" applyFont="1" applyBorder="1" applyAlignment="1">
      <alignment horizontal="right"/>
    </xf>
    <xf numFmtId="1" fontId="2" fillId="0" borderId="1" xfId="0" applyNumberFormat="1" applyFont="1" applyBorder="1" applyAlignment="1">
      <alignment horizontal="right" wrapText="1"/>
    </xf>
    <xf numFmtId="0" fontId="2" fillId="2" borderId="1" xfId="0" applyFont="1" applyFill="1" applyBorder="1" applyAlignment="1">
      <alignment horizontal="center" wrapText="1"/>
    </xf>
    <xf numFmtId="1" fontId="2" fillId="0" borderId="1" xfId="0" applyNumberFormat="1" applyFont="1" applyFill="1" applyBorder="1" applyAlignment="1" applyProtection="1">
      <alignment horizontal="center"/>
      <protection locked="0"/>
    </xf>
    <xf numFmtId="166" fontId="1" fillId="0" borderId="1" xfId="0" applyNumberFormat="1" applyFont="1" applyFill="1" applyBorder="1" applyAlignment="1">
      <alignment horizontal="center" vertical="center" wrapText="1"/>
    </xf>
    <xf numFmtId="0" fontId="2" fillId="0" borderId="0" xfId="0" applyFont="1" applyBorder="1" applyAlignment="1">
      <alignment wrapText="1"/>
    </xf>
    <xf numFmtId="3" fontId="2" fillId="0" borderId="0" xfId="0" applyNumberFormat="1" applyFont="1" applyBorder="1" applyAlignment="1">
      <alignment horizontal="center"/>
    </xf>
    <xf numFmtId="164" fontId="1" fillId="0" borderId="0" xfId="0" applyNumberFormat="1" applyFont="1" applyBorder="1"/>
    <xf numFmtId="0" fontId="2" fillId="0" borderId="0" xfId="0" applyFont="1" applyAlignment="1">
      <alignment horizontal="center"/>
    </xf>
    <xf numFmtId="164" fontId="2" fillId="0" borderId="0" xfId="0" applyNumberFormat="1" applyFont="1" applyBorder="1"/>
    <xf numFmtId="164" fontId="2" fillId="0" borderId="0" xfId="0" applyNumberFormat="1" applyFont="1" applyAlignment="1">
      <alignment horizontal="center"/>
    </xf>
    <xf numFmtId="0" fontId="46" fillId="0" borderId="0" xfId="2" applyFont="1"/>
    <xf numFmtId="0" fontId="47" fillId="0" borderId="0" xfId="0" applyFont="1"/>
    <xf numFmtId="0" fontId="4" fillId="0" borderId="0" xfId="2" applyFont="1"/>
    <xf numFmtId="0" fontId="47" fillId="0" borderId="0" xfId="0" applyFont="1" applyAlignment="1">
      <alignment wrapText="1"/>
    </xf>
    <xf numFmtId="164" fontId="47" fillId="0" borderId="0" xfId="0" applyNumberFormat="1" applyFont="1" applyBorder="1" applyAlignment="1">
      <alignment horizontal="left"/>
    </xf>
    <xf numFmtId="166" fontId="47" fillId="0" borderId="0" xfId="0" applyNumberFormat="1" applyFont="1" applyAlignment="1">
      <alignment horizontal="left"/>
    </xf>
    <xf numFmtId="0" fontId="47" fillId="0" borderId="0" xfId="0" applyFont="1" applyAlignment="1">
      <alignment horizontal="left"/>
    </xf>
    <xf numFmtId="0" fontId="2" fillId="0" borderId="1" xfId="0" applyFont="1" applyBorder="1" applyAlignment="1">
      <alignment wrapText="1"/>
    </xf>
    <xf numFmtId="166" fontId="1" fillId="0" borderId="1" xfId="0" applyNumberFormat="1" applyFont="1" applyBorder="1" applyAlignment="1">
      <alignment horizontal="center"/>
    </xf>
    <xf numFmtId="0" fontId="11" fillId="0" borderId="1" xfId="0" applyFont="1" applyBorder="1" applyAlignment="1">
      <alignment wrapText="1"/>
    </xf>
    <xf numFmtId="164" fontId="11" fillId="0" borderId="1" xfId="0" applyNumberFormat="1" applyFont="1" applyBorder="1" applyAlignment="1">
      <alignment horizontal="right"/>
    </xf>
    <xf numFmtId="0" fontId="1" fillId="0" borderId="1" xfId="0" applyFont="1" applyBorder="1" applyAlignment="1">
      <alignment wrapText="1"/>
    </xf>
    <xf numFmtId="164" fontId="2" fillId="9" borderId="1" xfId="0" applyNumberFormat="1" applyFont="1" applyFill="1" applyBorder="1" applyAlignment="1">
      <alignment horizontal="right"/>
    </xf>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Border="1" applyAlignment="1">
      <alignment horizontal="right"/>
    </xf>
    <xf numFmtId="164" fontId="11" fillId="0" borderId="1" xfId="0" applyNumberFormat="1" applyFont="1" applyFill="1" applyBorder="1" applyAlignment="1">
      <alignment horizontal="right"/>
    </xf>
    <xf numFmtId="0" fontId="2" fillId="0" borderId="12" xfId="0" applyFont="1" applyBorder="1" applyAlignment="1">
      <alignment wrapText="1"/>
    </xf>
    <xf numFmtId="0" fontId="47" fillId="0" borderId="0" xfId="0" applyFont="1" applyBorder="1"/>
    <xf numFmtId="0" fontId="1" fillId="0" borderId="1" xfId="0" applyFont="1" applyBorder="1" applyAlignment="1">
      <alignment horizontal="center"/>
    </xf>
    <xf numFmtId="164" fontId="47" fillId="0" borderId="0" xfId="0" applyNumberFormat="1" applyFont="1" applyAlignment="1">
      <alignment horizontal="left"/>
    </xf>
    <xf numFmtId="0" fontId="1" fillId="0" borderId="0" xfId="0" applyFont="1"/>
    <xf numFmtId="17" fontId="47" fillId="0" borderId="0" xfId="0" applyNumberFormat="1" applyFont="1" applyAlignment="1">
      <alignment horizontal="left"/>
    </xf>
    <xf numFmtId="0" fontId="47" fillId="0" borderId="0" xfId="0" applyNumberFormat="1" applyFont="1" applyAlignment="1">
      <alignment horizontal="left"/>
    </xf>
    <xf numFmtId="17" fontId="47" fillId="0" borderId="1" xfId="0" applyNumberFormat="1" applyFont="1" applyBorder="1"/>
    <xf numFmtId="166" fontId="1" fillId="0" borderId="1" xfId="0" applyNumberFormat="1" applyFont="1" applyBorder="1"/>
    <xf numFmtId="166" fontId="1" fillId="0" borderId="1" xfId="0" applyNumberFormat="1" applyFont="1" applyFill="1" applyBorder="1"/>
    <xf numFmtId="17" fontId="1" fillId="0" borderId="1" xfId="0" applyNumberFormat="1" applyFont="1" applyBorder="1"/>
    <xf numFmtId="0" fontId="1" fillId="0" borderId="1" xfId="0" applyFont="1" applyBorder="1"/>
    <xf numFmtId="164" fontId="47" fillId="0" borderId="1" xfId="0" applyNumberFormat="1" applyFont="1" applyBorder="1" applyAlignment="1">
      <alignment horizontal="right"/>
    </xf>
    <xf numFmtId="0" fontId="47" fillId="0" borderId="1" xfId="0" applyFont="1" applyBorder="1"/>
    <xf numFmtId="17" fontId="1" fillId="0" borderId="1" xfId="0" applyNumberFormat="1" applyFont="1" applyBorder="1" applyAlignment="1">
      <alignment horizontal="center"/>
    </xf>
    <xf numFmtId="3" fontId="2" fillId="0" borderId="1" xfId="0" applyNumberFormat="1" applyFont="1" applyBorder="1" applyAlignment="1">
      <alignment horizontal="center"/>
    </xf>
    <xf numFmtId="3" fontId="47" fillId="0" borderId="0" xfId="0" applyNumberFormat="1" applyFont="1" applyAlignment="1">
      <alignment horizontal="left"/>
    </xf>
    <xf numFmtId="0" fontId="47" fillId="4" borderId="0" xfId="0" applyFont="1" applyFill="1"/>
    <xf numFmtId="0" fontId="49" fillId="0" borderId="0" xfId="0" applyFont="1"/>
    <xf numFmtId="166" fontId="1" fillId="0" borderId="1" xfId="0" applyNumberFormat="1" applyFont="1" applyFill="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xf numFmtId="3" fontId="47" fillId="0" borderId="1" xfId="0" applyNumberFormat="1" applyFont="1" applyBorder="1"/>
    <xf numFmtId="3" fontId="47" fillId="0" borderId="0" xfId="0" applyNumberFormat="1" applyFont="1"/>
    <xf numFmtId="17" fontId="49" fillId="0" borderId="0" xfId="0" applyNumberFormat="1" applyFont="1"/>
    <xf numFmtId="0" fontId="49" fillId="0" borderId="0" xfId="0" applyFont="1" applyBorder="1"/>
    <xf numFmtId="168" fontId="1" fillId="0" borderId="1" xfId="0" applyNumberFormat="1" applyFont="1" applyBorder="1" applyAlignment="1">
      <alignment horizontal="center"/>
    </xf>
    <xf numFmtId="3" fontId="47" fillId="0" borderId="1" xfId="0" applyNumberFormat="1" applyFont="1" applyBorder="1" applyAlignment="1">
      <alignment horizontal="right"/>
    </xf>
    <xf numFmtId="3" fontId="47" fillId="4" borderId="1" xfId="0" applyNumberFormat="1" applyFont="1" applyFill="1" applyBorder="1" applyAlignment="1">
      <alignment horizontal="right"/>
    </xf>
    <xf numFmtId="168" fontId="49" fillId="0" borderId="0" xfId="0" applyNumberFormat="1" applyFont="1"/>
    <xf numFmtId="164" fontId="14" fillId="0" borderId="1" xfId="0" applyNumberFormat="1" applyFont="1" applyBorder="1" applyAlignment="1">
      <alignment horizontal="center"/>
    </xf>
    <xf numFmtId="164" fontId="47" fillId="0" borderId="0" xfId="0" applyNumberFormat="1" applyFont="1"/>
    <xf numFmtId="168" fontId="47" fillId="0" borderId="0" xfId="0" applyNumberFormat="1" applyFont="1"/>
    <xf numFmtId="166" fontId="1" fillId="2" borderId="1" xfId="0" applyNumberFormat="1" applyFont="1" applyFill="1" applyBorder="1" applyAlignment="1">
      <alignment horizontal="center" vertical="center" wrapText="1"/>
    </xf>
    <xf numFmtId="0" fontId="1" fillId="2" borderId="1" xfId="0" applyFont="1" applyFill="1" applyBorder="1" applyAlignment="1">
      <alignment vertical="center" wrapText="1"/>
    </xf>
    <xf numFmtId="164" fontId="5" fillId="0" borderId="1" xfId="0" applyNumberFormat="1" applyFont="1" applyFill="1" applyBorder="1" applyAlignment="1">
      <alignment horizontal="right" wrapText="1"/>
    </xf>
    <xf numFmtId="164" fontId="47" fillId="0" borderId="1" xfId="0" applyNumberFormat="1" applyFont="1" applyBorder="1"/>
    <xf numFmtId="164" fontId="5" fillId="0" borderId="0" xfId="0" applyNumberFormat="1" applyFont="1" applyFill="1" applyBorder="1" applyAlignment="1">
      <alignment horizontal="left" vertical="center" wrapText="1"/>
    </xf>
    <xf numFmtId="15" fontId="47" fillId="0" borderId="0" xfId="0" applyNumberFormat="1" applyFont="1" applyAlignment="1">
      <alignment horizontal="left"/>
    </xf>
    <xf numFmtId="166" fontId="1" fillId="0" borderId="1" xfId="0" applyNumberFormat="1" applyFont="1" applyBorder="1" applyAlignment="1">
      <alignment horizontal="center" vertical="center"/>
    </xf>
    <xf numFmtId="166" fontId="1" fillId="0" borderId="1" xfId="0" applyNumberFormat="1" applyFont="1" applyBorder="1" applyAlignment="1">
      <alignment horizontal="center" vertical="center" wrapText="1"/>
    </xf>
    <xf numFmtId="0" fontId="11" fillId="2" borderId="1" xfId="0" applyFont="1" applyFill="1" applyBorder="1" applyAlignment="1">
      <alignment vertical="center" wrapText="1"/>
    </xf>
    <xf numFmtId="164" fontId="11" fillId="0" borderId="1" xfId="0" applyNumberFormat="1" applyFont="1" applyFill="1" applyBorder="1" applyAlignment="1">
      <alignment horizontal="right" wrapText="1"/>
    </xf>
    <xf numFmtId="169" fontId="11" fillId="8" borderId="10" xfId="0" applyNumberFormat="1" applyFont="1" applyFill="1" applyBorder="1" applyAlignment="1">
      <alignment horizontal="right" wrapText="1"/>
    </xf>
    <xf numFmtId="0" fontId="2" fillId="2" borderId="1" xfId="0" applyFont="1" applyFill="1" applyBorder="1" applyAlignment="1">
      <alignment vertical="center" wrapText="1"/>
    </xf>
    <xf numFmtId="164" fontId="5" fillId="0" borderId="1" xfId="0" applyNumberFormat="1" applyFont="1" applyFill="1" applyBorder="1" applyAlignment="1">
      <alignment horizontal="right"/>
    </xf>
    <xf numFmtId="169" fontId="2" fillId="8" borderId="10" xfId="0" applyNumberFormat="1" applyFont="1" applyFill="1" applyBorder="1" applyAlignment="1">
      <alignment horizontal="right"/>
    </xf>
    <xf numFmtId="0" fontId="47" fillId="10" borderId="1" xfId="0" applyFont="1" applyFill="1" applyBorder="1"/>
    <xf numFmtId="17" fontId="1" fillId="2" borderId="1" xfId="0" applyNumberFormat="1" applyFont="1" applyFill="1" applyBorder="1" applyAlignment="1">
      <alignment horizontal="center" vertical="center" wrapText="1"/>
    </xf>
    <xf numFmtId="0" fontId="1" fillId="0" borderId="1" xfId="0" applyFont="1" applyBorder="1" applyAlignment="1">
      <alignment horizontal="center" wrapText="1"/>
    </xf>
    <xf numFmtId="166" fontId="1" fillId="0" borderId="1" xfId="0" applyNumberFormat="1" applyFont="1" applyFill="1" applyBorder="1" applyAlignment="1" applyProtection="1">
      <alignment horizontal="center"/>
      <protection locked="0"/>
    </xf>
    <xf numFmtId="2" fontId="47" fillId="0" borderId="0" xfId="0" applyNumberFormat="1" applyFont="1" applyAlignment="1">
      <alignment horizontal="left"/>
    </xf>
    <xf numFmtId="2" fontId="47" fillId="0" borderId="1" xfId="0" applyNumberFormat="1" applyFont="1" applyFill="1" applyBorder="1" applyAlignment="1" applyProtection="1">
      <alignment horizontal="center"/>
      <protection hidden="1"/>
    </xf>
    <xf numFmtId="2" fontId="47" fillId="0" borderId="1" xfId="0" applyNumberFormat="1" applyFont="1" applyFill="1" applyBorder="1" applyAlignment="1" applyProtection="1">
      <alignment horizontal="center"/>
      <protection locked="0"/>
    </xf>
    <xf numFmtId="2" fontId="47" fillId="0" borderId="0" xfId="0" applyNumberFormat="1" applyFont="1" applyFill="1" applyProtection="1">
      <protection hidden="1"/>
    </xf>
    <xf numFmtId="2" fontId="47" fillId="0" borderId="0" xfId="0" applyNumberFormat="1" applyFont="1" applyFill="1" applyProtection="1">
      <protection locked="0"/>
    </xf>
    <xf numFmtId="0" fontId="47" fillId="0" borderId="0" xfId="0" applyFont="1" applyFill="1" applyProtection="1">
      <protection locked="0"/>
    </xf>
    <xf numFmtId="0" fontId="47" fillId="0" borderId="1" xfId="0" applyFont="1" applyBorder="1" applyAlignment="1">
      <alignment horizontal="center"/>
    </xf>
    <xf numFmtId="2" fontId="47" fillId="0" borderId="0" xfId="0" applyNumberFormat="1" applyFont="1"/>
    <xf numFmtId="0" fontId="47" fillId="0" borderId="1" xfId="0" applyFont="1" applyFill="1" applyBorder="1" applyAlignment="1" applyProtection="1">
      <alignment horizontal="center"/>
      <protection locked="0"/>
    </xf>
    <xf numFmtId="2" fontId="47" fillId="0" borderId="1" xfId="0" applyNumberFormat="1" applyFont="1" applyBorder="1" applyAlignment="1">
      <alignment horizontal="center"/>
    </xf>
    <xf numFmtId="0" fontId="1" fillId="0" borderId="1" xfId="0" applyFont="1" applyBorder="1" applyAlignment="1">
      <alignment horizontal="center" vertical="center" wrapText="1"/>
    </xf>
    <xf numFmtId="0" fontId="47" fillId="0" borderId="0" xfId="0" applyFont="1" applyFill="1"/>
    <xf numFmtId="0" fontId="1" fillId="0" borderId="0" xfId="0" applyFont="1" applyBorder="1"/>
    <xf numFmtId="1" fontId="1" fillId="0" borderId="1" xfId="0" applyNumberFormat="1" applyFont="1" applyBorder="1" applyAlignment="1">
      <alignment horizontal="right"/>
    </xf>
    <xf numFmtId="0" fontId="2" fillId="0" borderId="1" xfId="0" applyFont="1" applyFill="1" applyBorder="1"/>
    <xf numFmtId="0" fontId="2" fillId="0" borderId="1" xfId="0" applyFont="1" applyBorder="1"/>
    <xf numFmtId="0" fontId="11" fillId="0" borderId="1" xfId="0" applyFont="1" applyBorder="1"/>
    <xf numFmtId="0" fontId="14" fillId="0" borderId="1" xfId="0" applyFont="1" applyBorder="1"/>
    <xf numFmtId="1" fontId="14" fillId="0" borderId="1" xfId="0" applyNumberFormat="1" applyFont="1" applyBorder="1" applyAlignment="1">
      <alignment horizontal="right"/>
    </xf>
    <xf numFmtId="1" fontId="14" fillId="0" borderId="1" xfId="0" applyNumberFormat="1" applyFont="1" applyBorder="1"/>
    <xf numFmtId="0" fontId="14" fillId="0" borderId="1" xfId="0" applyFont="1" applyBorder="1" applyAlignment="1">
      <alignment wrapText="1"/>
    </xf>
    <xf numFmtId="0" fontId="14" fillId="0" borderId="0" xfId="0" applyFont="1"/>
    <xf numFmtId="0" fontId="25" fillId="0" borderId="0" xfId="0" applyFont="1" applyFill="1"/>
    <xf numFmtId="0" fontId="1" fillId="0" borderId="1" xfId="0" applyFont="1" applyFill="1" applyBorder="1"/>
    <xf numFmtId="1" fontId="2" fillId="0" borderId="0" xfId="0" applyNumberFormat="1" applyFont="1" applyBorder="1" applyAlignment="1">
      <alignment horizontal="left"/>
    </xf>
    <xf numFmtId="1" fontId="47" fillId="0" borderId="0" xfId="0" applyNumberFormat="1" applyFont="1" applyBorder="1" applyAlignment="1">
      <alignment horizontal="left"/>
    </xf>
    <xf numFmtId="0" fontId="25" fillId="0" borderId="0" xfId="0" applyFont="1"/>
    <xf numFmtId="1" fontId="47" fillId="0" borderId="1" xfId="0" applyNumberFormat="1" applyFont="1" applyBorder="1"/>
    <xf numFmtId="1" fontId="14" fillId="0" borderId="1" xfId="0" applyNumberFormat="1" applyFont="1" applyFill="1" applyBorder="1"/>
    <xf numFmtId="1" fontId="47" fillId="0" borderId="1" xfId="0" applyNumberFormat="1" applyFont="1" applyFill="1" applyBorder="1"/>
    <xf numFmtId="0" fontId="14" fillId="0" borderId="0" xfId="0" applyFont="1" applyFill="1" applyBorder="1" applyAlignment="1">
      <alignment wrapText="1"/>
    </xf>
    <xf numFmtId="1" fontId="47" fillId="4" borderId="1" xfId="0" applyNumberFormat="1" applyFont="1" applyFill="1" applyBorder="1" applyAlignment="1">
      <alignment horizontal="right"/>
    </xf>
    <xf numFmtId="1" fontId="47" fillId="0" borderId="1" xfId="0" applyNumberFormat="1" applyFont="1" applyBorder="1" applyAlignment="1">
      <alignment horizontal="right"/>
    </xf>
    <xf numFmtId="0" fontId="2" fillId="0" borderId="1" xfId="0" applyFont="1" applyFill="1" applyBorder="1" applyAlignment="1">
      <alignment horizontal="left" vertical="center" wrapText="1"/>
    </xf>
    <xf numFmtId="166" fontId="1" fillId="0" borderId="1" xfId="0" applyNumberFormat="1" applyFont="1" applyFill="1" applyBorder="1" applyAlignment="1">
      <alignment horizontal="center" vertical="center"/>
    </xf>
    <xf numFmtId="0" fontId="1" fillId="2" borderId="1" xfId="0" applyFont="1" applyFill="1" applyBorder="1" applyAlignment="1">
      <alignment horizontal="left" vertical="center"/>
    </xf>
    <xf numFmtId="165" fontId="2" fillId="0" borderId="1" xfId="0" applyNumberFormat="1" applyFont="1" applyFill="1" applyBorder="1" applyAlignment="1">
      <alignment horizontal="right"/>
    </xf>
    <xf numFmtId="165" fontId="2" fillId="0" borderId="1" xfId="0" applyNumberFormat="1" applyFont="1" applyFill="1" applyBorder="1" applyAlignment="1">
      <alignment horizontal="right" wrapText="1"/>
    </xf>
    <xf numFmtId="165" fontId="2" fillId="2" borderId="1" xfId="0" applyNumberFormat="1" applyFont="1" applyFill="1" applyBorder="1" applyAlignment="1">
      <alignment horizontal="right" wrapText="1"/>
    </xf>
    <xf numFmtId="0" fontId="26" fillId="0" borderId="0" xfId="0" applyFont="1"/>
    <xf numFmtId="165" fontId="47" fillId="0" borderId="0" xfId="0" applyNumberFormat="1" applyFont="1" applyAlignment="1">
      <alignment horizontal="left"/>
    </xf>
    <xf numFmtId="0" fontId="47" fillId="0" borderId="0" xfId="0" applyFont="1" applyFill="1" applyBorder="1"/>
    <xf numFmtId="165" fontId="47" fillId="0" borderId="1" xfId="0" applyNumberFormat="1" applyFont="1" applyFill="1" applyBorder="1" applyAlignment="1">
      <alignment horizontal="right"/>
    </xf>
    <xf numFmtId="0" fontId="1" fillId="0" borderId="1" xfId="0" applyFont="1" applyBorder="1" applyAlignment="1">
      <alignment vertical="center" wrapText="1"/>
    </xf>
    <xf numFmtId="164" fontId="2"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164" fontId="47" fillId="0" borderId="0" xfId="0" applyNumberFormat="1" applyFont="1" applyAlignment="1">
      <alignment horizontal="left" wrapText="1"/>
    </xf>
    <xf numFmtId="0" fontId="1" fillId="0" borderId="0" xfId="0" applyFont="1" applyBorder="1" applyAlignment="1">
      <alignment vertical="center" wrapText="1"/>
    </xf>
    <xf numFmtId="164" fontId="47" fillId="0" borderId="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right"/>
    </xf>
    <xf numFmtId="0" fontId="2" fillId="0" borderId="1" xfId="0" applyFont="1" applyBorder="1" applyAlignment="1">
      <alignment horizontal="right" wrapText="1"/>
    </xf>
    <xf numFmtId="3" fontId="24" fillId="0" borderId="1" xfId="0" applyNumberFormat="1" applyFont="1" applyBorder="1" applyAlignment="1">
      <alignment horizontal="right" wrapText="1"/>
    </xf>
    <xf numFmtId="0" fontId="2" fillId="0" borderId="1" xfId="0" applyFont="1" applyBorder="1" applyAlignment="1">
      <alignment vertical="center"/>
    </xf>
    <xf numFmtId="0" fontId="2" fillId="0" borderId="1" xfId="0" applyFont="1" applyFill="1" applyBorder="1" applyAlignment="1">
      <alignment horizontal="right" wrapText="1"/>
    </xf>
    <xf numFmtId="0" fontId="2" fillId="0" borderId="0" xfId="0" applyFont="1" applyAlignment="1">
      <alignment horizontal="right"/>
    </xf>
    <xf numFmtId="0" fontId="2" fillId="0" borderId="1" xfId="0" applyFont="1" applyFill="1" applyBorder="1" applyAlignment="1">
      <alignment vertical="center"/>
    </xf>
    <xf numFmtId="3" fontId="47" fillId="0" borderId="0" xfId="0" applyNumberFormat="1" applyFont="1" applyAlignment="1">
      <alignment horizontal="left" wrapText="1"/>
    </xf>
    <xf numFmtId="0" fontId="2" fillId="0" borderId="1" xfId="0" applyFont="1" applyBorder="1" applyAlignment="1">
      <alignment horizontal="left" vertical="center"/>
    </xf>
    <xf numFmtId="164" fontId="11" fillId="0" borderId="1" xfId="0" applyNumberFormat="1" applyFont="1" applyBorder="1" applyAlignment="1">
      <alignment horizontal="right" wrapText="1"/>
    </xf>
    <xf numFmtId="0" fontId="2" fillId="0" borderId="1" xfId="0" applyFont="1" applyBorder="1" applyAlignment="1">
      <alignment horizontal="left" vertical="center" wrapText="1"/>
    </xf>
    <xf numFmtId="164" fontId="2" fillId="0" borderId="1" xfId="0" applyNumberFormat="1" applyFont="1" applyBorder="1" applyAlignment="1">
      <alignment horizontal="right" wrapText="1"/>
    </xf>
    <xf numFmtId="0" fontId="1" fillId="0" borderId="1" xfId="0" applyFont="1" applyFill="1" applyBorder="1" applyAlignment="1" applyProtection="1">
      <alignment horizontal="center" wrapText="1"/>
      <protection hidden="1"/>
    </xf>
    <xf numFmtId="0" fontId="1" fillId="0" borderId="1" xfId="0" applyFont="1" applyFill="1" applyBorder="1" applyAlignment="1" applyProtection="1">
      <alignment horizontal="center" wrapText="1"/>
      <protection locked="0"/>
    </xf>
    <xf numFmtId="2"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locked="0"/>
    </xf>
    <xf numFmtId="2" fontId="2" fillId="0" borderId="1" xfId="0" applyNumberFormat="1" applyFont="1" applyBorder="1" applyAlignment="1">
      <alignment horizontal="center"/>
    </xf>
    <xf numFmtId="0" fontId="27" fillId="0" borderId="0" xfId="0" applyFont="1"/>
    <xf numFmtId="0" fontId="1" fillId="0" borderId="1" xfId="0" applyFont="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164" fontId="2" fillId="0" borderId="1" xfId="0" applyNumberFormat="1" applyFont="1" applyFill="1" applyBorder="1" applyAlignment="1">
      <alignment horizontal="right"/>
    </xf>
    <xf numFmtId="164" fontId="2" fillId="0" borderId="1" xfId="0" quotePrefix="1" applyNumberFormat="1" applyFont="1" applyFill="1" applyBorder="1" applyAlignment="1">
      <alignment horizontal="right"/>
    </xf>
    <xf numFmtId="0" fontId="4" fillId="0" borderId="0" xfId="2" applyFont="1" applyAlignment="1">
      <alignment wrapText="1"/>
    </xf>
    <xf numFmtId="0" fontId="1" fillId="0" borderId="0" xfId="0" applyFont="1" applyAlignment="1">
      <alignment wrapText="1"/>
    </xf>
    <xf numFmtId="164" fontId="14" fillId="0" borderId="1" xfId="0" applyNumberFormat="1" applyFont="1" applyBorder="1" applyAlignment="1">
      <alignment horizontal="right"/>
    </xf>
    <xf numFmtId="0" fontId="14" fillId="0" borderId="1" xfId="0" applyFont="1" applyFill="1" applyBorder="1"/>
    <xf numFmtId="164" fontId="14" fillId="0" borderId="1" xfId="0" applyNumberFormat="1" applyFont="1" applyFill="1" applyBorder="1" applyAlignment="1">
      <alignment horizontal="right"/>
    </xf>
    <xf numFmtId="0" fontId="1" fillId="0" borderId="1" xfId="0" applyFont="1" applyBorder="1" applyAlignment="1">
      <alignment horizontal="center" vertical="center"/>
    </xf>
    <xf numFmtId="0" fontId="2" fillId="0" borderId="0" xfId="0" applyFont="1" applyFill="1" applyBorder="1"/>
    <xf numFmtId="0" fontId="47" fillId="0" borderId="0" xfId="0" applyFont="1" applyAlignment="1">
      <alignment horizontal="center"/>
    </xf>
    <xf numFmtId="0" fontId="2" fillId="0" borderId="1" xfId="0" applyFont="1" applyFill="1" applyBorder="1" applyAlignment="1">
      <alignment horizontal="center"/>
    </xf>
    <xf numFmtId="1" fontId="47" fillId="0" borderId="0" xfId="0" applyNumberFormat="1" applyFont="1" applyAlignment="1">
      <alignment horizontal="left"/>
    </xf>
    <xf numFmtId="2" fontId="5" fillId="0" borderId="1" xfId="0" applyNumberFormat="1" applyFont="1" applyFill="1" applyBorder="1" applyAlignment="1">
      <alignment horizontal="right" wrapText="1"/>
    </xf>
    <xf numFmtId="2" fontId="47" fillId="0" borderId="1" xfId="0" applyNumberFormat="1" applyFont="1" applyBorder="1"/>
    <xf numFmtId="2" fontId="1" fillId="0" borderId="1" xfId="0" applyNumberFormat="1" applyFont="1" applyBorder="1" applyAlignment="1">
      <alignment horizontal="center"/>
    </xf>
    <xf numFmtId="0" fontId="5" fillId="0" borderId="0" xfId="2" applyFont="1"/>
    <xf numFmtId="17" fontId="5" fillId="0" borderId="0" xfId="2" applyNumberFormat="1" applyFont="1" applyAlignment="1">
      <alignment horizontal="left"/>
    </xf>
    <xf numFmtId="0" fontId="2" fillId="0" borderId="0" xfId="0" applyFont="1" applyBorder="1" applyAlignment="1">
      <alignment horizontal="center" wrapText="1"/>
    </xf>
    <xf numFmtId="17" fontId="2" fillId="0" borderId="1" xfId="0" applyNumberFormat="1" applyFont="1" applyBorder="1" applyAlignment="1">
      <alignment horizontal="center"/>
    </xf>
    <xf numFmtId="0" fontId="47" fillId="0" borderId="0" xfId="0" applyFont="1" applyAlignment="1">
      <alignment horizontal="left" indent="1"/>
    </xf>
    <xf numFmtId="0" fontId="47" fillId="0" borderId="0" xfId="0" applyFont="1" applyAlignment="1">
      <alignment horizontal="left" indent="2"/>
    </xf>
    <xf numFmtId="166" fontId="1" fillId="2" borderId="1" xfId="0" applyNumberFormat="1" applyFont="1" applyFill="1" applyBorder="1" applyAlignment="1">
      <alignment horizontal="center" vertical="center"/>
    </xf>
    <xf numFmtId="3" fontId="2" fillId="0" borderId="1" xfId="0" applyNumberFormat="1" applyFont="1" applyBorder="1" applyAlignment="1">
      <alignment horizontal="right" wrapText="1"/>
    </xf>
    <xf numFmtId="0" fontId="47" fillId="0" borderId="9" xfId="0" applyFont="1" applyBorder="1"/>
    <xf numFmtId="0" fontId="11" fillId="0" borderId="1" xfId="0" applyFont="1" applyBorder="1" applyAlignment="1">
      <alignment vertical="center"/>
    </xf>
    <xf numFmtId="3" fontId="11" fillId="0" borderId="1" xfId="0" applyNumberFormat="1" applyFont="1" applyBorder="1" applyAlignment="1">
      <alignment horizontal="right" wrapText="1"/>
    </xf>
    <xf numFmtId="0" fontId="2" fillId="0" borderId="1" xfId="0" applyFont="1" applyBorder="1" applyAlignment="1">
      <alignment horizontal="center" vertical="center" wrapText="1"/>
    </xf>
    <xf numFmtId="0" fontId="2" fillId="0" borderId="18" xfId="0" applyFont="1" applyBorder="1"/>
    <xf numFmtId="164" fontId="2" fillId="0" borderId="1" xfId="10" applyNumberFormat="1" applyFont="1" applyBorder="1" applyAlignment="1">
      <alignment horizontal="right" wrapText="1"/>
    </xf>
    <xf numFmtId="0" fontId="2" fillId="0" borderId="0" xfId="0" applyFont="1" applyBorder="1" applyAlignment="1">
      <alignment vertical="center"/>
    </xf>
    <xf numFmtId="3" fontId="2" fillId="0" borderId="0" xfId="0" applyNumberFormat="1" applyFont="1" applyBorder="1" applyAlignment="1">
      <alignment horizontal="right"/>
    </xf>
    <xf numFmtId="3" fontId="2" fillId="0" borderId="0" xfId="0" applyNumberFormat="1" applyFont="1" applyBorder="1" applyAlignment="1">
      <alignment horizontal="right" wrapText="1"/>
    </xf>
    <xf numFmtId="0" fontId="2" fillId="0" borderId="0" xfId="0" applyFont="1" applyBorder="1" applyAlignment="1">
      <alignment horizontal="right" wrapText="1"/>
    </xf>
    <xf numFmtId="164" fontId="2" fillId="0" borderId="1" xfId="0" applyNumberFormat="1" applyFont="1" applyBorder="1" applyAlignment="1">
      <alignment horizontal="center" vertical="center"/>
    </xf>
    <xf numFmtId="0" fontId="25" fillId="0" borderId="0" xfId="2" applyFont="1"/>
    <xf numFmtId="164" fontId="2" fillId="0" borderId="0" xfId="0" applyNumberFormat="1" applyFont="1"/>
    <xf numFmtId="0" fontId="40" fillId="0" borderId="0" xfId="2" applyFont="1"/>
    <xf numFmtId="3" fontId="2" fillId="0" borderId="1" xfId="0" applyNumberFormat="1" applyFont="1" applyFill="1" applyBorder="1" applyAlignment="1">
      <alignment horizontal="left"/>
    </xf>
    <xf numFmtId="3" fontId="2" fillId="2" borderId="1" xfId="0" applyNumberFormat="1" applyFont="1" applyFill="1" applyBorder="1" applyAlignment="1">
      <alignment horizontal="right" wrapText="1"/>
    </xf>
    <xf numFmtId="3" fontId="2" fillId="0" borderId="1" xfId="0" applyNumberFormat="1" applyFont="1" applyFill="1" applyBorder="1" applyAlignment="1">
      <alignment horizontal="right"/>
    </xf>
    <xf numFmtId="3" fontId="2" fillId="0" borderId="1" xfId="0" applyNumberFormat="1" applyFont="1" applyFill="1" applyBorder="1" applyAlignment="1">
      <alignment horizontal="right" wrapText="1"/>
    </xf>
    <xf numFmtId="3" fontId="11" fillId="2" borderId="1" xfId="0" applyNumberFormat="1" applyFont="1" applyFill="1" applyBorder="1" applyAlignment="1">
      <alignment horizontal="right"/>
    </xf>
    <xf numFmtId="3" fontId="11" fillId="2" borderId="1" xfId="0" applyNumberFormat="1" applyFont="1" applyFill="1" applyBorder="1" applyAlignment="1">
      <alignment horizontal="right" wrapText="1"/>
    </xf>
    <xf numFmtId="165" fontId="2" fillId="0" borderId="1" xfId="0" applyNumberFormat="1" applyFont="1" applyFill="1" applyBorder="1" applyAlignment="1">
      <alignment horizontal="center"/>
    </xf>
    <xf numFmtId="0" fontId="1" fillId="0" borderId="0" xfId="0" applyFont="1" applyAlignment="1">
      <alignment horizontal="left" readingOrder="1"/>
    </xf>
    <xf numFmtId="0" fontId="17" fillId="0" borderId="0" xfId="0" applyFont="1"/>
    <xf numFmtId="0" fontId="1" fillId="0" borderId="0" xfId="0" applyFont="1" applyFill="1" applyBorder="1" applyAlignment="1">
      <alignment wrapText="1"/>
    </xf>
    <xf numFmtId="164" fontId="2" fillId="0" borderId="0" xfId="0" applyNumberFormat="1" applyFont="1" applyFill="1" applyBorder="1" applyAlignment="1">
      <alignment horizontal="right"/>
    </xf>
    <xf numFmtId="0" fontId="1" fillId="0" borderId="0" xfId="0" applyFont="1" applyAlignment="1">
      <alignment horizontal="right" vertical="center" readingOrder="1"/>
    </xf>
    <xf numFmtId="0" fontId="2" fillId="0" borderId="0" xfId="0" applyFont="1" applyAlignment="1">
      <alignment horizontal="left" wrapText="1"/>
    </xf>
    <xf numFmtId="0" fontId="5" fillId="0" borderId="0" xfId="2" applyFont="1" applyFill="1"/>
    <xf numFmtId="0" fontId="1" fillId="0" borderId="1" xfId="0" applyFont="1" applyFill="1" applyBorder="1" applyAlignment="1">
      <alignment wrapText="1"/>
    </xf>
    <xf numFmtId="9" fontId="47" fillId="0" borderId="0" xfId="0" applyNumberFormat="1" applyFont="1" applyBorder="1"/>
    <xf numFmtId="9" fontId="47" fillId="0" borderId="0" xfId="0" applyNumberFormat="1" applyFont="1"/>
    <xf numFmtId="2" fontId="11" fillId="0" borderId="1" xfId="0" applyNumberFormat="1" applyFont="1" applyBorder="1" applyAlignment="1">
      <alignment wrapText="1"/>
    </xf>
    <xf numFmtId="0" fontId="41" fillId="0" borderId="0" xfId="0" applyFont="1"/>
    <xf numFmtId="10" fontId="11" fillId="0" borderId="1" xfId="0" applyNumberFormat="1" applyFont="1" applyBorder="1" applyAlignment="1">
      <alignment horizontal="right"/>
    </xf>
    <xf numFmtId="10" fontId="11" fillId="0" borderId="1" xfId="9" applyNumberFormat="1" applyFont="1" applyBorder="1" applyAlignment="1">
      <alignment horizontal="right"/>
    </xf>
    <xf numFmtId="10" fontId="47" fillId="0" borderId="0" xfId="0" applyNumberFormat="1" applyFont="1" applyAlignment="1">
      <alignment horizontal="left"/>
    </xf>
    <xf numFmtId="10" fontId="2" fillId="0" borderId="1" xfId="0" applyNumberFormat="1" applyFont="1" applyFill="1" applyBorder="1" applyAlignment="1">
      <alignment horizontal="right"/>
    </xf>
    <xf numFmtId="10" fontId="47" fillId="0" borderId="1" xfId="0" applyNumberFormat="1" applyFont="1" applyBorder="1" applyAlignment="1">
      <alignment horizontal="right"/>
    </xf>
    <xf numFmtId="0" fontId="11" fillId="0" borderId="1" xfId="0" applyFont="1" applyFill="1" applyBorder="1" applyAlignment="1">
      <alignment horizontal="right"/>
    </xf>
    <xf numFmtId="0" fontId="11" fillId="0" borderId="1" xfId="0" applyFont="1" applyBorder="1" applyAlignment="1">
      <alignment horizontal="right"/>
    </xf>
    <xf numFmtId="1" fontId="24" fillId="0" borderId="1" xfId="0" applyNumberFormat="1" applyFont="1" applyFill="1" applyBorder="1" applyAlignment="1">
      <alignment horizontal="right"/>
    </xf>
    <xf numFmtId="0" fontId="5" fillId="0" borderId="0" xfId="0" applyFont="1" applyFill="1" applyAlignment="1">
      <alignment horizontal="left"/>
    </xf>
    <xf numFmtId="17" fontId="47" fillId="0" borderId="0" xfId="0" applyNumberFormat="1" applyFont="1" applyFill="1" applyAlignment="1">
      <alignment horizontal="left"/>
    </xf>
    <xf numFmtId="0" fontId="14" fillId="0" borderId="0" xfId="0" applyFont="1" applyFill="1" applyBorder="1" applyAlignment="1">
      <alignment horizontal="right"/>
    </xf>
    <xf numFmtId="0" fontId="2" fillId="0" borderId="0" xfId="0" applyFont="1" applyFill="1" applyBorder="1" applyAlignment="1">
      <alignment horizontal="right"/>
    </xf>
    <xf numFmtId="0" fontId="2" fillId="0" borderId="0" xfId="0" applyFont="1" applyFill="1" applyBorder="1" applyAlignment="1">
      <alignment wrapText="1"/>
    </xf>
    <xf numFmtId="0" fontId="2" fillId="0" borderId="0" xfId="0" applyFont="1" applyAlignment="1"/>
    <xf numFmtId="10" fontId="2" fillId="0" borderId="0" xfId="0" applyNumberFormat="1" applyFont="1" applyAlignment="1"/>
    <xf numFmtId="164" fontId="15" fillId="0" borderId="0" xfId="0" applyNumberFormat="1" applyFont="1" applyBorder="1" applyAlignment="1">
      <alignment horizontal="center"/>
    </xf>
    <xf numFmtId="164" fontId="5" fillId="0" borderId="0" xfId="2" applyNumberFormat="1" applyFont="1" applyAlignment="1">
      <alignment horizontal="left"/>
    </xf>
    <xf numFmtId="164" fontId="2" fillId="7" borderId="1" xfId="0" applyNumberFormat="1" applyFont="1" applyFill="1" applyBorder="1" applyAlignment="1">
      <alignment horizontal="right"/>
    </xf>
    <xf numFmtId="0" fontId="42" fillId="0" borderId="1" xfId="0" applyFont="1" applyBorder="1" applyAlignment="1">
      <alignment wrapText="1"/>
    </xf>
    <xf numFmtId="0" fontId="47" fillId="0" borderId="0" xfId="0" applyFont="1" applyAlignment="1"/>
    <xf numFmtId="0" fontId="35" fillId="0" borderId="0" xfId="0" applyFont="1"/>
    <xf numFmtId="0" fontId="46" fillId="0" borderId="0" xfId="2" applyFont="1" applyFill="1"/>
    <xf numFmtId="0" fontId="1" fillId="0" borderId="0" xfId="0" applyFont="1" applyAlignment="1">
      <alignment horizontal="center"/>
    </xf>
    <xf numFmtId="17" fontId="47" fillId="0" borderId="0" xfId="0" applyNumberFormat="1" applyFont="1" applyAlignment="1">
      <alignment horizontal="center"/>
    </xf>
    <xf numFmtId="15" fontId="47" fillId="0" borderId="0" xfId="0" applyNumberFormat="1" applyFont="1" applyAlignment="1">
      <alignment horizontal="center"/>
    </xf>
    <xf numFmtId="0" fontId="46" fillId="0" borderId="0" xfId="2" applyFont="1" applyAlignment="1">
      <alignment horizontal="center"/>
    </xf>
    <xf numFmtId="0" fontId="47" fillId="0" borderId="0" xfId="0" applyFont="1" applyAlignment="1">
      <alignment horizontal="center" wrapText="1"/>
    </xf>
    <xf numFmtId="0" fontId="2" fillId="0" borderId="0" xfId="0" applyFont="1" applyFill="1" applyAlignment="1">
      <alignment horizontal="center"/>
    </xf>
    <xf numFmtId="0" fontId="2" fillId="4" borderId="0" xfId="0" applyFont="1" applyFill="1"/>
    <xf numFmtId="1" fontId="1" fillId="0" borderId="0" xfId="0" applyNumberFormat="1" applyFont="1" applyBorder="1" applyAlignment="1">
      <alignment horizontal="right"/>
    </xf>
    <xf numFmtId="0" fontId="11" fillId="0" borderId="1" xfId="0" applyFont="1" applyBorder="1" applyAlignment="1">
      <alignment horizontal="center"/>
    </xf>
    <xf numFmtId="0" fontId="11" fillId="0" borderId="1" xfId="0" applyFont="1" applyBorder="1" applyAlignment="1">
      <alignment horizontal="center" wrapText="1"/>
    </xf>
    <xf numFmtId="0" fontId="11" fillId="0" borderId="1" xfId="0" applyFont="1" applyBorder="1" applyAlignment="1">
      <alignment horizontal="right" wrapText="1"/>
    </xf>
    <xf numFmtId="0" fontId="48" fillId="0" borderId="1" xfId="0" applyFont="1" applyBorder="1"/>
    <xf numFmtId="0" fontId="48" fillId="0" borderId="1" xfId="0" applyFont="1" applyBorder="1" applyAlignment="1">
      <alignment wrapText="1"/>
    </xf>
    <xf numFmtId="0" fontId="4" fillId="0" borderId="1" xfId="0" applyFont="1" applyBorder="1" applyAlignment="1">
      <alignment horizontal="left"/>
    </xf>
    <xf numFmtId="3" fontId="5" fillId="0" borderId="1" xfId="2" applyNumberFormat="1" applyFont="1" applyBorder="1" applyAlignment="1">
      <alignment horizontal="right" wrapText="1"/>
    </xf>
    <xf numFmtId="3" fontId="5" fillId="0" borderId="1" xfId="0" applyNumberFormat="1" applyFont="1" applyBorder="1" applyAlignment="1">
      <alignment horizontal="right" wrapText="1"/>
    </xf>
    <xf numFmtId="164" fontId="50" fillId="0" borderId="1" xfId="0" applyNumberFormat="1" applyFont="1" applyBorder="1" applyAlignment="1">
      <alignment horizontal="right" wrapText="1"/>
    </xf>
    <xf numFmtId="170" fontId="5" fillId="0" borderId="1" xfId="1" applyNumberFormat="1" applyFont="1" applyBorder="1" applyAlignment="1">
      <alignment horizontal="right" wrapText="1"/>
    </xf>
    <xf numFmtId="0" fontId="47" fillId="0" borderId="0" xfId="0" applyNumberFormat="1" applyFont="1" applyFill="1" applyAlignment="1">
      <alignment horizontal="left"/>
    </xf>
    <xf numFmtId="9" fontId="5" fillId="0" borderId="0" xfId="0" applyNumberFormat="1" applyFont="1" applyAlignment="1">
      <alignment horizontal="left"/>
    </xf>
    <xf numFmtId="165" fontId="5" fillId="0" borderId="0" xfId="0" applyNumberFormat="1" applyFont="1" applyAlignment="1">
      <alignment horizontal="left"/>
    </xf>
    <xf numFmtId="0" fontId="0" fillId="0" borderId="0" xfId="0" applyNumberFormat="1" applyAlignment="1">
      <alignment horizontal="left"/>
    </xf>
    <xf numFmtId="0" fontId="1" fillId="0" borderId="0" xfId="0" applyFont="1" applyFill="1" applyBorder="1" applyAlignment="1">
      <alignment horizontal="left" vertical="center"/>
    </xf>
    <xf numFmtId="0" fontId="32" fillId="10"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60" fillId="0" borderId="0" xfId="2" applyAlignment="1">
      <alignment horizontal="center"/>
    </xf>
    <xf numFmtId="0" fontId="52" fillId="0" borderId="1" xfId="0" applyFont="1" applyBorder="1" applyAlignment="1">
      <alignment horizontal="right" wrapText="1"/>
    </xf>
    <xf numFmtId="0" fontId="6" fillId="2" borderId="4" xfId="0" applyFont="1" applyFill="1" applyBorder="1" applyAlignment="1">
      <alignment horizontal="left" vertical="center"/>
    </xf>
    <xf numFmtId="10" fontId="47" fillId="0" borderId="0" xfId="0" applyNumberFormat="1" applyFont="1"/>
    <xf numFmtId="2" fontId="1" fillId="0" borderId="0" xfId="0" applyNumberFormat="1" applyFont="1" applyBorder="1" applyAlignment="1">
      <alignment horizontal="center"/>
    </xf>
    <xf numFmtId="2" fontId="18" fillId="0" borderId="5" xfId="0" applyNumberFormat="1" applyFont="1" applyFill="1" applyBorder="1" applyAlignment="1">
      <alignment horizontal="center" vertical="center" wrapText="1"/>
    </xf>
    <xf numFmtId="0" fontId="48" fillId="2" borderId="1" xfId="0" applyFont="1" applyFill="1" applyBorder="1" applyAlignment="1">
      <alignment horizontal="left" vertical="center"/>
    </xf>
    <xf numFmtId="165" fontId="48" fillId="0" borderId="1" xfId="0" applyNumberFormat="1" applyFont="1" applyFill="1" applyBorder="1" applyAlignment="1">
      <alignment horizontal="right"/>
    </xf>
    <xf numFmtId="165" fontId="48" fillId="0" borderId="1" xfId="0" applyNumberFormat="1" applyFont="1" applyFill="1" applyBorder="1" applyAlignment="1">
      <alignment horizontal="right" wrapText="1"/>
    </xf>
    <xf numFmtId="165" fontId="48" fillId="2" borderId="1" xfId="0" applyNumberFormat="1" applyFont="1" applyFill="1" applyBorder="1" applyAlignment="1">
      <alignment horizontal="right" wrapText="1"/>
    </xf>
    <xf numFmtId="0" fontId="48" fillId="0" borderId="0" xfId="0" applyFont="1"/>
    <xf numFmtId="1" fontId="1" fillId="0" borderId="1" xfId="0" applyNumberFormat="1" applyFont="1" applyBorder="1" applyAlignment="1">
      <alignment horizontal="right" wrapText="1"/>
    </xf>
    <xf numFmtId="0" fontId="53" fillId="0" borderId="1" xfId="0" applyFont="1" applyBorder="1"/>
    <xf numFmtId="164" fontId="53" fillId="0" borderId="1" xfId="0" applyNumberFormat="1" applyFont="1" applyBorder="1"/>
    <xf numFmtId="0" fontId="47" fillId="0" borderId="1" xfId="0" applyFont="1" applyFill="1" applyBorder="1"/>
    <xf numFmtId="0" fontId="47" fillId="0" borderId="1" xfId="0" applyFont="1" applyFill="1" applyBorder="1" applyAlignment="1">
      <alignment horizontal="center"/>
    </xf>
    <xf numFmtId="0" fontId="52" fillId="0" borderId="1" xfId="0" applyFont="1" applyBorder="1" applyAlignment="1">
      <alignment vertical="center" wrapText="1"/>
    </xf>
    <xf numFmtId="3" fontId="52" fillId="0" borderId="1" xfId="0" applyNumberFormat="1" applyFont="1" applyBorder="1" applyAlignment="1">
      <alignment horizontal="right"/>
    </xf>
    <xf numFmtId="3" fontId="52" fillId="0" borderId="1" xfId="0" applyNumberFormat="1" applyFont="1" applyBorder="1" applyAlignment="1">
      <alignment horizontal="right" wrapText="1"/>
    </xf>
    <xf numFmtId="0" fontId="52" fillId="0" borderId="1" xfId="0" applyFont="1" applyBorder="1" applyAlignment="1">
      <alignment horizontal="right"/>
    </xf>
    <xf numFmtId="0" fontId="52" fillId="0" borderId="1" xfId="0" applyFont="1" applyFill="1" applyBorder="1" applyAlignment="1">
      <alignment horizontal="right" wrapText="1"/>
    </xf>
    <xf numFmtId="0" fontId="54" fillId="0" borderId="1" xfId="0" applyFont="1" applyBorder="1" applyAlignment="1">
      <alignment vertical="center" wrapText="1"/>
    </xf>
    <xf numFmtId="3" fontId="54" fillId="0" borderId="1" xfId="0" applyNumberFormat="1" applyFont="1" applyBorder="1" applyAlignment="1">
      <alignment horizontal="right"/>
    </xf>
    <xf numFmtId="0" fontId="51" fillId="0" borderId="0" xfId="0" applyFont="1" applyFill="1"/>
    <xf numFmtId="17" fontId="6" fillId="0" borderId="4" xfId="0" applyNumberFormat="1" applyFont="1" applyBorder="1" applyAlignment="1">
      <alignment horizontal="center" vertical="center" wrapText="1"/>
    </xf>
    <xf numFmtId="0" fontId="45" fillId="0" borderId="2" xfId="0" applyFont="1" applyBorder="1" applyAlignment="1">
      <alignment horizontal="center" vertical="center" wrapText="1"/>
    </xf>
    <xf numFmtId="0" fontId="45" fillId="0" borderId="2" xfId="0" applyFont="1" applyFill="1" applyBorder="1" applyAlignment="1">
      <alignment horizontal="center" vertical="center" wrapText="1"/>
    </xf>
    <xf numFmtId="0" fontId="45" fillId="0" borderId="2" xfId="0" applyFont="1" applyBorder="1" applyAlignment="1">
      <alignment horizontal="center" vertical="center"/>
    </xf>
    <xf numFmtId="0" fontId="45" fillId="2" borderId="2" xfId="0" applyFont="1" applyFill="1" applyBorder="1" applyAlignment="1">
      <alignment horizontal="center" vertical="center" wrapText="1"/>
    </xf>
    <xf numFmtId="0" fontId="45" fillId="0" borderId="16" xfId="0" applyFont="1" applyBorder="1" applyAlignment="1">
      <alignment horizontal="center" vertical="center" wrapText="1"/>
    </xf>
    <xf numFmtId="166" fontId="45" fillId="0" borderId="2" xfId="0" applyNumberFormat="1" applyFont="1" applyBorder="1" applyAlignment="1">
      <alignment horizontal="center" vertical="center" wrapText="1"/>
    </xf>
    <xf numFmtId="17" fontId="45" fillId="2" borderId="5" xfId="0" applyNumberFormat="1" applyFont="1" applyFill="1" applyBorder="1" applyAlignment="1">
      <alignment horizontal="center" vertical="center" wrapText="1"/>
    </xf>
    <xf numFmtId="17" fontId="45" fillId="2" borderId="2" xfId="0" applyNumberFormat="1" applyFont="1" applyFill="1" applyBorder="1" applyAlignment="1">
      <alignment horizontal="center" vertical="center" wrapText="1"/>
    </xf>
    <xf numFmtId="166" fontId="45" fillId="2" borderId="2"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xf>
    <xf numFmtId="0" fontId="45" fillId="0" borderId="16" xfId="0" applyFont="1" applyFill="1" applyBorder="1" applyAlignment="1">
      <alignment horizontal="center" vertical="center"/>
    </xf>
    <xf numFmtId="17" fontId="45" fillId="0" borderId="5" xfId="0" applyNumberFormat="1" applyFont="1" applyBorder="1" applyAlignment="1">
      <alignment horizontal="center" vertical="center" wrapText="1"/>
    </xf>
    <xf numFmtId="17" fontId="45" fillId="0" borderId="5" xfId="0" applyNumberFormat="1" applyFont="1" applyFill="1" applyBorder="1" applyAlignment="1">
      <alignment horizontal="center" vertical="center" wrapText="1"/>
    </xf>
    <xf numFmtId="166" fontId="45" fillId="0" borderId="2" xfId="0" applyNumberFormat="1" applyFont="1" applyFill="1" applyBorder="1" applyAlignment="1">
      <alignment horizontal="center" vertical="center" wrapText="1"/>
    </xf>
    <xf numFmtId="0" fontId="45" fillId="0" borderId="12" xfId="0" applyFont="1" applyFill="1" applyBorder="1" applyAlignment="1">
      <alignment horizontal="center" vertical="center"/>
    </xf>
    <xf numFmtId="166" fontId="45" fillId="0" borderId="2" xfId="0" applyNumberFormat="1" applyFont="1" applyFill="1" applyBorder="1" applyAlignment="1">
      <alignment horizontal="center" vertical="center"/>
    </xf>
    <xf numFmtId="17" fontId="45" fillId="0" borderId="3" xfId="0" applyNumberFormat="1" applyFont="1" applyBorder="1" applyAlignment="1">
      <alignment horizontal="center" vertical="center" wrapText="1"/>
    </xf>
    <xf numFmtId="0" fontId="45" fillId="2" borderId="3" xfId="0" applyFont="1" applyFill="1" applyBorder="1" applyAlignment="1">
      <alignment horizontal="center" vertical="center"/>
    </xf>
    <xf numFmtId="166" fontId="45" fillId="2" borderId="2" xfId="0" applyNumberFormat="1" applyFont="1" applyFill="1" applyBorder="1" applyAlignment="1">
      <alignment horizontal="center" vertical="center"/>
    </xf>
    <xf numFmtId="0" fontId="45" fillId="0" borderId="3" xfId="0" applyFont="1" applyFill="1" applyBorder="1" applyAlignment="1">
      <alignment horizontal="center" vertical="center"/>
    </xf>
    <xf numFmtId="170" fontId="2" fillId="0" borderId="13" xfId="1" applyNumberFormat="1" applyFont="1" applyBorder="1" applyAlignment="1">
      <alignment horizontal="right" vertical="center" wrapText="1"/>
    </xf>
    <xf numFmtId="164" fontId="4" fillId="0" borderId="1" xfId="0" applyNumberFormat="1" applyFont="1" applyBorder="1" applyAlignment="1">
      <alignment horizontal="right"/>
    </xf>
    <xf numFmtId="0" fontId="14" fillId="4" borderId="1" xfId="0" applyFont="1" applyFill="1" applyBorder="1" applyAlignment="1">
      <alignment wrapText="1"/>
    </xf>
    <xf numFmtId="3" fontId="2" fillId="0" borderId="0" xfId="0" applyNumberFormat="1" applyFont="1" applyFill="1" applyBorder="1" applyAlignment="1">
      <alignment horizontal="right"/>
    </xf>
    <xf numFmtId="0" fontId="48" fillId="0" borderId="0" xfId="0" applyNumberFormat="1" applyFont="1"/>
    <xf numFmtId="3" fontId="2" fillId="2" borderId="9" xfId="0" applyNumberFormat="1" applyFont="1" applyFill="1" applyBorder="1" applyAlignment="1">
      <alignment horizontal="center"/>
    </xf>
    <xf numFmtId="164" fontId="5" fillId="0" borderId="1" xfId="0" applyNumberFormat="1" applyFont="1" applyBorder="1" applyAlignment="1">
      <alignment horizontal="right"/>
    </xf>
    <xf numFmtId="164" fontId="5" fillId="0" borderId="1" xfId="0" applyNumberFormat="1" applyFont="1" applyBorder="1" applyAlignment="1">
      <alignment horizontal="right" wrapText="1"/>
    </xf>
    <xf numFmtId="17" fontId="6" fillId="2" borderId="4" xfId="0" applyNumberFormat="1" applyFont="1" applyFill="1" applyBorder="1" applyAlignment="1">
      <alignment horizontal="center" vertical="center" wrapText="1"/>
    </xf>
    <xf numFmtId="0" fontId="57" fillId="0" borderId="1" xfId="0" applyFont="1" applyBorder="1" applyAlignment="1">
      <alignment wrapText="1"/>
    </xf>
    <xf numFmtId="3" fontId="57" fillId="0" borderId="1" xfId="0" applyNumberFormat="1" applyFont="1" applyBorder="1" applyAlignment="1">
      <alignment horizontal="right"/>
    </xf>
    <xf numFmtId="0" fontId="57" fillId="0" borderId="17" xfId="0" applyFont="1" applyBorder="1" applyAlignment="1">
      <alignment wrapText="1"/>
    </xf>
    <xf numFmtId="0" fontId="53" fillId="0" borderId="0" xfId="0" applyFont="1" applyFill="1"/>
    <xf numFmtId="17" fontId="2" fillId="0" borderId="0" xfId="0" applyNumberFormat="1" applyFont="1" applyAlignment="1">
      <alignment horizontal="left"/>
    </xf>
    <xf numFmtId="3" fontId="47" fillId="0" borderId="1" xfId="0" applyNumberFormat="1" applyFont="1" applyFill="1" applyBorder="1" applyAlignment="1">
      <alignment horizontal="right"/>
    </xf>
    <xf numFmtId="0" fontId="14" fillId="0" borderId="0" xfId="0" applyFont="1" applyBorder="1" applyAlignment="1">
      <alignment horizontal="center"/>
    </xf>
    <xf numFmtId="0" fontId="14" fillId="0" borderId="0" xfId="0" applyFont="1" applyBorder="1" applyAlignment="1">
      <alignment horizontal="right"/>
    </xf>
    <xf numFmtId="0" fontId="47" fillId="11" borderId="0" xfId="0" applyFont="1" applyFill="1"/>
    <xf numFmtId="1" fontId="47" fillId="0" borderId="1" xfId="0" applyNumberFormat="1" applyFont="1" applyFill="1" applyBorder="1" applyAlignment="1">
      <alignment horizontal="right"/>
    </xf>
    <xf numFmtId="1" fontId="47" fillId="11" borderId="1" xfId="0" applyNumberFormat="1" applyFont="1" applyFill="1" applyBorder="1" applyAlignment="1">
      <alignment horizontal="right"/>
    </xf>
    <xf numFmtId="3" fontId="47" fillId="11" borderId="1" xfId="0" applyNumberFormat="1" applyFont="1" applyFill="1" applyBorder="1" applyAlignment="1">
      <alignment horizontal="right"/>
    </xf>
    <xf numFmtId="3" fontId="47" fillId="12" borderId="1" xfId="0" applyNumberFormat="1" applyFont="1" applyFill="1" applyBorder="1" applyAlignment="1">
      <alignment horizontal="right"/>
    </xf>
    <xf numFmtId="2" fontId="2" fillId="0" borderId="1" xfId="0" applyNumberFormat="1" applyFont="1" applyFill="1" applyBorder="1" applyAlignment="1">
      <alignment horizontal="center"/>
    </xf>
    <xf numFmtId="17" fontId="6" fillId="2" borderId="5" xfId="0" applyNumberFormat="1" applyFont="1" applyFill="1" applyBorder="1" applyAlignment="1">
      <alignment horizontal="center" vertical="center" wrapText="1"/>
    </xf>
    <xf numFmtId="164" fontId="4" fillId="0" borderId="1" xfId="0" applyNumberFormat="1" applyFont="1" applyBorder="1" applyAlignment="1">
      <alignment horizontal="right" wrapText="1"/>
    </xf>
    <xf numFmtId="0" fontId="63" fillId="0" borderId="0" xfId="2" applyFont="1"/>
    <xf numFmtId="0" fontId="64" fillId="0" borderId="0" xfId="0" applyFont="1"/>
    <xf numFmtId="0" fontId="64" fillId="0" borderId="1" xfId="0" applyFont="1" applyBorder="1"/>
    <xf numFmtId="164" fontId="64" fillId="0" borderId="1" xfId="0" applyNumberFormat="1" applyFont="1" applyBorder="1" applyAlignment="1">
      <alignment horizontal="right"/>
    </xf>
    <xf numFmtId="0" fontId="64" fillId="0" borderId="1" xfId="0" applyFont="1" applyBorder="1" applyAlignment="1">
      <alignment vertical="center"/>
    </xf>
    <xf numFmtId="3" fontId="64" fillId="0" borderId="1" xfId="0" applyNumberFormat="1" applyFont="1" applyBorder="1" applyAlignment="1">
      <alignment horizontal="right"/>
    </xf>
    <xf numFmtId="164" fontId="2" fillId="0" borderId="0" xfId="0" applyNumberFormat="1" applyFont="1" applyAlignment="1">
      <alignment horizontal="left"/>
    </xf>
    <xf numFmtId="0" fontId="2" fillId="0" borderId="0" xfId="0" applyNumberFormat="1" applyFont="1" applyAlignment="1">
      <alignment horizontal="left"/>
    </xf>
    <xf numFmtId="0" fontId="67" fillId="0" borderId="0" xfId="0" applyFont="1"/>
    <xf numFmtId="0" fontId="68" fillId="0" borderId="0" xfId="0" applyFont="1"/>
    <xf numFmtId="0" fontId="2" fillId="7" borderId="11" xfId="0" applyNumberFormat="1" applyFont="1" applyFill="1" applyBorder="1" applyAlignment="1">
      <alignment horizontal="left"/>
    </xf>
    <xf numFmtId="164" fontId="2" fillId="7" borderId="11" xfId="0" applyNumberFormat="1" applyFont="1" applyFill="1" applyBorder="1" applyAlignment="1">
      <alignment horizontal="right"/>
    </xf>
    <xf numFmtId="0" fontId="59" fillId="7" borderId="1" xfId="0" applyNumberFormat="1" applyFont="1" applyFill="1" applyBorder="1" applyAlignment="1">
      <alignment horizontal="left"/>
    </xf>
    <xf numFmtId="0" fontId="2" fillId="0" borderId="0" xfId="0" applyNumberFormat="1" applyFont="1"/>
    <xf numFmtId="0" fontId="21" fillId="2" borderId="0" xfId="0" applyNumberFormat="1" applyFont="1" applyFill="1"/>
    <xf numFmtId="0" fontId="21" fillId="0" borderId="0" xfId="0" applyNumberFormat="1" applyFont="1"/>
    <xf numFmtId="164" fontId="69" fillId="0" borderId="1" xfId="0" applyNumberFormat="1" applyFont="1" applyBorder="1" applyAlignment="1">
      <alignment horizontal="right"/>
    </xf>
    <xf numFmtId="0" fontId="70" fillId="0" borderId="1" xfId="0" applyFont="1" applyBorder="1" applyAlignment="1">
      <alignment horizontal="right"/>
    </xf>
    <xf numFmtId="1" fontId="62" fillId="0" borderId="1" xfId="0" applyNumberFormat="1" applyFont="1" applyBorder="1" applyAlignment="1">
      <alignment horizontal="right"/>
    </xf>
    <xf numFmtId="2" fontId="65" fillId="0" borderId="1" xfId="0" applyNumberFormat="1" applyFont="1" applyFill="1" applyBorder="1" applyAlignment="1">
      <alignment horizontal="center"/>
    </xf>
    <xf numFmtId="0" fontId="2" fillId="0" borderId="0" xfId="0" applyFont="1" applyFill="1"/>
    <xf numFmtId="0" fontId="62" fillId="0" borderId="0" xfId="0" applyFont="1" applyFill="1"/>
    <xf numFmtId="0" fontId="73" fillId="0" borderId="1" xfId="0" applyFont="1" applyBorder="1"/>
    <xf numFmtId="0" fontId="74" fillId="0" borderId="1" xfId="0" applyFont="1" applyBorder="1" applyAlignment="1">
      <alignment wrapText="1"/>
    </xf>
    <xf numFmtId="0" fontId="74" fillId="0" borderId="1" xfId="0" applyFont="1" applyFill="1" applyBorder="1" applyAlignment="1">
      <alignment wrapText="1"/>
    </xf>
    <xf numFmtId="0" fontId="62" fillId="0" borderId="0" xfId="0" applyFont="1"/>
    <xf numFmtId="166" fontId="75" fillId="0" borderId="1" xfId="0" applyNumberFormat="1" applyFont="1" applyFill="1" applyBorder="1" applyAlignment="1" applyProtection="1">
      <alignment horizontal="center"/>
      <protection locked="0"/>
    </xf>
    <xf numFmtId="2" fontId="65" fillId="0" borderId="1" xfId="0" applyNumberFormat="1" applyFont="1" applyFill="1" applyBorder="1" applyAlignment="1" applyProtection="1">
      <alignment horizontal="center"/>
      <protection hidden="1"/>
    </xf>
    <xf numFmtId="0" fontId="73" fillId="0" borderId="0" xfId="0" applyFont="1"/>
    <xf numFmtId="0" fontId="76" fillId="0" borderId="0" xfId="0" applyFont="1" applyBorder="1"/>
    <xf numFmtId="0" fontId="76" fillId="0" borderId="0" xfId="0" applyFont="1"/>
    <xf numFmtId="9" fontId="6" fillId="2" borderId="4" xfId="0" applyNumberFormat="1" applyFont="1" applyFill="1" applyBorder="1" applyAlignment="1">
      <alignment horizontal="left" vertical="center"/>
    </xf>
    <xf numFmtId="1" fontId="73" fillId="0" borderId="1" xfId="0" applyNumberFormat="1" applyFont="1" applyBorder="1" applyAlignment="1">
      <alignment horizontal="right"/>
    </xf>
    <xf numFmtId="0" fontId="73" fillId="0" borderId="0" xfId="0" applyFont="1" applyFill="1"/>
    <xf numFmtId="0" fontId="79" fillId="0" borderId="1" xfId="0" applyFont="1" applyFill="1" applyBorder="1" applyAlignment="1">
      <alignment wrapText="1"/>
    </xf>
    <xf numFmtId="0" fontId="80" fillId="12" borderId="1" xfId="0" applyFont="1" applyFill="1" applyBorder="1" applyAlignment="1">
      <alignment wrapText="1"/>
    </xf>
    <xf numFmtId="0" fontId="62" fillId="12" borderId="1" xfId="0" applyNumberFormat="1" applyFont="1" applyFill="1" applyBorder="1" applyAlignment="1">
      <alignment horizontal="left" wrapText="1"/>
    </xf>
    <xf numFmtId="0" fontId="65" fillId="0" borderId="0" xfId="0" applyFont="1" applyFill="1"/>
    <xf numFmtId="0" fontId="80" fillId="0" borderId="1" xfId="0" applyFont="1" applyFill="1" applyBorder="1" applyAlignment="1">
      <alignment wrapText="1"/>
    </xf>
    <xf numFmtId="0" fontId="74" fillId="0" borderId="1" xfId="0" applyFont="1" applyFill="1" applyBorder="1"/>
    <xf numFmtId="0" fontId="74" fillId="0" borderId="0" xfId="0" applyFont="1" applyFill="1"/>
    <xf numFmtId="3" fontId="2" fillId="0" borderId="0" xfId="0" applyNumberFormat="1" applyFont="1" applyBorder="1"/>
    <xf numFmtId="0" fontId="52" fillId="0" borderId="0" xfId="0" applyFont="1" applyBorder="1" applyAlignment="1">
      <alignment vertical="center" wrapText="1"/>
    </xf>
    <xf numFmtId="3" fontId="52" fillId="0" borderId="0" xfId="0" applyNumberFormat="1" applyFont="1" applyBorder="1" applyAlignment="1">
      <alignment horizontal="right"/>
    </xf>
    <xf numFmtId="3" fontId="52" fillId="0" borderId="0" xfId="0" applyNumberFormat="1" applyFont="1" applyBorder="1" applyAlignment="1">
      <alignment horizontal="right" wrapText="1"/>
    </xf>
    <xf numFmtId="0" fontId="52" fillId="0" borderId="0" xfId="0" applyFont="1" applyBorder="1" applyAlignment="1">
      <alignment horizontal="right" wrapText="1"/>
    </xf>
    <xf numFmtId="3" fontId="24" fillId="0" borderId="0" xfId="0" applyNumberFormat="1" applyFont="1" applyBorder="1" applyAlignment="1">
      <alignment horizontal="right" wrapText="1"/>
    </xf>
    <xf numFmtId="0" fontId="24" fillId="0" borderId="0" xfId="0" applyFont="1" applyBorder="1" applyAlignment="1">
      <alignment vertical="center" wrapText="1"/>
    </xf>
    <xf numFmtId="0" fontId="73" fillId="0" borderId="1" xfId="0" applyFont="1" applyBorder="1" applyAlignment="1">
      <alignment vertical="center" wrapText="1"/>
    </xf>
    <xf numFmtId="0" fontId="74" fillId="0" borderId="12" xfId="0" applyFont="1" applyFill="1" applyBorder="1" applyAlignment="1">
      <alignment wrapText="1"/>
    </xf>
    <xf numFmtId="0" fontId="79" fillId="0" borderId="12" xfId="0" applyFont="1" applyFill="1" applyBorder="1" applyAlignment="1">
      <alignment wrapText="1"/>
    </xf>
    <xf numFmtId="3" fontId="73" fillId="0" borderId="1" xfId="0" applyNumberFormat="1" applyFont="1" applyBorder="1" applyAlignment="1">
      <alignment horizontal="right"/>
    </xf>
    <xf numFmtId="3" fontId="73" fillId="0" borderId="1" xfId="0" applyNumberFormat="1" applyFont="1" applyBorder="1" applyAlignment="1">
      <alignment horizontal="right" wrapText="1"/>
    </xf>
    <xf numFmtId="0" fontId="73" fillId="0" borderId="1" xfId="0" applyFont="1" applyBorder="1" applyAlignment="1">
      <alignment horizontal="right" wrapText="1"/>
    </xf>
    <xf numFmtId="164" fontId="82" fillId="0" borderId="1" xfId="0" applyNumberFormat="1" applyFont="1" applyBorder="1" applyAlignment="1">
      <alignment horizontal="right"/>
    </xf>
    <xf numFmtId="164" fontId="82" fillId="0" borderId="1" xfId="0" applyNumberFormat="1" applyFont="1" applyBorder="1" applyAlignment="1">
      <alignment horizontal="right" wrapText="1"/>
    </xf>
    <xf numFmtId="0" fontId="21" fillId="18" borderId="0" xfId="0" applyFont="1" applyFill="1"/>
    <xf numFmtId="0" fontId="73" fillId="0" borderId="1" xfId="0" applyFont="1" applyBorder="1" applyAlignment="1">
      <alignment horizontal="left" vertical="center"/>
    </xf>
    <xf numFmtId="0" fontId="73" fillId="0" borderId="12" xfId="0" applyFont="1" applyBorder="1" applyAlignment="1">
      <alignment vertical="center" wrapText="1"/>
    </xf>
    <xf numFmtId="0" fontId="24" fillId="0" borderId="1" xfId="0" applyFont="1" applyBorder="1" applyAlignment="1">
      <alignment vertical="center" wrapText="1"/>
    </xf>
    <xf numFmtId="1" fontId="77" fillId="0" borderId="1" xfId="0" applyNumberFormat="1" applyFont="1" applyBorder="1" applyAlignment="1">
      <alignment horizontal="right"/>
    </xf>
    <xf numFmtId="1" fontId="78" fillId="0" borderId="1" xfId="0" applyNumberFormat="1" applyFont="1" applyBorder="1" applyAlignment="1">
      <alignment horizontal="right"/>
    </xf>
    <xf numFmtId="166" fontId="1" fillId="0" borderId="1" xfId="0" applyNumberFormat="1" applyFont="1" applyBorder="1" applyAlignment="1">
      <alignment horizontal="right"/>
    </xf>
    <xf numFmtId="0" fontId="2" fillId="0" borderId="13" xfId="0" applyFont="1" applyBorder="1"/>
    <xf numFmtId="164" fontId="47" fillId="0" borderId="11" xfId="0" applyNumberFormat="1" applyFont="1" applyBorder="1"/>
    <xf numFmtId="0" fontId="18" fillId="0" borderId="3" xfId="0" applyFont="1" applyFill="1" applyBorder="1" applyAlignment="1">
      <alignment horizontal="center" vertical="center"/>
    </xf>
    <xf numFmtId="164" fontId="47" fillId="0" borderId="0" xfId="0" applyNumberFormat="1" applyFont="1" applyBorder="1"/>
    <xf numFmtId="164" fontId="47" fillId="0" borderId="18" xfId="0" applyNumberFormat="1" applyFont="1" applyBorder="1"/>
    <xf numFmtId="0" fontId="62" fillId="0" borderId="1" xfId="0" applyFont="1" applyFill="1" applyBorder="1"/>
    <xf numFmtId="0" fontId="45" fillId="0" borderId="0" xfId="0" applyFont="1" applyAlignment="1">
      <alignment horizontal="center" vertical="center" wrapText="1"/>
    </xf>
    <xf numFmtId="0" fontId="47" fillId="0" borderId="0" xfId="0" applyFont="1" applyFill="1" applyAlignment="1">
      <alignment horizontal="left"/>
    </xf>
    <xf numFmtId="166" fontId="47" fillId="0" borderId="0" xfId="0" applyNumberFormat="1" applyFont="1" applyFill="1" applyAlignment="1">
      <alignment horizontal="left"/>
    </xf>
    <xf numFmtId="169" fontId="69" fillId="8" borderId="10" xfId="0" applyNumberFormat="1" applyFont="1" applyFill="1" applyBorder="1" applyAlignment="1">
      <alignment horizontal="right" vertical="center" wrapText="1"/>
    </xf>
    <xf numFmtId="164" fontId="2" fillId="10" borderId="1" xfId="0" applyNumberFormat="1" applyFont="1" applyFill="1" applyBorder="1" applyAlignment="1">
      <alignment horizontal="right"/>
    </xf>
    <xf numFmtId="0" fontId="79" fillId="12" borderId="12" xfId="0" applyFont="1" applyFill="1" applyBorder="1" applyAlignment="1">
      <alignment wrapText="1"/>
    </xf>
    <xf numFmtId="0" fontId="74" fillId="19" borderId="1" xfId="0" applyFont="1" applyFill="1" applyBorder="1" applyAlignment="1">
      <alignment wrapText="1"/>
    </xf>
    <xf numFmtId="3" fontId="73" fillId="19" borderId="1" xfId="0" applyNumberFormat="1" applyFont="1" applyFill="1" applyBorder="1" applyAlignment="1">
      <alignment horizontal="right"/>
    </xf>
    <xf numFmtId="0" fontId="74" fillId="19" borderId="12" xfId="0" applyFont="1" applyFill="1" applyBorder="1" applyAlignment="1">
      <alignment wrapText="1"/>
    </xf>
    <xf numFmtId="0" fontId="2" fillId="0" borderId="1" xfId="0" applyFont="1" applyFill="1" applyBorder="1" applyAlignment="1">
      <alignment horizontal="right"/>
    </xf>
    <xf numFmtId="3" fontId="52" fillId="0" borderId="1" xfId="0" applyNumberFormat="1" applyFont="1" applyFill="1" applyBorder="1" applyAlignment="1">
      <alignment horizontal="right"/>
    </xf>
    <xf numFmtId="3" fontId="73" fillId="0" borderId="1" xfId="0" applyNumberFormat="1" applyFont="1" applyFill="1" applyBorder="1" applyAlignment="1">
      <alignment horizontal="right"/>
    </xf>
    <xf numFmtId="3" fontId="52" fillId="0" borderId="0" xfId="0" applyNumberFormat="1" applyFont="1" applyFill="1" applyBorder="1" applyAlignment="1">
      <alignment horizontal="right"/>
    </xf>
    <xf numFmtId="0" fontId="52" fillId="0" borderId="1" xfId="0" applyFont="1" applyFill="1" applyBorder="1" applyAlignment="1">
      <alignment horizontal="right"/>
    </xf>
    <xf numFmtId="0" fontId="2" fillId="0" borderId="0" xfId="0" applyFont="1" applyFill="1" applyAlignment="1">
      <alignment horizontal="right"/>
    </xf>
    <xf numFmtId="0" fontId="24" fillId="0" borderId="1" xfId="0" applyFont="1" applyBorder="1" applyAlignment="1">
      <alignment horizontal="right"/>
    </xf>
    <xf numFmtId="1" fontId="74" fillId="0" borderId="0" xfId="0" applyNumberFormat="1" applyFont="1" applyFill="1"/>
    <xf numFmtId="1" fontId="74" fillId="0" borderId="12" xfId="0" applyNumberFormat="1" applyFont="1" applyFill="1" applyBorder="1" applyAlignment="1">
      <alignment wrapText="1"/>
    </xf>
    <xf numFmtId="0" fontId="2" fillId="12" borderId="1" xfId="0" applyFont="1" applyFill="1" applyBorder="1" applyAlignment="1">
      <alignment vertical="center" wrapText="1"/>
    </xf>
    <xf numFmtId="0" fontId="24" fillId="12" borderId="1" xfId="0" applyFont="1" applyFill="1" applyBorder="1" applyAlignment="1">
      <alignment wrapText="1"/>
    </xf>
    <xf numFmtId="0" fontId="6" fillId="0" borderId="2" xfId="0" applyFont="1" applyBorder="1" applyAlignment="1">
      <alignment horizontal="center" vertical="center" wrapText="1"/>
    </xf>
    <xf numFmtId="0" fontId="75" fillId="0" borderId="0" xfId="0" applyFont="1"/>
    <xf numFmtId="166" fontId="73" fillId="0" borderId="1" xfId="0" applyNumberFormat="1" applyFont="1" applyBorder="1"/>
    <xf numFmtId="3" fontId="73" fillId="0" borderId="1" xfId="0" applyNumberFormat="1" applyFont="1" applyBorder="1"/>
    <xf numFmtId="3" fontId="73" fillId="0" borderId="1" xfId="4" applyNumberFormat="1" applyFont="1" applyBorder="1"/>
    <xf numFmtId="3" fontId="73" fillId="0" borderId="1" xfId="3" applyNumberFormat="1" applyFont="1" applyBorder="1"/>
    <xf numFmtId="3" fontId="42" fillId="0" borderId="1" xfId="0" applyNumberFormat="1" applyFont="1" applyBorder="1" applyAlignment="1">
      <alignment horizontal="right"/>
    </xf>
    <xf numFmtId="0" fontId="42" fillId="0" borderId="17" xfId="0" applyFont="1" applyBorder="1" applyAlignment="1">
      <alignment wrapText="1"/>
    </xf>
    <xf numFmtId="0" fontId="74" fillId="0" borderId="1" xfId="0" applyFont="1" applyBorder="1" applyAlignment="1">
      <alignment horizontal="left"/>
    </xf>
    <xf numFmtId="3" fontId="77" fillId="0" borderId="1" xfId="0" applyNumberFormat="1" applyFont="1" applyBorder="1" applyAlignment="1">
      <alignment horizontal="right"/>
    </xf>
    <xf numFmtId="3" fontId="78" fillId="0" borderId="1" xfId="0" applyNumberFormat="1" applyFont="1" applyBorder="1" applyAlignment="1">
      <alignment horizontal="right"/>
    </xf>
    <xf numFmtId="3" fontId="1" fillId="0" borderId="1" xfId="0" applyNumberFormat="1" applyFont="1" applyBorder="1" applyAlignment="1">
      <alignment horizontal="right"/>
    </xf>
    <xf numFmtId="0" fontId="74" fillId="0" borderId="1" xfId="0" applyFont="1" applyFill="1" applyBorder="1" applyAlignment="1">
      <alignment horizontal="left"/>
    </xf>
    <xf numFmtId="0" fontId="73" fillId="0" borderId="1" xfId="0" applyFont="1" applyFill="1" applyBorder="1"/>
    <xf numFmtId="1" fontId="74" fillId="0" borderId="12" xfId="0" quotePrefix="1" applyNumberFormat="1" applyFont="1" applyFill="1" applyBorder="1" applyAlignment="1">
      <alignment wrapText="1"/>
    </xf>
    <xf numFmtId="3" fontId="1" fillId="0" borderId="1" xfId="0" applyNumberFormat="1" applyFont="1" applyBorder="1" applyAlignment="1">
      <alignment horizontal="center" wrapText="1"/>
    </xf>
    <xf numFmtId="3" fontId="2" fillId="0" borderId="1" xfId="0" applyNumberFormat="1" applyFont="1" applyFill="1" applyBorder="1" applyAlignment="1" applyProtection="1">
      <alignment horizontal="center"/>
      <protection locked="0"/>
    </xf>
    <xf numFmtId="3" fontId="47" fillId="0" borderId="1" xfId="0" applyNumberFormat="1" applyFont="1" applyBorder="1" applyAlignment="1">
      <alignment horizontal="center"/>
    </xf>
    <xf numFmtId="3" fontId="47" fillId="0" borderId="1" xfId="0" applyNumberFormat="1" applyFont="1" applyFill="1" applyBorder="1" applyAlignment="1">
      <alignment horizontal="center"/>
    </xf>
    <xf numFmtId="3" fontId="65" fillId="0" borderId="1" xfId="0" applyNumberFormat="1" applyFont="1" applyFill="1" applyBorder="1" applyAlignment="1" applyProtection="1">
      <alignment horizontal="center"/>
      <protection locked="0"/>
    </xf>
    <xf numFmtId="3" fontId="2" fillId="0" borderId="1" xfId="0" applyNumberFormat="1" applyFont="1" applyFill="1" applyBorder="1" applyAlignment="1">
      <alignment horizontal="center" wrapText="1"/>
    </xf>
    <xf numFmtId="0" fontId="24" fillId="0" borderId="1" xfId="0" applyFont="1" applyBorder="1"/>
    <xf numFmtId="0" fontId="65" fillId="0" borderId="1" xfId="0" applyFont="1" applyFill="1" applyBorder="1" applyAlignment="1">
      <alignment horizontal="right"/>
    </xf>
    <xf numFmtId="0" fontId="84" fillId="0" borderId="12" xfId="0" applyFont="1" applyBorder="1" applyAlignment="1">
      <alignment vertical="center" wrapText="1"/>
    </xf>
    <xf numFmtId="0" fontId="84" fillId="0" borderId="12" xfId="0" applyFont="1" applyBorder="1" applyAlignment="1">
      <alignment vertical="center"/>
    </xf>
    <xf numFmtId="0" fontId="84" fillId="0" borderId="12" xfId="0" applyFont="1" applyBorder="1" applyAlignment="1">
      <alignment wrapText="1"/>
    </xf>
    <xf numFmtId="3" fontId="73" fillId="0" borderId="13" xfId="0" applyNumberFormat="1" applyFont="1" applyBorder="1" applyAlignment="1">
      <alignment horizontal="right"/>
    </xf>
    <xf numFmtId="3" fontId="73" fillId="19" borderId="13" xfId="0" applyNumberFormat="1" applyFont="1" applyFill="1" applyBorder="1" applyAlignment="1">
      <alignment horizontal="right"/>
    </xf>
    <xf numFmtId="0" fontId="84" fillId="0" borderId="1" xfId="0" applyFont="1" applyBorder="1" applyAlignment="1">
      <alignment vertical="center" wrapText="1"/>
    </xf>
    <xf numFmtId="0" fontId="74" fillId="0" borderId="1" xfId="0" applyFont="1" applyBorder="1" applyAlignment="1">
      <alignment vertical="center" wrapText="1"/>
    </xf>
    <xf numFmtId="0" fontId="81" fillId="0" borderId="1" xfId="0" applyFont="1" applyBorder="1" applyAlignment="1">
      <alignment horizontal="right"/>
    </xf>
    <xf numFmtId="0" fontId="81" fillId="0" borderId="1" xfId="0" applyFont="1" applyBorder="1" applyAlignment="1">
      <alignment horizontal="right" wrapText="1"/>
    </xf>
    <xf numFmtId="0" fontId="81" fillId="0" borderId="1" xfId="0" applyFont="1" applyFill="1" applyBorder="1" applyAlignment="1">
      <alignment horizontal="right"/>
    </xf>
    <xf numFmtId="0" fontId="82" fillId="0" borderId="1" xfId="0" applyFont="1" applyBorder="1" applyAlignment="1">
      <alignment horizontal="left" vertical="center"/>
    </xf>
    <xf numFmtId="0" fontId="85" fillId="0" borderId="1" xfId="0" applyFont="1" applyBorder="1" applyAlignment="1">
      <alignment horizontal="left" vertical="center" wrapText="1"/>
    </xf>
    <xf numFmtId="164" fontId="85" fillId="0" borderId="1" xfId="0" applyNumberFormat="1" applyFont="1" applyBorder="1" applyAlignment="1">
      <alignment horizontal="right"/>
    </xf>
    <xf numFmtId="164" fontId="85" fillId="0" borderId="1" xfId="0" applyNumberFormat="1" applyFont="1" applyBorder="1" applyAlignment="1">
      <alignment horizontal="right" wrapText="1"/>
    </xf>
    <xf numFmtId="0" fontId="85" fillId="0" borderId="1" xfId="0" applyFont="1" applyBorder="1" applyAlignment="1">
      <alignment horizontal="left" vertical="center"/>
    </xf>
    <xf numFmtId="166" fontId="2" fillId="0" borderId="0" xfId="0" applyNumberFormat="1" applyFont="1" applyAlignment="1">
      <alignment horizontal="left"/>
    </xf>
    <xf numFmtId="164" fontId="81" fillId="0" borderId="1" xfId="0" applyNumberFormat="1" applyFont="1" applyBorder="1" applyAlignment="1">
      <alignment horizontal="right"/>
    </xf>
    <xf numFmtId="15" fontId="2" fillId="0" borderId="0" xfId="0" applyNumberFormat="1" applyFont="1" applyAlignment="1">
      <alignment horizontal="left"/>
    </xf>
    <xf numFmtId="0" fontId="83" fillId="0" borderId="1" xfId="0" applyFont="1" applyBorder="1" applyAlignment="1">
      <alignment wrapText="1"/>
    </xf>
    <xf numFmtId="170" fontId="2" fillId="0" borderId="1" xfId="1" applyNumberFormat="1" applyFont="1" applyBorder="1" applyAlignment="1">
      <alignment horizontal="right" vertical="center" wrapText="1"/>
    </xf>
    <xf numFmtId="0" fontId="14" fillId="0" borderId="0" xfId="0" applyFont="1" applyFill="1" applyAlignment="1">
      <alignment horizontal="center" wrapText="1"/>
    </xf>
    <xf numFmtId="3" fontId="11" fillId="0" borderId="1" xfId="0" applyNumberFormat="1" applyFont="1" applyFill="1" applyBorder="1" applyAlignment="1">
      <alignment horizontal="right"/>
    </xf>
    <xf numFmtId="3" fontId="42" fillId="0" borderId="1" xfId="0" applyNumberFormat="1" applyFont="1" applyFill="1" applyBorder="1" applyAlignment="1">
      <alignment horizontal="right"/>
    </xf>
    <xf numFmtId="3" fontId="57" fillId="0" borderId="1" xfId="0" applyNumberFormat="1" applyFont="1" applyFill="1" applyBorder="1" applyAlignment="1">
      <alignment horizontal="right"/>
    </xf>
    <xf numFmtId="3" fontId="73" fillId="0" borderId="1" xfId="0" applyNumberFormat="1" applyFont="1" applyFill="1" applyBorder="1"/>
    <xf numFmtId="166" fontId="73" fillId="0" borderId="1" xfId="0" applyNumberFormat="1" applyFont="1" applyFill="1" applyBorder="1"/>
    <xf numFmtId="3" fontId="65" fillId="0" borderId="1" xfId="0" applyNumberFormat="1" applyFont="1" applyBorder="1"/>
    <xf numFmtId="3" fontId="65" fillId="0" borderId="1" xfId="0" applyNumberFormat="1" applyFont="1" applyFill="1" applyBorder="1"/>
    <xf numFmtId="3" fontId="65" fillId="0" borderId="1" xfId="4" applyNumberFormat="1" applyFont="1" applyBorder="1"/>
    <xf numFmtId="3" fontId="65" fillId="0" borderId="1" xfId="3" applyNumberFormat="1" applyFont="1" applyBorder="1"/>
    <xf numFmtId="0" fontId="74" fillId="0" borderId="0" xfId="0" applyFont="1"/>
    <xf numFmtId="0" fontId="18" fillId="0" borderId="3" xfId="0" applyFont="1" applyFill="1" applyBorder="1" applyAlignment="1">
      <alignment horizontal="center" vertical="center"/>
    </xf>
    <xf numFmtId="166" fontId="45" fillId="0" borderId="7" xfId="0" applyNumberFormat="1" applyFont="1" applyFill="1" applyBorder="1" applyAlignment="1">
      <alignment horizontal="center" vertical="center" wrapText="1"/>
    </xf>
    <xf numFmtId="0" fontId="45" fillId="0" borderId="3" xfId="0" applyFont="1" applyBorder="1" applyAlignment="1">
      <alignment horizontal="center" vertical="center" wrapText="1"/>
    </xf>
    <xf numFmtId="17" fontId="45" fillId="0" borderId="23" xfId="0" applyNumberFormat="1" applyFont="1" applyFill="1" applyBorder="1" applyAlignment="1">
      <alignment horizontal="center" vertical="center" wrapText="1"/>
    </xf>
    <xf numFmtId="3" fontId="75" fillId="0" borderId="1" xfId="0" applyNumberFormat="1" applyFont="1" applyBorder="1"/>
    <xf numFmtId="3" fontId="75" fillId="0" borderId="1" xfId="0" applyNumberFormat="1" applyFont="1" applyFill="1" applyBorder="1"/>
    <xf numFmtId="0" fontId="64" fillId="0" borderId="0" xfId="0" applyFont="1" applyFill="1"/>
    <xf numFmtId="164" fontId="6" fillId="2" borderId="3" xfId="0" applyNumberFormat="1" applyFont="1" applyFill="1" applyBorder="1" applyAlignment="1">
      <alignment horizontal="center" vertical="center"/>
    </xf>
    <xf numFmtId="0" fontId="6" fillId="0" borderId="2" xfId="0" applyFont="1" applyBorder="1" applyAlignment="1">
      <alignment horizontal="center" vertical="center"/>
    </xf>
    <xf numFmtId="17" fontId="18" fillId="0" borderId="3" xfId="0" applyNumberFormat="1" applyFont="1" applyFill="1" applyBorder="1" applyAlignment="1">
      <alignment horizontal="center" vertical="center"/>
    </xf>
    <xf numFmtId="166" fontId="8" fillId="18" borderId="3" xfId="0" applyNumberFormat="1" applyFont="1" applyFill="1" applyBorder="1" applyAlignment="1">
      <alignment horizontal="center" vertical="center" wrapText="1"/>
    </xf>
    <xf numFmtId="17" fontId="45" fillId="0" borderId="2" xfId="0" applyNumberFormat="1" applyFont="1" applyBorder="1" applyAlignment="1">
      <alignment horizontal="center" vertical="center" wrapText="1"/>
    </xf>
    <xf numFmtId="166" fontId="18" fillId="18" borderId="3" xfId="0" applyNumberFormat="1" applyFont="1" applyFill="1" applyBorder="1" applyAlignment="1">
      <alignment horizontal="center" vertical="center" wrapText="1"/>
    </xf>
    <xf numFmtId="17" fontId="6" fillId="18" borderId="4" xfId="0" applyNumberFormat="1" applyFont="1" applyFill="1" applyBorder="1" applyAlignment="1">
      <alignment horizontal="center" vertical="center" wrapText="1"/>
    </xf>
    <xf numFmtId="17" fontId="8" fillId="18" borderId="4" xfId="0" applyNumberFormat="1" applyFont="1" applyFill="1" applyBorder="1" applyAlignment="1">
      <alignment horizontal="center" vertical="center" wrapText="1"/>
    </xf>
    <xf numFmtId="164" fontId="18" fillId="18" borderId="3" xfId="0" applyNumberFormat="1" applyFont="1" applyFill="1" applyBorder="1" applyAlignment="1">
      <alignment horizontal="center" vertical="center"/>
    </xf>
    <xf numFmtId="0" fontId="18" fillId="18" borderId="4" xfId="0" applyFont="1" applyFill="1" applyBorder="1" applyAlignment="1">
      <alignment horizontal="left" vertical="center"/>
    </xf>
    <xf numFmtId="0" fontId="86" fillId="0" borderId="0" xfId="0" applyFont="1" applyAlignment="1">
      <alignment vertical="center"/>
    </xf>
    <xf numFmtId="0" fontId="6" fillId="2" borderId="0" xfId="0" applyFont="1" applyFill="1" applyAlignment="1">
      <alignment vertical="center"/>
    </xf>
    <xf numFmtId="0" fontId="21" fillId="18" borderId="0" xfId="0" applyNumberFormat="1" applyFont="1" applyFill="1"/>
    <xf numFmtId="0" fontId="87" fillId="2" borderId="0" xfId="2" applyFont="1" applyFill="1" applyAlignment="1">
      <alignment vertical="center"/>
    </xf>
    <xf numFmtId="164" fontId="6" fillId="2" borderId="4" xfId="0" applyNumberFormat="1" applyFont="1" applyFill="1" applyBorder="1" applyAlignment="1">
      <alignment horizontal="left" vertical="center"/>
    </xf>
    <xf numFmtId="0" fontId="6" fillId="0" borderId="0" xfId="0" applyFont="1" applyFill="1" applyAlignment="1"/>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xf numFmtId="0" fontId="21" fillId="0" borderId="0" xfId="0" applyNumberFormat="1" applyFont="1" applyFill="1"/>
    <xf numFmtId="0" fontId="87" fillId="18" borderId="0" xfId="2" applyFont="1" applyFill="1"/>
    <xf numFmtId="0" fontId="21" fillId="18" borderId="0" xfId="0" applyFont="1" applyFill="1" applyAlignment="1">
      <alignment horizontal="center"/>
    </xf>
    <xf numFmtId="0" fontId="6" fillId="18" borderId="0" xfId="0" applyFont="1" applyFill="1"/>
    <xf numFmtId="0" fontId="14" fillId="0" borderId="0" xfId="0" applyFont="1" applyFill="1" applyAlignment="1">
      <alignment vertical="center" wrapText="1"/>
    </xf>
    <xf numFmtId="0" fontId="62" fillId="0" borderId="0" xfId="0" applyFont="1" applyFill="1" applyAlignment="1">
      <alignment vertical="top"/>
    </xf>
    <xf numFmtId="166" fontId="1" fillId="0" borderId="1" xfId="0" applyNumberFormat="1" applyFont="1" applyBorder="1"/>
    <xf numFmtId="166" fontId="1" fillId="2" borderId="1" xfId="0" applyNumberFormat="1" applyFont="1" applyFill="1" applyBorder="1" applyAlignment="1">
      <alignment horizontal="center" vertical="center" wrapText="1"/>
    </xf>
    <xf numFmtId="0" fontId="2" fillId="0" borderId="0" xfId="0" applyFont="1" applyAlignment="1">
      <alignment horizontal="left"/>
    </xf>
    <xf numFmtId="0" fontId="27" fillId="0" borderId="0" xfId="0" applyFont="1" applyFill="1"/>
    <xf numFmtId="0" fontId="2" fillId="0" borderId="0" xfId="2" applyFont="1" applyFill="1" applyAlignment="1"/>
    <xf numFmtId="164" fontId="15" fillId="0" borderId="1" xfId="0" applyNumberFormat="1" applyFont="1" applyFill="1" applyBorder="1" applyAlignment="1">
      <alignment horizontal="right"/>
    </xf>
    <xf numFmtId="0" fontId="1" fillId="0" borderId="0" xfId="0" applyFont="1" applyFill="1"/>
    <xf numFmtId="0" fontId="88" fillId="0" borderId="0" xfId="0" applyFont="1"/>
    <xf numFmtId="0" fontId="18"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6" fillId="0" borderId="0" xfId="0" applyFont="1" applyFill="1"/>
    <xf numFmtId="0" fontId="61" fillId="0" borderId="0" xfId="0" applyFont="1" applyFill="1"/>
    <xf numFmtId="0" fontId="66" fillId="0" borderId="0" xfId="0" quotePrefix="1" applyFont="1" applyFill="1"/>
    <xf numFmtId="0" fontId="4" fillId="0" borderId="0" xfId="0" applyFont="1" applyFill="1"/>
    <xf numFmtId="0" fontId="27" fillId="0" borderId="0" xfId="0" applyFont="1" applyAlignment="1"/>
    <xf numFmtId="0" fontId="2" fillId="11" borderId="0" xfId="0" applyFont="1" applyFill="1"/>
    <xf numFmtId="0" fontId="14" fillId="0" borderId="0" xfId="0" applyFont="1" applyFill="1" applyBorder="1"/>
    <xf numFmtId="0" fontId="14" fillId="0" borderId="0" xfId="0" applyFont="1" applyFill="1" applyBorder="1" applyAlignment="1">
      <alignment horizontal="center"/>
    </xf>
    <xf numFmtId="0" fontId="14" fillId="0" borderId="0" xfId="0" applyFont="1" applyFill="1" applyBorder="1" applyAlignment="1">
      <alignment horizontal="center" vertical="top" wrapText="1"/>
    </xf>
    <xf numFmtId="0" fontId="14" fillId="0" borderId="0" xfId="0" applyFont="1" applyFill="1" applyBorder="1" applyAlignment="1">
      <alignment vertical="top" wrapText="1"/>
    </xf>
    <xf numFmtId="0" fontId="14" fillId="0" borderId="0" xfId="0" applyFont="1" applyFill="1" applyBorder="1" applyAlignment="1">
      <alignment horizontal="right" wrapText="1"/>
    </xf>
    <xf numFmtId="0" fontId="25" fillId="0" borderId="0" xfId="0" applyFont="1" applyFill="1" applyBorder="1" applyAlignment="1">
      <alignment horizontal="right" wrapText="1"/>
    </xf>
    <xf numFmtId="0" fontId="25" fillId="0" borderId="0" xfId="0" applyFont="1" applyFill="1" applyBorder="1" applyAlignment="1">
      <alignment vertical="top" wrapText="1"/>
    </xf>
    <xf numFmtId="0" fontId="14" fillId="0" borderId="0" xfId="0" applyFont="1" applyFill="1" applyBorder="1" applyAlignment="1">
      <alignment vertical="top"/>
    </xf>
    <xf numFmtId="0" fontId="26" fillId="0" borderId="0" xfId="0" applyFont="1" applyFill="1"/>
    <xf numFmtId="0" fontId="4" fillId="0" borderId="0" xfId="0" applyFont="1" applyFill="1" applyBorder="1"/>
    <xf numFmtId="3" fontId="73" fillId="0" borderId="1" xfId="0" applyNumberFormat="1" applyFont="1" applyBorder="1" applyAlignment="1">
      <alignment horizontal="left" vertical="top"/>
    </xf>
    <xf numFmtId="0" fontId="73" fillId="0" borderId="1" xfId="0" applyFont="1" applyBorder="1" applyAlignment="1">
      <alignment horizontal="right"/>
    </xf>
    <xf numFmtId="0" fontId="73" fillId="0" borderId="0" xfId="0" applyFont="1" applyAlignment="1">
      <alignment horizontal="left" vertical="center"/>
    </xf>
    <xf numFmtId="0" fontId="73" fillId="0" borderId="1" xfId="0" applyFont="1" applyBorder="1" applyAlignment="1">
      <alignment horizontal="center"/>
    </xf>
    <xf numFmtId="0" fontId="73" fillId="0" borderId="1" xfId="0" applyFont="1" applyFill="1" applyBorder="1" applyAlignment="1">
      <alignment horizontal="center"/>
    </xf>
    <xf numFmtId="0" fontId="73" fillId="19" borderId="1" xfId="0" applyFont="1" applyFill="1" applyBorder="1" applyAlignment="1">
      <alignment horizontal="center"/>
    </xf>
    <xf numFmtId="1" fontId="73" fillId="0" borderId="1" xfId="0" applyNumberFormat="1" applyFont="1" applyBorder="1" applyAlignment="1">
      <alignment horizontal="center"/>
    </xf>
    <xf numFmtId="1" fontId="73" fillId="0" borderId="1" xfId="0" applyNumberFormat="1" applyFont="1" applyFill="1" applyBorder="1" applyAlignment="1">
      <alignment horizontal="center"/>
    </xf>
    <xf numFmtId="1" fontId="73" fillId="19" borderId="1" xfId="0" applyNumberFormat="1" applyFont="1" applyFill="1" applyBorder="1" applyAlignment="1">
      <alignment horizontal="center"/>
    </xf>
    <xf numFmtId="0" fontId="73" fillId="0" borderId="1" xfId="0" applyFont="1" applyFill="1" applyBorder="1" applyAlignment="1">
      <alignment horizontal="right" wrapText="1"/>
    </xf>
    <xf numFmtId="0" fontId="73" fillId="0" borderId="1" xfId="0" applyFont="1" applyFill="1" applyBorder="1" applyAlignment="1">
      <alignment horizontal="right"/>
    </xf>
    <xf numFmtId="0" fontId="73" fillId="19" borderId="1" xfId="0" applyFont="1" applyFill="1" applyBorder="1" applyAlignment="1">
      <alignment horizontal="right"/>
    </xf>
    <xf numFmtId="0" fontId="73" fillId="19" borderId="1" xfId="0" applyFont="1" applyFill="1" applyBorder="1" applyAlignment="1">
      <alignment horizontal="right" wrapText="1"/>
    </xf>
    <xf numFmtId="0" fontId="74" fillId="0" borderId="12" xfId="0" applyFont="1" applyBorder="1" applyAlignment="1">
      <alignment vertical="center" wrapText="1"/>
    </xf>
    <xf numFmtId="3" fontId="73" fillId="19" borderId="1" xfId="0" applyNumberFormat="1" applyFont="1" applyFill="1" applyBorder="1"/>
    <xf numFmtId="0" fontId="1" fillId="0" borderId="1" xfId="0" applyFont="1" applyFill="1" applyBorder="1" applyAlignment="1">
      <alignment horizontal="left" vertical="center" wrapText="1"/>
    </xf>
    <xf numFmtId="164" fontId="82" fillId="0" borderId="1" xfId="0" applyNumberFormat="1" applyFont="1" applyFill="1" applyBorder="1" applyAlignment="1">
      <alignment horizontal="right"/>
    </xf>
    <xf numFmtId="164" fontId="82" fillId="0" borderId="1" xfId="0" applyNumberFormat="1" applyFont="1" applyFill="1" applyBorder="1" applyAlignment="1">
      <alignment horizontal="right" wrapText="1"/>
    </xf>
    <xf numFmtId="0" fontId="85" fillId="0" borderId="1" xfId="0" applyFont="1" applyBorder="1"/>
    <xf numFmtId="0" fontId="47" fillId="0" borderId="0" xfId="0" applyFont="1" applyFill="1" applyAlignment="1">
      <alignment horizontal="left" wrapText="1"/>
    </xf>
    <xf numFmtId="0" fontId="2" fillId="0" borderId="0" xfId="0" applyFont="1" applyFill="1" applyAlignment="1">
      <alignment horizontal="left"/>
    </xf>
    <xf numFmtId="0" fontId="1" fillId="0" borderId="0" xfId="0" applyFont="1" applyAlignment="1">
      <alignment horizontal="left"/>
    </xf>
    <xf numFmtId="0" fontId="1" fillId="0" borderId="1" xfId="0" applyFont="1" applyFill="1" applyBorder="1" applyAlignment="1">
      <alignment horizontal="center" vertical="center" wrapText="1"/>
    </xf>
    <xf numFmtId="0" fontId="47" fillId="0" borderId="0" xfId="0" applyNumberFormat="1" applyFont="1" applyAlignment="1">
      <alignment vertical="top"/>
    </xf>
    <xf numFmtId="0" fontId="47" fillId="0" borderId="0" xfId="2" applyFont="1" applyFill="1"/>
    <xf numFmtId="1" fontId="47" fillId="11" borderId="1" xfId="0" applyNumberFormat="1" applyFont="1" applyFill="1" applyBorder="1"/>
    <xf numFmtId="164" fontId="1" fillId="0" borderId="0" xfId="0" applyNumberFormat="1" applyFont="1"/>
    <xf numFmtId="0" fontId="11" fillId="0" borderId="1" xfId="0" applyFont="1" applyBorder="1" applyAlignment="1">
      <alignment vertical="center" wrapText="1"/>
    </xf>
    <xf numFmtId="0" fontId="88" fillId="0" borderId="0" xfId="0" applyFont="1" applyBorder="1" applyAlignment="1"/>
    <xf numFmtId="0" fontId="1" fillId="0" borderId="0" xfId="0" applyFont="1" applyFill="1" applyAlignment="1">
      <alignment wrapText="1"/>
    </xf>
    <xf numFmtId="0" fontId="55" fillId="0" borderId="0" xfId="0" applyFont="1" applyFill="1"/>
    <xf numFmtId="0" fontId="4" fillId="0" borderId="0" xfId="2" applyFont="1" applyFill="1"/>
    <xf numFmtId="0" fontId="2" fillId="0" borderId="0" xfId="0" applyFont="1" applyBorder="1" applyAlignment="1"/>
    <xf numFmtId="0" fontId="65" fillId="0" borderId="0" xfId="0" applyFont="1" applyAlignment="1">
      <alignment vertical="center"/>
    </xf>
    <xf numFmtId="0" fontId="65" fillId="0" borderId="0" xfId="0" applyFont="1"/>
    <xf numFmtId="0" fontId="75" fillId="0" borderId="0" xfId="0" applyFont="1" applyAlignment="1">
      <alignment vertical="center"/>
    </xf>
    <xf numFmtId="0" fontId="62" fillId="17" borderId="1" xfId="0" applyFont="1" applyFill="1" applyBorder="1" applyAlignment="1">
      <alignment wrapText="1"/>
    </xf>
    <xf numFmtId="0" fontId="89" fillId="0" borderId="0" xfId="0" applyFont="1" applyFill="1"/>
    <xf numFmtId="0" fontId="1" fillId="0" borderId="0" xfId="0" applyFont="1" applyAlignment="1"/>
    <xf numFmtId="0" fontId="27" fillId="0" borderId="0" xfId="0" applyFont="1" applyFill="1" applyAlignment="1"/>
    <xf numFmtId="0" fontId="90" fillId="0" borderId="0" xfId="0" applyFont="1" applyFill="1"/>
    <xf numFmtId="0" fontId="26" fillId="0" borderId="1" xfId="0" applyFont="1" applyBorder="1" applyAlignment="1">
      <alignment wrapText="1"/>
    </xf>
    <xf numFmtId="0" fontId="11" fillId="0" borderId="1" xfId="0" applyFont="1" applyFill="1" applyBorder="1"/>
    <xf numFmtId="0" fontId="37" fillId="0" borderId="1" xfId="0" applyFont="1" applyBorder="1" applyAlignment="1">
      <alignment horizontal="left" wrapText="1"/>
    </xf>
    <xf numFmtId="0" fontId="71" fillId="0" borderId="1" xfId="0" applyFont="1" applyFill="1" applyBorder="1" applyAlignment="1">
      <alignment horizontal="right"/>
    </xf>
    <xf numFmtId="0" fontId="72" fillId="0" borderId="1" xfId="0" applyFont="1" applyBorder="1" applyAlignment="1">
      <alignment horizontal="right"/>
    </xf>
    <xf numFmtId="0" fontId="14" fillId="0" borderId="1" xfId="0" applyFont="1" applyBorder="1" applyAlignment="1">
      <alignment horizontal="right"/>
    </xf>
    <xf numFmtId="0" fontId="24" fillId="0" borderId="1" xfId="0" applyFont="1" applyBorder="1" applyAlignment="1">
      <alignment wrapText="1"/>
    </xf>
    <xf numFmtId="0" fontId="24" fillId="0" borderId="1" xfId="0" applyFont="1" applyFill="1" applyBorder="1" applyAlignment="1">
      <alignment horizontal="right"/>
    </xf>
    <xf numFmtId="0" fontId="56" fillId="0" borderId="1" xfId="0" applyFont="1" applyBorder="1" applyAlignment="1">
      <alignment wrapText="1"/>
    </xf>
    <xf numFmtId="0" fontId="91" fillId="0" borderId="1" xfId="0" applyFont="1" applyFill="1" applyBorder="1" applyAlignment="1">
      <alignment horizontal="right"/>
    </xf>
    <xf numFmtId="0" fontId="53" fillId="0" borderId="1" xfId="0" applyFont="1" applyBorder="1" applyAlignment="1">
      <alignment wrapText="1"/>
    </xf>
    <xf numFmtId="1" fontId="53" fillId="0" borderId="1" xfId="0" applyNumberFormat="1" applyFont="1" applyFill="1" applyBorder="1" applyAlignment="1">
      <alignment horizontal="right"/>
    </xf>
    <xf numFmtId="0" fontId="53" fillId="0" borderId="1" xfId="0" applyFont="1" applyFill="1" applyBorder="1" applyAlignment="1">
      <alignment horizontal="right"/>
    </xf>
    <xf numFmtId="0" fontId="5" fillId="0" borderId="1" xfId="0" applyFont="1" applyBorder="1" applyAlignment="1">
      <alignment wrapText="1"/>
    </xf>
    <xf numFmtId="0" fontId="5" fillId="0" borderId="1" xfId="0" applyFont="1" applyBorder="1" applyAlignment="1">
      <alignment horizontal="right"/>
    </xf>
    <xf numFmtId="0" fontId="5" fillId="0" borderId="1" xfId="0" applyFont="1" applyFill="1" applyBorder="1" applyAlignment="1">
      <alignment horizontal="right"/>
    </xf>
    <xf numFmtId="0" fontId="14" fillId="0" borderId="1" xfId="0" applyFont="1" applyFill="1" applyBorder="1" applyAlignment="1">
      <alignment wrapText="1"/>
    </xf>
    <xf numFmtId="166" fontId="92" fillId="0" borderId="1" xfId="0" applyNumberFormat="1" applyFont="1" applyBorder="1" applyAlignment="1">
      <alignment horizontal="center"/>
    </xf>
    <xf numFmtId="0" fontId="25" fillId="0" borderId="1" xfId="0" applyFont="1" applyBorder="1"/>
    <xf numFmtId="0" fontId="5" fillId="20" borderId="0" xfId="2" applyFont="1" applyFill="1"/>
    <xf numFmtId="3" fontId="85" fillId="0" borderId="1" xfId="0" applyNumberFormat="1" applyFont="1" applyBorder="1" applyAlignment="1">
      <alignment horizontal="right"/>
    </xf>
    <xf numFmtId="0" fontId="85" fillId="0" borderId="1" xfId="0" applyFont="1" applyBorder="1" applyAlignment="1">
      <alignment horizontal="right"/>
    </xf>
    <xf numFmtId="0" fontId="90" fillId="0" borderId="0" xfId="0" applyFont="1" applyBorder="1" applyAlignment="1">
      <alignment vertical="center" wrapText="1"/>
    </xf>
    <xf numFmtId="0" fontId="93" fillId="0" borderId="0" xfId="0" applyFont="1" applyFill="1" applyBorder="1" applyAlignment="1">
      <alignment vertical="center" wrapText="1"/>
    </xf>
    <xf numFmtId="0" fontId="5" fillId="0" borderId="0" xfId="0" applyFont="1" applyFill="1"/>
    <xf numFmtId="0" fontId="17" fillId="0" borderId="0" xfId="0" applyFont="1" applyFill="1" applyBorder="1" applyAlignment="1">
      <alignment vertical="center"/>
    </xf>
    <xf numFmtId="0" fontId="62" fillId="0" borderId="24" xfId="0" applyFont="1" applyFill="1" applyBorder="1"/>
    <xf numFmtId="0" fontId="80" fillId="0" borderId="24" xfId="0" applyFont="1" applyFill="1" applyBorder="1"/>
    <xf numFmtId="17" fontId="1" fillId="0" borderId="0" xfId="0" applyNumberFormat="1" applyFont="1"/>
    <xf numFmtId="0" fontId="25" fillId="0" borderId="0" xfId="0" applyFont="1" applyFill="1" applyBorder="1" applyAlignment="1"/>
    <xf numFmtId="0" fontId="88" fillId="0" borderId="0" xfId="0" applyFont="1" applyAlignment="1">
      <alignment horizontal="left" vertical="center"/>
    </xf>
    <xf numFmtId="0" fontId="83" fillId="0" borderId="0" xfId="0" applyFont="1" applyFill="1" applyBorder="1" applyAlignment="1">
      <alignment horizontal="right" vertical="center"/>
    </xf>
    <xf numFmtId="0" fontId="97" fillId="0" borderId="0" xfId="0" applyFont="1" applyFill="1" applyBorder="1" applyAlignment="1">
      <alignment horizontal="center" vertical="center"/>
    </xf>
    <xf numFmtId="10" fontId="88" fillId="0" borderId="0" xfId="0" applyNumberFormat="1" applyFont="1" applyFill="1" applyBorder="1" applyAlignment="1">
      <alignment horizontal="center" vertical="center" wrapText="1"/>
    </xf>
    <xf numFmtId="0" fontId="96" fillId="0" borderId="1" xfId="0" applyFont="1" applyFill="1" applyBorder="1" applyAlignment="1">
      <alignment vertical="center"/>
    </xf>
    <xf numFmtId="0" fontId="88" fillId="0" borderId="1" xfId="0" applyFont="1" applyFill="1" applyBorder="1" applyAlignment="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vertical="center"/>
    </xf>
    <xf numFmtId="0" fontId="83" fillId="0" borderId="1" xfId="0" applyFont="1" applyFill="1" applyBorder="1" applyAlignment="1">
      <alignment vertical="center" wrapText="1"/>
    </xf>
    <xf numFmtId="0" fontId="88" fillId="0" borderId="1" xfId="0" applyFont="1" applyFill="1" applyBorder="1" applyAlignment="1">
      <alignment horizontal="left" vertical="center"/>
    </xf>
    <xf numFmtId="171" fontId="88" fillId="0" borderId="1" xfId="1" applyNumberFormat="1" applyFont="1" applyFill="1" applyBorder="1" applyAlignment="1">
      <alignment horizontal="center" vertical="center"/>
    </xf>
    <xf numFmtId="166" fontId="1" fillId="0" borderId="0" xfId="0" applyNumberFormat="1" applyFont="1" applyBorder="1" applyAlignment="1">
      <alignment horizontal="left"/>
    </xf>
    <xf numFmtId="0" fontId="0" fillId="0" borderId="1" xfId="0" applyFill="1" applyBorder="1" applyAlignment="1">
      <alignment vertical="center"/>
    </xf>
    <xf numFmtId="0" fontId="75" fillId="0" borderId="1" xfId="0" applyFont="1" applyFill="1" applyBorder="1" applyAlignment="1">
      <alignment vertical="center"/>
    </xf>
    <xf numFmtId="0" fontId="65" fillId="0" borderId="1" xfId="0" applyFont="1" applyFill="1" applyBorder="1" applyAlignment="1">
      <alignment horizontal="center" vertical="center" wrapText="1"/>
    </xf>
    <xf numFmtId="0" fontId="88" fillId="0" borderId="1" xfId="0" applyFont="1" applyFill="1" applyBorder="1" applyAlignment="1">
      <alignment horizontal="left" vertical="center" wrapText="1"/>
    </xf>
    <xf numFmtId="171" fontId="65" fillId="0" borderId="1" xfId="1" applyNumberFormat="1" applyFont="1" applyFill="1" applyBorder="1" applyAlignment="1">
      <alignment horizontal="right" vertical="center"/>
    </xf>
    <xf numFmtId="171" fontId="98" fillId="0" borderId="1" xfId="1" applyNumberFormat="1" applyFont="1" applyFill="1" applyBorder="1" applyAlignment="1">
      <alignment horizontal="right" vertical="center"/>
    </xf>
    <xf numFmtId="164" fontId="83" fillId="0" borderId="1" xfId="0" applyNumberFormat="1" applyFont="1" applyFill="1" applyBorder="1" applyAlignment="1">
      <alignment horizontal="right" vertical="center" wrapText="1"/>
    </xf>
    <xf numFmtId="171" fontId="83" fillId="0" borderId="1" xfId="1" applyNumberFormat="1" applyFont="1" applyFill="1" applyBorder="1" applyAlignment="1">
      <alignment horizontal="right" vertical="center"/>
    </xf>
    <xf numFmtId="171" fontId="97" fillId="0" borderId="1" xfId="1" applyNumberFormat="1" applyFont="1" applyFill="1" applyBorder="1" applyAlignment="1">
      <alignment horizontal="right" vertical="center"/>
    </xf>
    <xf numFmtId="164" fontId="11" fillId="0" borderId="1" xfId="0" applyNumberFormat="1" applyFont="1" applyBorder="1" applyAlignment="1">
      <alignment horizontal="right" vertical="center"/>
    </xf>
    <xf numFmtId="164" fontId="88" fillId="0" borderId="1" xfId="0" applyNumberFormat="1" applyFont="1" applyFill="1" applyBorder="1" applyAlignment="1">
      <alignment horizontal="right" vertical="center" wrapText="1"/>
    </xf>
    <xf numFmtId="164" fontId="83" fillId="0" borderId="1" xfId="0" applyNumberFormat="1" applyFont="1" applyFill="1" applyBorder="1" applyAlignment="1">
      <alignment horizontal="right" vertical="center"/>
    </xf>
    <xf numFmtId="171" fontId="88" fillId="0" borderId="1" xfId="1" applyNumberFormat="1" applyFont="1" applyFill="1" applyBorder="1" applyAlignment="1">
      <alignment horizontal="right" vertical="center"/>
    </xf>
    <xf numFmtId="164" fontId="88" fillId="0" borderId="1" xfId="0" applyNumberFormat="1" applyFont="1" applyFill="1" applyBorder="1" applyAlignment="1">
      <alignment horizontal="right" vertical="center"/>
    </xf>
    <xf numFmtId="0" fontId="75" fillId="0" borderId="0" xfId="0" applyFont="1" applyAlignment="1">
      <alignment horizontal="left" vertical="center"/>
    </xf>
    <xf numFmtId="0" fontId="75" fillId="0" borderId="0" xfId="0" applyFont="1" applyAlignment="1">
      <alignment horizontal="left"/>
    </xf>
    <xf numFmtId="0" fontId="88" fillId="0" borderId="0" xfId="0" applyFont="1" applyAlignment="1">
      <alignment horizontal="left"/>
    </xf>
    <xf numFmtId="0" fontId="101" fillId="0" borderId="0" xfId="0" applyFont="1" applyFill="1"/>
    <xf numFmtId="0" fontId="101" fillId="0" borderId="1" xfId="0" applyFont="1" applyBorder="1" applyAlignment="1">
      <alignment horizontal="center"/>
    </xf>
    <xf numFmtId="164" fontId="0" fillId="0" borderId="1" xfId="0" applyNumberFormat="1" applyBorder="1" applyAlignment="1">
      <alignment horizontal="right"/>
    </xf>
    <xf numFmtId="164" fontId="102" fillId="0" borderId="1" xfId="0" applyNumberFormat="1" applyFont="1" applyBorder="1" applyAlignment="1">
      <alignment horizontal="right"/>
    </xf>
    <xf numFmtId="0" fontId="101" fillId="0" borderId="1" xfId="0" applyFont="1" applyBorder="1"/>
    <xf numFmtId="0" fontId="101" fillId="0" borderId="1" xfId="0" applyFont="1" applyBorder="1" applyAlignment="1">
      <alignment horizontal="center" wrapText="1"/>
    </xf>
    <xf numFmtId="0" fontId="65" fillId="0" borderId="25" xfId="0" applyFont="1" applyBorder="1"/>
    <xf numFmtId="3" fontId="65" fillId="0" borderId="26" xfId="0" applyNumberFormat="1" applyFont="1" applyBorder="1"/>
    <xf numFmtId="0" fontId="65" fillId="0" borderId="1" xfId="0" applyFont="1" applyBorder="1"/>
    <xf numFmtId="3" fontId="65" fillId="0" borderId="1" xfId="0" applyNumberFormat="1" applyFont="1" applyBorder="1" applyAlignment="1">
      <alignment horizontal="right"/>
    </xf>
    <xf numFmtId="0" fontId="65" fillId="0" borderId="0" xfId="0" applyFont="1" applyAlignment="1">
      <alignment horizontal="left" wrapText="1"/>
    </xf>
    <xf numFmtId="0" fontId="0" fillId="0" borderId="0" xfId="0" applyBorder="1"/>
    <xf numFmtId="0" fontId="101" fillId="0" borderId="1" xfId="0" applyFont="1" applyBorder="1" applyAlignment="1">
      <alignment wrapText="1"/>
    </xf>
    <xf numFmtId="0" fontId="101" fillId="0" borderId="0" xfId="0" applyFont="1" applyBorder="1" applyAlignment="1">
      <alignment horizontal="center" wrapText="1"/>
    </xf>
    <xf numFmtId="0" fontId="5" fillId="0" borderId="0" xfId="0" applyFont="1" applyBorder="1"/>
    <xf numFmtId="0" fontId="5" fillId="0" borderId="0" xfId="0" applyFont="1"/>
    <xf numFmtId="0" fontId="2" fillId="0" borderId="1" xfId="0" applyFont="1" applyFill="1" applyBorder="1" applyAlignment="1">
      <alignment vertical="center" wrapText="1"/>
    </xf>
    <xf numFmtId="0" fontId="24" fillId="0" borderId="1" xfId="0" applyFont="1" applyFill="1" applyBorder="1" applyAlignment="1">
      <alignment wrapText="1"/>
    </xf>
    <xf numFmtId="0" fontId="1" fillId="0" borderId="1" xfId="0" applyFont="1" applyBorder="1" applyAlignment="1">
      <alignment horizontal="center"/>
    </xf>
    <xf numFmtId="10" fontId="1" fillId="0" borderId="1" xfId="0" applyNumberFormat="1" applyFont="1" applyBorder="1" applyAlignment="1">
      <alignment horizontal="center"/>
    </xf>
    <xf numFmtId="2" fontId="62" fillId="0" borderId="0" xfId="0" applyNumberFormat="1" applyFont="1" applyFill="1" applyProtection="1">
      <protection hidden="1"/>
    </xf>
    <xf numFmtId="164" fontId="24" fillId="0" borderId="0" xfId="0" applyNumberFormat="1" applyFont="1" applyBorder="1" applyAlignment="1">
      <alignment horizontal="right"/>
    </xf>
    <xf numFmtId="0" fontId="2" fillId="0" borderId="0" xfId="0" applyNumberFormat="1" applyFont="1" applyFill="1" applyAlignment="1">
      <alignment horizontal="left"/>
    </xf>
    <xf numFmtId="17" fontId="5" fillId="0" borderId="0" xfId="0" applyNumberFormat="1" applyFont="1" applyFill="1" applyAlignment="1">
      <alignment horizontal="center"/>
    </xf>
    <xf numFmtId="15" fontId="5" fillId="0" borderId="0" xfId="0" applyNumberFormat="1" applyFont="1" applyFill="1" applyAlignment="1">
      <alignment horizontal="center"/>
    </xf>
    <xf numFmtId="0" fontId="103" fillId="0" borderId="0" xfId="0" quotePrefix="1" applyFont="1"/>
    <xf numFmtId="0" fontId="39" fillId="0" borderId="0" xfId="0" applyFont="1"/>
    <xf numFmtId="0" fontId="4" fillId="0" borderId="1" xfId="0" applyFont="1" applyFill="1" applyBorder="1" applyAlignment="1">
      <alignment horizontal="center" vertical="center" wrapText="1"/>
    </xf>
    <xf numFmtId="166" fontId="4" fillId="0" borderId="1" xfId="0" applyNumberFormat="1" applyFont="1" applyBorder="1" applyAlignment="1">
      <alignment horizontal="center"/>
    </xf>
    <xf numFmtId="166" fontId="4" fillId="0" borderId="1" xfId="0" applyNumberFormat="1" applyFont="1" applyFill="1" applyBorder="1" applyAlignment="1">
      <alignment horizontal="center"/>
    </xf>
    <xf numFmtId="1" fontId="5" fillId="0" borderId="1" xfId="0" applyNumberFormat="1" applyFont="1" applyFill="1" applyBorder="1" applyAlignment="1">
      <alignment horizontal="right"/>
    </xf>
    <xf numFmtId="1" fontId="5" fillId="17" borderId="1" xfId="0" applyNumberFormat="1" applyFont="1" applyFill="1" applyBorder="1" applyAlignment="1">
      <alignment horizontal="right"/>
    </xf>
    <xf numFmtId="165" fontId="5" fillId="15" borderId="1" xfId="0" applyNumberFormat="1" applyFont="1" applyFill="1" applyBorder="1" applyAlignment="1">
      <alignment horizontal="right"/>
    </xf>
    <xf numFmtId="1" fontId="5" fillId="15" borderId="1" xfId="0" applyNumberFormat="1" applyFont="1" applyFill="1" applyBorder="1" applyAlignment="1">
      <alignment horizontal="right"/>
    </xf>
    <xf numFmtId="1" fontId="5" fillId="13" borderId="1" xfId="0" applyNumberFormat="1" applyFont="1" applyFill="1" applyBorder="1" applyAlignment="1">
      <alignment horizontal="right"/>
    </xf>
    <xf numFmtId="1" fontId="5" fillId="14" borderId="1" xfId="0" applyNumberFormat="1" applyFont="1" applyFill="1" applyBorder="1" applyAlignment="1">
      <alignment horizontal="right"/>
    </xf>
    <xf numFmtId="1" fontId="5" fillId="0" borderId="1" xfId="0" applyNumberFormat="1" applyFont="1" applyBorder="1" applyAlignment="1">
      <alignment horizontal="right"/>
    </xf>
    <xf numFmtId="164" fontId="4" fillId="0" borderId="1" xfId="0" applyNumberFormat="1" applyFont="1" applyFill="1" applyBorder="1" applyAlignment="1">
      <alignment horizontal="right"/>
    </xf>
    <xf numFmtId="164" fontId="5" fillId="0" borderId="1" xfId="0" applyNumberFormat="1" applyFont="1" applyBorder="1"/>
    <xf numFmtId="0" fontId="5" fillId="0" borderId="1" xfId="0" applyFont="1" applyBorder="1"/>
    <xf numFmtId="1" fontId="5" fillId="16" borderId="1" xfId="0" applyNumberFormat="1" applyFont="1" applyFill="1" applyBorder="1"/>
    <xf numFmtId="1" fontId="5" fillId="0" borderId="1" xfId="0" applyNumberFormat="1"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4" fillId="16" borderId="1" xfId="0" applyFont="1" applyFill="1" applyBorder="1" applyAlignment="1">
      <alignment wrapText="1"/>
    </xf>
    <xf numFmtId="0" fontId="104" fillId="0" borderId="1" xfId="0" applyFont="1" applyFill="1" applyBorder="1" applyAlignment="1">
      <alignment wrapText="1"/>
    </xf>
    <xf numFmtId="0" fontId="5" fillId="16" borderId="0" xfId="0" applyFont="1" applyFill="1"/>
    <xf numFmtId="0" fontId="4" fillId="14" borderId="1" xfId="0" applyFont="1" applyFill="1" applyBorder="1" applyAlignment="1">
      <alignment wrapText="1"/>
    </xf>
    <xf numFmtId="0" fontId="5" fillId="14" borderId="0" xfId="0" applyFont="1" applyFill="1"/>
    <xf numFmtId="0" fontId="4" fillId="13" borderId="1" xfId="0" applyFont="1" applyFill="1" applyBorder="1" applyAlignment="1">
      <alignment wrapText="1"/>
    </xf>
    <xf numFmtId="0" fontId="5" fillId="13" borderId="0" xfId="0" applyFont="1" applyFill="1"/>
    <xf numFmtId="0" fontId="4" fillId="17" borderId="1" xfId="0" applyFont="1" applyFill="1" applyBorder="1" applyAlignment="1">
      <alignment wrapText="1"/>
    </xf>
    <xf numFmtId="0" fontId="104" fillId="17" borderId="1" xfId="0" applyFont="1" applyFill="1" applyBorder="1" applyAlignment="1">
      <alignment wrapText="1"/>
    </xf>
    <xf numFmtId="0" fontId="4" fillId="17" borderId="1" xfId="0" applyFont="1" applyFill="1" applyBorder="1"/>
    <xf numFmtId="0" fontId="4" fillId="12" borderId="1" xfId="0" applyFont="1" applyFill="1" applyBorder="1" applyAlignment="1">
      <alignment wrapText="1"/>
    </xf>
    <xf numFmtId="0" fontId="4" fillId="15" borderId="1" xfId="0" applyFont="1" applyFill="1" applyBorder="1" applyAlignment="1">
      <alignment wrapText="1"/>
    </xf>
    <xf numFmtId="0" fontId="5" fillId="15" borderId="0" xfId="0" applyFont="1" applyFill="1"/>
    <xf numFmtId="0" fontId="4" fillId="0" borderId="1" xfId="0" applyFont="1" applyFill="1" applyBorder="1"/>
    <xf numFmtId="15" fontId="2" fillId="0" borderId="0" xfId="0" applyNumberFormat="1" applyFont="1" applyAlignment="1">
      <alignment horizontal="center"/>
    </xf>
    <xf numFmtId="3" fontId="2" fillId="0" borderId="1" xfId="0" applyNumberFormat="1" applyFont="1" applyFill="1" applyBorder="1"/>
    <xf numFmtId="3" fontId="2" fillId="0" borderId="1" xfId="0" applyNumberFormat="1" applyFont="1" applyBorder="1"/>
    <xf numFmtId="0" fontId="105" fillId="0" borderId="1" xfId="0" applyFont="1" applyFill="1" applyBorder="1" applyAlignment="1">
      <alignment wrapText="1"/>
    </xf>
    <xf numFmtId="0" fontId="1" fillId="0" borderId="1" xfId="0" applyFont="1" applyBorder="1" applyAlignment="1">
      <alignment horizontal="center"/>
    </xf>
    <xf numFmtId="0" fontId="2" fillId="0" borderId="1" xfId="0" applyFont="1" applyBorder="1" applyAlignment="1">
      <alignment horizontal="left"/>
    </xf>
    <xf numFmtId="0" fontId="65" fillId="0" borderId="0" xfId="0" applyFont="1" applyAlignment="1">
      <alignment horizontal="left" wrapText="1"/>
    </xf>
    <xf numFmtId="0" fontId="48" fillId="0" borderId="0" xfId="0" applyFont="1" applyFill="1"/>
    <xf numFmtId="0" fontId="65" fillId="0" borderId="0" xfId="0" applyFont="1" applyFill="1" applyBorder="1" applyAlignment="1">
      <alignment horizontal="center"/>
    </xf>
    <xf numFmtId="10" fontId="83" fillId="0" borderId="0" xfId="0" applyNumberFormat="1" applyFont="1" applyFill="1" applyBorder="1" applyAlignment="1">
      <alignment horizontal="center" wrapText="1"/>
    </xf>
    <xf numFmtId="0" fontId="75" fillId="0" borderId="0" xfId="0" applyFont="1" applyFill="1" applyBorder="1" applyAlignment="1">
      <alignment horizontal="center"/>
    </xf>
    <xf numFmtId="10" fontId="88" fillId="0" borderId="0" xfId="0" applyNumberFormat="1" applyFont="1" applyFill="1" applyBorder="1" applyAlignment="1">
      <alignment horizontal="center" wrapText="1"/>
    </xf>
    <xf numFmtId="0" fontId="83" fillId="0" borderId="0" xfId="0" applyFont="1" applyBorder="1" applyAlignment="1">
      <alignment horizontal="center"/>
    </xf>
    <xf numFmtId="10" fontId="83" fillId="0" borderId="0" xfId="0" applyNumberFormat="1" applyFont="1" applyBorder="1" applyAlignment="1">
      <alignment horizontal="center"/>
    </xf>
    <xf numFmtId="0" fontId="83" fillId="0" borderId="0" xfId="0" applyFont="1" applyFill="1" applyBorder="1" applyAlignment="1">
      <alignment horizontal="center"/>
    </xf>
    <xf numFmtId="10" fontId="83" fillId="0" borderId="0" xfId="0" applyNumberFormat="1" applyFont="1" applyFill="1" applyBorder="1" applyAlignment="1">
      <alignment horizontal="center"/>
    </xf>
    <xf numFmtId="0" fontId="88" fillId="0" borderId="0" xfId="0" applyFont="1" applyFill="1" applyBorder="1" applyAlignment="1">
      <alignment horizontal="center"/>
    </xf>
    <xf numFmtId="10" fontId="88" fillId="0" borderId="0" xfId="0" applyNumberFormat="1" applyFont="1" applyFill="1" applyBorder="1" applyAlignment="1">
      <alignment horizontal="center"/>
    </xf>
    <xf numFmtId="10" fontId="75" fillId="0" borderId="0" xfId="0" applyNumberFormat="1" applyFont="1" applyFill="1" applyBorder="1" applyAlignment="1">
      <alignment horizontal="center"/>
    </xf>
    <xf numFmtId="10" fontId="0" fillId="0" borderId="0" xfId="0" applyNumberFormat="1"/>
    <xf numFmtId="0" fontId="47" fillId="0" borderId="0" xfId="0" applyNumberFormat="1" applyFont="1" applyFill="1"/>
    <xf numFmtId="0" fontId="2" fillId="0" borderId="0" xfId="0" applyNumberFormat="1" applyFont="1" applyFill="1"/>
    <xf numFmtId="0" fontId="47" fillId="0" borderId="0" xfId="0" applyFont="1" applyFill="1" applyAlignment="1">
      <alignment horizontal="center"/>
    </xf>
    <xf numFmtId="0" fontId="1" fillId="0" borderId="0" xfId="0" applyFont="1" applyFill="1" applyAlignment="1">
      <alignment horizontal="center"/>
    </xf>
    <xf numFmtId="17" fontId="47" fillId="0" borderId="0" xfId="0" applyNumberFormat="1" applyFont="1" applyFill="1" applyAlignment="1">
      <alignment horizontal="center"/>
    </xf>
    <xf numFmtId="17" fontId="47" fillId="0" borderId="0" xfId="0" quotePrefix="1" applyNumberFormat="1" applyFont="1" applyFill="1" applyAlignment="1">
      <alignment horizontal="center"/>
    </xf>
    <xf numFmtId="0" fontId="81" fillId="0" borderId="0" xfId="0" applyFont="1" applyFill="1"/>
    <xf numFmtId="0" fontId="76" fillId="0" borderId="0" xfId="0" applyFont="1" applyFill="1"/>
    <xf numFmtId="166" fontId="2" fillId="0" borderId="1" xfId="0" applyNumberFormat="1" applyFont="1" applyFill="1" applyBorder="1" applyAlignment="1">
      <alignment horizontal="center"/>
    </xf>
    <xf numFmtId="0" fontId="2" fillId="0" borderId="1" xfId="0" applyNumberFormat="1" applyFont="1" applyFill="1" applyBorder="1" applyAlignment="1">
      <alignment horizontal="center"/>
    </xf>
    <xf numFmtId="1" fontId="2" fillId="0" borderId="1" xfId="0" applyNumberFormat="1" applyFont="1" applyFill="1" applyBorder="1" applyAlignment="1">
      <alignment horizontal="center"/>
    </xf>
    <xf numFmtId="0" fontId="5" fillId="0" borderId="1" xfId="0" applyNumberFormat="1" applyFont="1" applyFill="1" applyBorder="1" applyAlignment="1">
      <alignment horizontal="center"/>
    </xf>
    <xf numFmtId="0" fontId="14" fillId="0" borderId="0" xfId="0" applyFont="1" applyFill="1" applyAlignment="1">
      <alignment vertical="center"/>
    </xf>
    <xf numFmtId="3" fontId="0" fillId="0" borderId="1" xfId="0" applyNumberFormat="1" applyBorder="1"/>
    <xf numFmtId="0" fontId="40" fillId="0" borderId="0" xfId="2" applyFont="1" applyBorder="1"/>
    <xf numFmtId="17" fontId="2" fillId="0" borderId="0" xfId="0" applyNumberFormat="1" applyFont="1" applyFill="1" applyAlignment="1">
      <alignment horizontal="left"/>
    </xf>
    <xf numFmtId="49" fontId="40" fillId="8" borderId="45" xfId="62" applyNumberFormat="1" applyFont="1" applyFill="1" applyBorder="1" applyAlignment="1">
      <alignment horizontal="right"/>
    </xf>
    <xf numFmtId="0" fontId="9" fillId="0" borderId="0" xfId="3" applyFont="1" applyFill="1"/>
    <xf numFmtId="165" fontId="9" fillId="0" borderId="0" xfId="3" applyNumberFormat="1" applyFont="1" applyFill="1" applyAlignment="1">
      <alignment vertical="center"/>
    </xf>
    <xf numFmtId="167" fontId="2" fillId="0" borderId="0" xfId="0" applyNumberFormat="1" applyFont="1" applyFill="1"/>
    <xf numFmtId="165" fontId="47" fillId="0" borderId="0" xfId="0" applyNumberFormat="1" applyFont="1" applyFill="1"/>
    <xf numFmtId="0" fontId="9" fillId="0" borderId="0" xfId="3" applyFont="1" applyBorder="1" applyAlignment="1">
      <alignment horizontal="center" vertical="center"/>
    </xf>
    <xf numFmtId="0" fontId="9" fillId="0" borderId="0" xfId="3" applyFont="1" applyFill="1" applyBorder="1" applyAlignment="1">
      <alignment horizontal="center" vertical="center"/>
    </xf>
    <xf numFmtId="165" fontId="2" fillId="0" borderId="1" xfId="0" applyNumberFormat="1" applyFont="1" applyBorder="1" applyAlignment="1">
      <alignment horizontal="center"/>
    </xf>
    <xf numFmtId="169" fontId="11" fillId="8" borderId="10" xfId="0" applyNumberFormat="1" applyFont="1" applyFill="1" applyBorder="1" applyAlignment="1">
      <alignment horizontal="right" vertical="center" wrapText="1"/>
    </xf>
    <xf numFmtId="169" fontId="11" fillId="0" borderId="10" xfId="0" applyNumberFormat="1" applyFont="1" applyFill="1" applyBorder="1" applyAlignment="1">
      <alignment horizontal="right" vertical="center" wrapText="1"/>
    </xf>
    <xf numFmtId="0" fontId="2" fillId="10" borderId="1" xfId="0" applyFont="1" applyFill="1" applyBorder="1"/>
    <xf numFmtId="0" fontId="1" fillId="0" borderId="1" xfId="0" applyFont="1" applyBorder="1" applyAlignment="1">
      <alignment horizontal="center"/>
    </xf>
    <xf numFmtId="3" fontId="4" fillId="0" borderId="1" xfId="0" applyNumberFormat="1" applyFont="1" applyFill="1" applyBorder="1" applyAlignment="1" applyProtection="1">
      <alignment horizontal="center" wrapText="1"/>
      <protection locked="0"/>
    </xf>
    <xf numFmtId="166" fontId="18" fillId="2" borderId="19" xfId="0" applyNumberFormat="1" applyFont="1" applyFill="1" applyBorder="1" applyAlignment="1">
      <alignment horizontal="center" vertical="center" wrapText="1"/>
    </xf>
    <xf numFmtId="166" fontId="18" fillId="2" borderId="20" xfId="0" applyNumberFormat="1" applyFont="1" applyFill="1" applyBorder="1" applyAlignment="1">
      <alignment horizontal="center" vertical="center" wrapText="1"/>
    </xf>
    <xf numFmtId="166" fontId="18" fillId="2" borderId="15" xfId="0" applyNumberFormat="1" applyFont="1" applyFill="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17" fontId="6" fillId="0" borderId="21" xfId="0" applyNumberFormat="1" applyFont="1" applyBorder="1" applyAlignment="1">
      <alignment horizontal="center" vertical="center" wrapText="1"/>
    </xf>
    <xf numFmtId="17" fontId="6" fillId="0" borderId="22" xfId="0" applyNumberFormat="1" applyFont="1" applyBorder="1" applyAlignment="1">
      <alignment horizontal="center" vertical="center" wrapText="1"/>
    </xf>
    <xf numFmtId="17" fontId="6" fillId="0" borderId="8" xfId="0" applyNumberFormat="1" applyFont="1" applyBorder="1" applyAlignment="1">
      <alignment horizontal="center" vertical="center" wrapText="1"/>
    </xf>
    <xf numFmtId="0" fontId="18" fillId="2" borderId="21"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8" xfId="0" applyFont="1" applyFill="1" applyBorder="1" applyAlignment="1">
      <alignment horizontal="center" vertical="center"/>
    </xf>
    <xf numFmtId="164" fontId="18" fillId="0" borderId="19" xfId="0" applyNumberFormat="1" applyFont="1" applyBorder="1" applyAlignment="1">
      <alignment horizontal="center" vertical="center"/>
    </xf>
    <xf numFmtId="164" fontId="18" fillId="0" borderId="23" xfId="0" applyNumberFormat="1" applyFont="1" applyBorder="1" applyAlignment="1">
      <alignment horizontal="center" vertical="center"/>
    </xf>
    <xf numFmtId="164" fontId="18" fillId="0" borderId="21" xfId="0" applyNumberFormat="1" applyFont="1" applyBorder="1" applyAlignment="1">
      <alignment horizontal="center" vertical="center"/>
    </xf>
    <xf numFmtId="164" fontId="18" fillId="0" borderId="20" xfId="0" applyNumberFormat="1" applyFont="1" applyBorder="1" applyAlignment="1">
      <alignment horizontal="center" vertical="center"/>
    </xf>
    <xf numFmtId="164" fontId="18" fillId="0" borderId="0" xfId="0" applyNumberFormat="1" applyFont="1" applyBorder="1" applyAlignment="1">
      <alignment horizontal="center" vertical="center"/>
    </xf>
    <xf numFmtId="164" fontId="18" fillId="0" borderId="22" xfId="0" applyNumberFormat="1" applyFont="1" applyBorder="1" applyAlignment="1">
      <alignment horizontal="center" vertical="center"/>
    </xf>
    <xf numFmtId="164" fontId="18" fillId="0" borderId="15" xfId="0" applyNumberFormat="1" applyFont="1" applyBorder="1" applyAlignment="1">
      <alignment horizontal="center" vertical="center"/>
    </xf>
    <xf numFmtId="164" fontId="18" fillId="0" borderId="16" xfId="0" applyNumberFormat="1" applyFont="1" applyBorder="1" applyAlignment="1">
      <alignment horizontal="center" vertical="center"/>
    </xf>
    <xf numFmtId="164" fontId="18" fillId="0" borderId="8" xfId="0" applyNumberFormat="1" applyFont="1" applyBorder="1" applyAlignment="1">
      <alignment horizontal="center" vertical="center"/>
    </xf>
    <xf numFmtId="0" fontId="18" fillId="6" borderId="7"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6" xfId="0" applyFont="1" applyFill="1" applyBorder="1" applyAlignment="1">
      <alignment horizontal="center" vertic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2" fontId="6" fillId="2" borderId="20" xfId="0" applyNumberFormat="1" applyFont="1" applyFill="1" applyBorder="1" applyAlignment="1">
      <alignment horizontal="center" vertical="center"/>
    </xf>
    <xf numFmtId="2" fontId="6" fillId="2" borderId="15"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0" fontId="18" fillId="2" borderId="21" xfId="0" applyFont="1" applyFill="1" applyBorder="1" applyAlignment="1">
      <alignment horizontal="left" vertical="center"/>
    </xf>
    <xf numFmtId="0" fontId="18" fillId="2" borderId="22" xfId="0" applyFont="1" applyFill="1" applyBorder="1" applyAlignment="1">
      <alignment horizontal="left" vertical="center"/>
    </xf>
    <xf numFmtId="0" fontId="18" fillId="2" borderId="8" xfId="0" applyFont="1" applyFill="1" applyBorder="1" applyAlignment="1">
      <alignment horizontal="left" vertical="center"/>
    </xf>
    <xf numFmtId="164" fontId="6" fillId="2" borderId="19" xfId="0" applyNumberFormat="1" applyFont="1" applyFill="1" applyBorder="1" applyAlignment="1">
      <alignment horizontal="center" vertical="center"/>
    </xf>
    <xf numFmtId="164" fontId="6" fillId="2" borderId="20" xfId="0" applyNumberFormat="1" applyFont="1" applyFill="1" applyBorder="1" applyAlignment="1">
      <alignment horizontal="center" vertical="center"/>
    </xf>
    <xf numFmtId="164" fontId="6" fillId="2" borderId="15" xfId="0" applyNumberFormat="1" applyFont="1" applyFill="1" applyBorder="1" applyAlignment="1">
      <alignment horizontal="center"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8" fillId="6" borderId="7"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6" xfId="0" applyFont="1" applyFill="1" applyBorder="1" applyAlignment="1">
      <alignment horizontal="center" vertical="center"/>
    </xf>
    <xf numFmtId="166" fontId="8" fillId="2" borderId="19" xfId="0" applyNumberFormat="1" applyFont="1" applyFill="1" applyBorder="1" applyAlignment="1">
      <alignment horizontal="center" vertical="center" wrapText="1"/>
    </xf>
    <xf numFmtId="166" fontId="8" fillId="2" borderId="20" xfId="0" applyNumberFormat="1" applyFont="1" applyFill="1" applyBorder="1" applyAlignment="1">
      <alignment horizontal="center" vertical="center" wrapText="1"/>
    </xf>
    <xf numFmtId="166" fontId="8" fillId="2" borderId="15" xfId="0" applyNumberFormat="1" applyFont="1" applyFill="1" applyBorder="1" applyAlignment="1">
      <alignment horizontal="center" vertical="center" wrapText="1"/>
    </xf>
    <xf numFmtId="164" fontId="18" fillId="2" borderId="19" xfId="0" applyNumberFormat="1" applyFont="1" applyFill="1" applyBorder="1" applyAlignment="1">
      <alignment horizontal="center" vertical="center"/>
    </xf>
    <xf numFmtId="164" fontId="18" fillId="2" borderId="20"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0" fontId="18" fillId="5" borderId="7"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6"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15" xfId="0" applyFont="1" applyFill="1" applyBorder="1" applyAlignment="1">
      <alignment horizontal="center" vertical="center"/>
    </xf>
    <xf numFmtId="166" fontId="6" fillId="2" borderId="21" xfId="0" applyNumberFormat="1" applyFont="1" applyFill="1" applyBorder="1" applyAlignment="1">
      <alignment horizontal="center" vertical="center" wrapText="1"/>
    </xf>
    <xf numFmtId="166" fontId="6" fillId="2" borderId="22" xfId="0" applyNumberFormat="1" applyFont="1" applyFill="1" applyBorder="1" applyAlignment="1">
      <alignment horizontal="center" vertical="center" wrapText="1"/>
    </xf>
    <xf numFmtId="166" fontId="6" fillId="2" borderId="8"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0" fontId="18" fillId="0" borderId="3" xfId="0" applyFont="1" applyFill="1" applyBorder="1" applyAlignment="1">
      <alignment vertical="center" wrapText="1"/>
    </xf>
    <xf numFmtId="0" fontId="18" fillId="0" borderId="5" xfId="0" applyFont="1" applyFill="1" applyBorder="1" applyAlignment="1">
      <alignment vertical="center" wrapText="1"/>
    </xf>
    <xf numFmtId="0" fontId="18" fillId="0" borderId="4" xfId="0" applyFont="1" applyFill="1" applyBorder="1" applyAlignment="1">
      <alignment vertical="center" wrapText="1"/>
    </xf>
    <xf numFmtId="17" fontId="6" fillId="2" borderId="21" xfId="0" applyNumberFormat="1" applyFont="1" applyFill="1" applyBorder="1" applyAlignment="1">
      <alignment horizontal="center" vertical="center" wrapText="1"/>
    </xf>
    <xf numFmtId="17" fontId="6" fillId="2" borderId="22" xfId="0" applyNumberFormat="1" applyFont="1" applyFill="1" applyBorder="1" applyAlignment="1">
      <alignment horizontal="center" vertical="center" wrapText="1"/>
    </xf>
    <xf numFmtId="17" fontId="6" fillId="2" borderId="8" xfId="0" applyNumberFormat="1" applyFont="1" applyFill="1" applyBorder="1" applyAlignment="1">
      <alignment horizontal="center" vertical="center" wrapText="1"/>
    </xf>
    <xf numFmtId="0" fontId="18" fillId="2" borderId="3" xfId="0" applyFont="1" applyFill="1" applyBorder="1" applyAlignment="1">
      <alignment vertical="center" wrapText="1"/>
    </xf>
    <xf numFmtId="0" fontId="18" fillId="2" borderId="5" xfId="0" applyFont="1" applyFill="1" applyBorder="1" applyAlignment="1">
      <alignment vertical="center" wrapText="1"/>
    </xf>
    <xf numFmtId="0" fontId="18" fillId="2" borderId="4" xfId="0" applyFont="1" applyFill="1" applyBorder="1" applyAlignment="1">
      <alignment vertical="center" wrapText="1"/>
    </xf>
    <xf numFmtId="0" fontId="6" fillId="0" borderId="3" xfId="0" applyFont="1" applyFill="1" applyBorder="1" applyAlignment="1">
      <alignment vertical="center" wrapText="1"/>
    </xf>
    <xf numFmtId="0" fontId="6" fillId="0" borderId="5" xfId="0" applyFont="1" applyFill="1" applyBorder="1" applyAlignment="1">
      <alignment vertical="center" wrapText="1"/>
    </xf>
    <xf numFmtId="0" fontId="6" fillId="0" borderId="4" xfId="0" applyFont="1" applyFill="1" applyBorder="1" applyAlignment="1">
      <alignment vertical="center" wrapText="1"/>
    </xf>
    <xf numFmtId="0" fontId="18" fillId="0" borderId="19" xfId="0" applyNumberFormat="1" applyFont="1" applyFill="1" applyBorder="1" applyAlignment="1">
      <alignment horizontal="center" vertical="center" wrapText="1"/>
    </xf>
    <xf numFmtId="0" fontId="18" fillId="0" borderId="23" xfId="0" applyNumberFormat="1" applyFont="1" applyFill="1" applyBorder="1" applyAlignment="1">
      <alignment horizontal="center" vertical="center" wrapText="1"/>
    </xf>
    <xf numFmtId="0" fontId="18" fillId="0" borderId="21" xfId="0" applyNumberFormat="1" applyFont="1" applyFill="1" applyBorder="1" applyAlignment="1">
      <alignment horizontal="center" vertical="center" wrapText="1"/>
    </xf>
    <xf numFmtId="0" fontId="18" fillId="0" borderId="20" xfId="0" applyNumberFormat="1" applyFont="1" applyFill="1" applyBorder="1" applyAlignment="1">
      <alignment horizontal="center" vertical="center" wrapText="1"/>
    </xf>
    <xf numFmtId="0" fontId="18" fillId="0" borderId="0" xfId="0" applyNumberFormat="1" applyFont="1" applyFill="1" applyBorder="1" applyAlignment="1">
      <alignment horizontal="center" vertical="center" wrapText="1"/>
    </xf>
    <xf numFmtId="0" fontId="18" fillId="0" borderId="22" xfId="0" applyNumberFormat="1"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0" fontId="18" fillId="0" borderId="16" xfId="0" applyNumberFormat="1" applyFont="1" applyFill="1" applyBorder="1" applyAlignment="1">
      <alignment horizontal="center" vertical="center" wrapText="1"/>
    </xf>
    <xf numFmtId="0" fontId="18" fillId="0" borderId="8" xfId="0" applyNumberFormat="1" applyFont="1" applyFill="1" applyBorder="1" applyAlignment="1">
      <alignment horizontal="center" vertical="center" wrapText="1"/>
    </xf>
    <xf numFmtId="0" fontId="6" fillId="0" borderId="3" xfId="0" applyFont="1" applyBorder="1" applyAlignment="1">
      <alignment vertical="center" wrapText="1"/>
    </xf>
    <xf numFmtId="0" fontId="18" fillId="0" borderId="5" xfId="0" applyFont="1" applyBorder="1" applyAlignment="1">
      <alignment vertical="center" wrapText="1"/>
    </xf>
    <xf numFmtId="0" fontId="18" fillId="0" borderId="4" xfId="0" applyFont="1" applyBorder="1" applyAlignment="1">
      <alignment vertical="center" wrapText="1"/>
    </xf>
    <xf numFmtId="0" fontId="18" fillId="0" borderId="3" xfId="0" applyFont="1" applyBorder="1" applyAlignment="1">
      <alignment vertical="center" wrapText="1"/>
    </xf>
    <xf numFmtId="0" fontId="6" fillId="0" borderId="5" xfId="0" applyFont="1" applyBorder="1" applyAlignment="1">
      <alignment vertical="center" wrapText="1"/>
    </xf>
    <xf numFmtId="0" fontId="6" fillId="0" borderId="4" xfId="0" applyFont="1" applyBorder="1" applyAlignment="1">
      <alignment vertical="center" wrapText="1"/>
    </xf>
    <xf numFmtId="0" fontId="33" fillId="0" borderId="7"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6" xfId="0" applyFont="1" applyBorder="1" applyAlignment="1">
      <alignment horizontal="center" vertical="center" wrapText="1"/>
    </xf>
    <xf numFmtId="0" fontId="18" fillId="0" borderId="3" xfId="0" applyNumberFormat="1" applyFont="1" applyFill="1" applyBorder="1" applyAlignment="1">
      <alignment horizontal="center" vertical="center" wrapText="1"/>
    </xf>
    <xf numFmtId="0" fontId="18" fillId="0" borderId="5" xfId="0" applyNumberFormat="1" applyFont="1" applyFill="1" applyBorder="1" applyAlignment="1">
      <alignment horizontal="center" vertical="center" wrapText="1"/>
    </xf>
    <xf numFmtId="0" fontId="18" fillId="0" borderId="4" xfId="0" applyNumberFormat="1" applyFont="1" applyFill="1" applyBorder="1" applyAlignment="1">
      <alignment horizontal="center" vertical="center" wrapText="1"/>
    </xf>
    <xf numFmtId="17" fontId="45" fillId="2" borderId="14" xfId="0" applyNumberFormat="1" applyFont="1" applyFill="1" applyBorder="1" applyAlignment="1">
      <alignment horizontal="center" vertical="center" wrapText="1"/>
    </xf>
    <xf numFmtId="17" fontId="45" fillId="2" borderId="6" xfId="0" applyNumberFormat="1" applyFont="1" applyFill="1" applyBorder="1" applyAlignment="1">
      <alignment horizontal="center" vertical="center" wrapText="1"/>
    </xf>
    <xf numFmtId="166" fontId="45" fillId="2" borderId="14" xfId="0" applyNumberFormat="1" applyFont="1" applyFill="1" applyBorder="1" applyAlignment="1">
      <alignment horizontal="center" vertical="center" wrapText="1"/>
    </xf>
    <xf numFmtId="166" fontId="45" fillId="2" borderId="6" xfId="0" applyNumberFormat="1" applyFont="1" applyFill="1" applyBorder="1" applyAlignment="1">
      <alignment horizontal="center" vertical="center" wrapText="1"/>
    </xf>
    <xf numFmtId="17" fontId="18" fillId="2" borderId="19" xfId="0" applyNumberFormat="1" applyFont="1" applyFill="1" applyBorder="1" applyAlignment="1">
      <alignment horizontal="center" vertical="center" wrapText="1"/>
    </xf>
    <xf numFmtId="17" fontId="18" fillId="2" borderId="23" xfId="0" applyNumberFormat="1" applyFont="1" applyFill="1" applyBorder="1" applyAlignment="1">
      <alignment horizontal="center" vertical="center" wrapText="1"/>
    </xf>
    <xf numFmtId="17" fontId="18" fillId="2" borderId="21" xfId="0" applyNumberFormat="1" applyFont="1" applyFill="1" applyBorder="1" applyAlignment="1">
      <alignment horizontal="center" vertical="center" wrapText="1"/>
    </xf>
    <xf numFmtId="17" fontId="18" fillId="2" borderId="20" xfId="0" applyNumberFormat="1" applyFont="1" applyFill="1" applyBorder="1" applyAlignment="1">
      <alignment horizontal="center" vertical="center" wrapText="1"/>
    </xf>
    <xf numFmtId="17" fontId="18" fillId="2" borderId="0" xfId="0" applyNumberFormat="1" applyFont="1" applyFill="1" applyBorder="1" applyAlignment="1">
      <alignment horizontal="center" vertical="center" wrapText="1"/>
    </xf>
    <xf numFmtId="17" fontId="18" fillId="2" borderId="22" xfId="0" applyNumberFormat="1" applyFont="1" applyFill="1" applyBorder="1" applyAlignment="1">
      <alignment horizontal="center" vertical="center" wrapText="1"/>
    </xf>
    <xf numFmtId="17" fontId="18" fillId="2" borderId="15" xfId="0" applyNumberFormat="1" applyFont="1" applyFill="1" applyBorder="1" applyAlignment="1">
      <alignment horizontal="center" vertical="center" wrapText="1"/>
    </xf>
    <xf numFmtId="17" fontId="18" fillId="2" borderId="16" xfId="0" applyNumberFormat="1" applyFont="1" applyFill="1" applyBorder="1" applyAlignment="1">
      <alignment horizontal="center" vertical="center" wrapText="1"/>
    </xf>
    <xf numFmtId="17" fontId="18" fillId="2" borderId="8" xfId="0" applyNumberFormat="1" applyFont="1" applyFill="1" applyBorder="1" applyAlignment="1">
      <alignment horizontal="center" vertical="center" wrapText="1"/>
    </xf>
    <xf numFmtId="0" fontId="45" fillId="0" borderId="7" xfId="0" applyFont="1" applyBorder="1" applyAlignment="1">
      <alignment horizontal="center" vertical="center" wrapText="1"/>
    </xf>
    <xf numFmtId="0" fontId="45" fillId="0" borderId="6" xfId="0" applyFont="1" applyBorder="1" applyAlignment="1">
      <alignment horizontal="center" vertical="center" wrapText="1"/>
    </xf>
    <xf numFmtId="166" fontId="45" fillId="0" borderId="7" xfId="0" applyNumberFormat="1" applyFont="1" applyFill="1" applyBorder="1" applyAlignment="1">
      <alignment horizontal="center" vertical="center" wrapText="1"/>
    </xf>
    <xf numFmtId="166" fontId="45" fillId="0" borderId="14"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166" fontId="45" fillId="0" borderId="7" xfId="0" applyNumberFormat="1" applyFont="1" applyFill="1" applyBorder="1" applyAlignment="1">
      <alignment horizontal="center" vertical="center"/>
    </xf>
    <xf numFmtId="166" fontId="45" fillId="0" borderId="6" xfId="0" applyNumberFormat="1" applyFont="1" applyFill="1" applyBorder="1" applyAlignment="1">
      <alignment horizontal="center" vertical="center"/>
    </xf>
    <xf numFmtId="0" fontId="18" fillId="0" borderId="19"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45" fillId="0" borderId="7" xfId="0" applyFont="1" applyFill="1" applyBorder="1" applyAlignment="1">
      <alignment horizontal="center" vertical="center"/>
    </xf>
    <xf numFmtId="0" fontId="45" fillId="0" borderId="6" xfId="0" applyFont="1" applyFill="1" applyBorder="1" applyAlignment="1">
      <alignment horizontal="center" vertical="center"/>
    </xf>
    <xf numFmtId="0" fontId="23" fillId="10" borderId="3"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6" fillId="0" borderId="4"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4" xfId="0" applyFont="1" applyBorder="1" applyAlignment="1">
      <alignment horizontal="left" vertical="center" wrapText="1"/>
    </xf>
    <xf numFmtId="0" fontId="6" fillId="0" borderId="3" xfId="0" applyFont="1" applyBorder="1" applyAlignment="1">
      <alignment vertical="center"/>
    </xf>
    <xf numFmtId="0" fontId="6" fillId="0" borderId="5" xfId="0" applyFont="1" applyBorder="1" applyAlignment="1">
      <alignment vertical="center"/>
    </xf>
    <xf numFmtId="0" fontId="6" fillId="0" borderId="4" xfId="0" applyFont="1" applyBorder="1" applyAlignment="1">
      <alignment vertical="center"/>
    </xf>
    <xf numFmtId="0" fontId="18" fillId="3" borderId="7" xfId="0" applyFont="1" applyFill="1" applyBorder="1" applyAlignment="1">
      <alignment horizontal="center" vertical="center" wrapText="1"/>
    </xf>
    <xf numFmtId="0" fontId="18" fillId="3" borderId="6" xfId="0" applyFont="1" applyFill="1" applyBorder="1" applyAlignment="1">
      <alignment horizontal="center" vertical="center" wrapText="1"/>
    </xf>
    <xf numFmtId="166" fontId="45" fillId="2" borderId="7" xfId="0" applyNumberFormat="1" applyFont="1" applyFill="1" applyBorder="1" applyAlignment="1">
      <alignment horizontal="center" vertical="center" wrapText="1"/>
    </xf>
    <xf numFmtId="17" fontId="6" fillId="2" borderId="3" xfId="0" applyNumberFormat="1" applyFont="1" applyFill="1" applyBorder="1" applyAlignment="1">
      <alignment horizontal="center" vertical="center" wrapText="1"/>
    </xf>
    <xf numFmtId="0" fontId="19" fillId="0" borderId="3" xfId="0" applyFont="1" applyBorder="1" applyAlignment="1">
      <alignment vertical="center" wrapText="1"/>
    </xf>
    <xf numFmtId="0" fontId="19" fillId="0" borderId="5" xfId="0" applyFont="1" applyBorder="1" applyAlignment="1">
      <alignment vertical="center" wrapText="1"/>
    </xf>
    <xf numFmtId="0" fontId="19" fillId="0" borderId="4" xfId="0" applyFont="1" applyBorder="1" applyAlignment="1">
      <alignment vertical="center" wrapText="1"/>
    </xf>
    <xf numFmtId="0" fontId="19" fillId="0" borderId="19" xfId="0" applyNumberFormat="1" applyFont="1" applyFill="1" applyBorder="1" applyAlignment="1">
      <alignment horizontal="center" vertical="center"/>
    </xf>
    <xf numFmtId="0" fontId="19" fillId="0" borderId="23" xfId="0" applyNumberFormat="1" applyFont="1" applyFill="1" applyBorder="1" applyAlignment="1">
      <alignment horizontal="center" vertical="center"/>
    </xf>
    <xf numFmtId="0" fontId="19" fillId="0" borderId="21" xfId="0" applyNumberFormat="1" applyFont="1" applyFill="1" applyBorder="1" applyAlignment="1">
      <alignment horizontal="center" vertical="center"/>
    </xf>
    <xf numFmtId="0" fontId="19" fillId="0" borderId="20"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19" fillId="0" borderId="22" xfId="0" applyNumberFormat="1" applyFont="1" applyFill="1" applyBorder="1" applyAlignment="1">
      <alignment horizontal="center" vertical="center"/>
    </xf>
    <xf numFmtId="0" fontId="19" fillId="0" borderId="15" xfId="0" applyNumberFormat="1" applyFont="1" applyFill="1" applyBorder="1" applyAlignment="1">
      <alignment horizontal="center" vertical="center"/>
    </xf>
    <xf numFmtId="0" fontId="19" fillId="0" borderId="16" xfId="0" applyNumberFormat="1" applyFont="1" applyFill="1" applyBorder="1" applyAlignment="1">
      <alignment horizontal="center" vertical="center"/>
    </xf>
    <xf numFmtId="0" fontId="19" fillId="0" borderId="8" xfId="0" applyNumberFormat="1" applyFont="1" applyFill="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2" fontId="19" fillId="0" borderId="4" xfId="0" applyNumberFormat="1" applyFont="1" applyBorder="1" applyAlignment="1">
      <alignment horizontal="center" vertical="center"/>
    </xf>
    <xf numFmtId="164" fontId="18" fillId="0" borderId="3" xfId="0" applyNumberFormat="1" applyFont="1" applyBorder="1" applyAlignment="1">
      <alignment horizontal="center" vertical="center"/>
    </xf>
    <xf numFmtId="164" fontId="18" fillId="0" borderId="5" xfId="0" applyNumberFormat="1" applyFont="1" applyBorder="1" applyAlignment="1">
      <alignment horizontal="center" vertical="center"/>
    </xf>
    <xf numFmtId="164" fontId="18" fillId="0" borderId="4" xfId="0" applyNumberFormat="1" applyFont="1" applyBorder="1" applyAlignment="1">
      <alignment horizontal="center" vertical="center"/>
    </xf>
    <xf numFmtId="164" fontId="18" fillId="0" borderId="3" xfId="0" applyNumberFormat="1" applyFont="1" applyFill="1" applyBorder="1" applyAlignment="1">
      <alignment horizontal="center" vertical="center"/>
    </xf>
    <xf numFmtId="164" fontId="18" fillId="0" borderId="5" xfId="0" applyNumberFormat="1" applyFont="1" applyFill="1" applyBorder="1" applyAlignment="1">
      <alignment horizontal="center" vertical="center"/>
    </xf>
    <xf numFmtId="164" fontId="18" fillId="0" borderId="4" xfId="0" applyNumberFormat="1" applyFont="1" applyFill="1" applyBorder="1" applyAlignment="1">
      <alignment horizontal="center"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4" xfId="0" applyFont="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16" xfId="0" applyFont="1" applyFill="1" applyBorder="1" applyAlignment="1">
      <alignment horizontal="center" vertical="center"/>
    </xf>
    <xf numFmtId="0" fontId="19" fillId="0" borderId="3" xfId="0" applyNumberFormat="1" applyFont="1" applyFill="1" applyBorder="1" applyAlignment="1">
      <alignment horizontal="center" vertical="center" wrapText="1"/>
    </xf>
    <xf numFmtId="0" fontId="19" fillId="0" borderId="5" xfId="0" applyNumberFormat="1" applyFont="1" applyFill="1" applyBorder="1" applyAlignment="1">
      <alignment horizontal="center" vertical="center" wrapText="1"/>
    </xf>
    <xf numFmtId="0" fontId="19" fillId="0" borderId="4" xfId="0" applyNumberFormat="1"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8" fillId="0" borderId="19"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15" xfId="0" applyFont="1" applyFill="1" applyBorder="1" applyAlignment="1">
      <alignment horizontal="center" vertical="center"/>
    </xf>
    <xf numFmtId="0" fontId="18" fillId="0" borderId="8" xfId="0" applyFont="1" applyFill="1" applyBorder="1" applyAlignment="1">
      <alignment horizontal="center" vertical="center"/>
    </xf>
    <xf numFmtId="3" fontId="18" fillId="0" borderId="19" xfId="0" applyNumberFormat="1" applyFont="1" applyBorder="1" applyAlignment="1">
      <alignment horizontal="center" vertical="center"/>
    </xf>
    <xf numFmtId="3" fontId="18" fillId="0" borderId="23" xfId="0" applyNumberFormat="1" applyFont="1" applyBorder="1" applyAlignment="1">
      <alignment horizontal="center" vertical="center"/>
    </xf>
    <xf numFmtId="3" fontId="18" fillId="0" borderId="21" xfId="0" applyNumberFormat="1" applyFont="1" applyBorder="1" applyAlignment="1">
      <alignment horizontal="center" vertical="center"/>
    </xf>
    <xf numFmtId="3" fontId="18" fillId="0" borderId="20" xfId="0" applyNumberFormat="1" applyFont="1" applyBorder="1" applyAlignment="1">
      <alignment horizontal="center" vertical="center"/>
    </xf>
    <xf numFmtId="3" fontId="18" fillId="0" borderId="0"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15" xfId="0" applyNumberFormat="1" applyFont="1" applyBorder="1" applyAlignment="1">
      <alignment horizontal="center" vertical="center"/>
    </xf>
    <xf numFmtId="3" fontId="18" fillId="0" borderId="16" xfId="0" applyNumberFormat="1" applyFont="1" applyBorder="1" applyAlignment="1">
      <alignment horizontal="center" vertical="center"/>
    </xf>
    <xf numFmtId="3" fontId="18" fillId="0" borderId="8" xfId="0" applyNumberFormat="1" applyFont="1" applyBorder="1" applyAlignment="1">
      <alignment horizontal="center" vertical="center"/>
    </xf>
    <xf numFmtId="0" fontId="18" fillId="0" borderId="7"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6" xfId="0" applyFont="1" applyBorder="1" applyAlignment="1">
      <alignment horizontal="center" vertical="center" wrapText="1"/>
    </xf>
    <xf numFmtId="10" fontId="18" fillId="2" borderId="3" xfId="0" applyNumberFormat="1" applyFont="1" applyFill="1" applyBorder="1" applyAlignment="1">
      <alignment horizontal="center" vertical="center"/>
    </xf>
    <xf numFmtId="10" fontId="18" fillId="2" borderId="5" xfId="0" applyNumberFormat="1" applyFont="1" applyFill="1" applyBorder="1" applyAlignment="1">
      <alignment horizontal="center" vertical="center"/>
    </xf>
    <xf numFmtId="10" fontId="18" fillId="2" borderId="4" xfId="0" applyNumberFormat="1" applyFont="1" applyFill="1" applyBorder="1" applyAlignment="1">
      <alignment horizontal="center" vertical="center"/>
    </xf>
    <xf numFmtId="164" fontId="18" fillId="2" borderId="23"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xf>
    <xf numFmtId="2" fontId="6" fillId="2" borderId="19" xfId="0" applyNumberFormat="1" applyFont="1" applyFill="1" applyBorder="1" applyAlignment="1">
      <alignment horizontal="center" vertical="center"/>
    </xf>
    <xf numFmtId="3" fontId="19" fillId="0" borderId="3" xfId="0" applyNumberFormat="1" applyFont="1" applyBorder="1" applyAlignment="1">
      <alignment horizontal="center" vertical="center"/>
    </xf>
    <xf numFmtId="3" fontId="19" fillId="0" borderId="5" xfId="0" applyNumberFormat="1" applyFont="1" applyBorder="1" applyAlignment="1">
      <alignment horizontal="center" vertical="center"/>
    </xf>
    <xf numFmtId="3" fontId="19" fillId="0" borderId="4" xfId="0" applyNumberFormat="1"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xf>
    <xf numFmtId="17" fontId="8" fillId="2" borderId="19" xfId="0" applyNumberFormat="1" applyFont="1" applyFill="1" applyBorder="1" applyAlignment="1">
      <alignment horizontal="center" vertical="center" wrapText="1"/>
    </xf>
    <xf numFmtId="17" fontId="8" fillId="2" borderId="21" xfId="0" applyNumberFormat="1" applyFont="1" applyFill="1" applyBorder="1" applyAlignment="1">
      <alignment horizontal="center" vertical="center" wrapText="1"/>
    </xf>
    <xf numFmtId="17" fontId="8" fillId="2" borderId="20" xfId="0" applyNumberFormat="1" applyFont="1" applyFill="1" applyBorder="1" applyAlignment="1">
      <alignment horizontal="center" vertical="center" wrapText="1"/>
    </xf>
    <xf numFmtId="17" fontId="8" fillId="2" borderId="22" xfId="0" applyNumberFormat="1" applyFont="1" applyFill="1" applyBorder="1" applyAlignment="1">
      <alignment horizontal="center" vertical="center" wrapText="1"/>
    </xf>
    <xf numFmtId="17" fontId="8" fillId="2" borderId="15" xfId="0" applyNumberFormat="1" applyFont="1" applyFill="1" applyBorder="1" applyAlignment="1">
      <alignment horizontal="center" vertical="center" wrapText="1"/>
    </xf>
    <xf numFmtId="17" fontId="8" fillId="2" borderId="8" xfId="0" applyNumberFormat="1" applyFont="1" applyFill="1" applyBorder="1" applyAlignment="1">
      <alignment horizontal="center" vertical="center" wrapText="1"/>
    </xf>
    <xf numFmtId="1" fontId="18" fillId="2" borderId="19" xfId="0" applyNumberFormat="1" applyFont="1" applyFill="1" applyBorder="1" applyAlignment="1">
      <alignment horizontal="center" vertical="center"/>
    </xf>
    <xf numFmtId="1" fontId="18" fillId="2" borderId="20" xfId="0" applyNumberFormat="1" applyFont="1" applyFill="1" applyBorder="1" applyAlignment="1">
      <alignment horizontal="center" vertical="center"/>
    </xf>
    <xf numFmtId="1" fontId="18" fillId="2" borderId="15" xfId="0" applyNumberFormat="1" applyFont="1" applyFill="1" applyBorder="1" applyAlignment="1">
      <alignment horizontal="center" vertical="center"/>
    </xf>
    <xf numFmtId="0" fontId="6" fillId="0" borderId="7" xfId="0" applyFont="1" applyBorder="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3" fillId="10" borderId="3" xfId="0" applyNumberFormat="1" applyFont="1" applyFill="1" applyBorder="1" applyAlignment="1">
      <alignment horizontal="center" vertical="center" wrapText="1"/>
    </xf>
    <xf numFmtId="0" fontId="23" fillId="10" borderId="5" xfId="0" applyNumberFormat="1" applyFont="1" applyFill="1" applyBorder="1" applyAlignment="1">
      <alignment horizontal="center" vertical="center" wrapText="1"/>
    </xf>
    <xf numFmtId="0" fontId="23" fillId="10" borderId="4" xfId="0" applyNumberFormat="1" applyFont="1" applyFill="1" applyBorder="1" applyAlignment="1">
      <alignment horizontal="center" vertical="center" wrapText="1"/>
    </xf>
    <xf numFmtId="3" fontId="18" fillId="0" borderId="3"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4" xfId="0" applyNumberFormat="1" applyFont="1" applyBorder="1" applyAlignment="1">
      <alignment horizontal="center" vertical="center"/>
    </xf>
    <xf numFmtId="164" fontId="18" fillId="2" borderId="3"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4" xfId="0" applyNumberFormat="1" applyFont="1" applyFill="1" applyBorder="1" applyAlignment="1">
      <alignment horizontal="center" vertical="center"/>
    </xf>
    <xf numFmtId="0" fontId="6" fillId="0" borderId="3" xfId="0" applyFont="1" applyBorder="1" applyAlignment="1">
      <alignment horizontal="center" vertical="center"/>
    </xf>
    <xf numFmtId="0" fontId="22" fillId="10"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6" xfId="0" applyFont="1" applyFill="1" applyBorder="1" applyAlignment="1">
      <alignment horizontal="center" vertical="center"/>
    </xf>
    <xf numFmtId="3" fontId="18" fillId="18" borderId="5" xfId="0" applyNumberFormat="1" applyFont="1" applyFill="1" applyBorder="1" applyAlignment="1">
      <alignment horizontal="left" vertical="center"/>
    </xf>
    <xf numFmtId="3" fontId="18" fillId="18" borderId="4" xfId="0" applyNumberFormat="1" applyFont="1" applyFill="1" applyBorder="1" applyAlignment="1">
      <alignment horizontal="left" vertical="center"/>
    </xf>
    <xf numFmtId="164" fontId="6" fillId="18" borderId="3" xfId="0" applyNumberFormat="1" applyFont="1" applyFill="1" applyBorder="1" applyAlignment="1">
      <alignment horizontal="left" vertical="center"/>
    </xf>
    <xf numFmtId="164" fontId="6" fillId="18" borderId="5" xfId="0" applyNumberFormat="1" applyFont="1" applyFill="1" applyBorder="1" applyAlignment="1">
      <alignment horizontal="left" vertical="center"/>
    </xf>
    <xf numFmtId="3" fontId="18" fillId="2" borderId="5" xfId="0" applyNumberFormat="1" applyFont="1" applyFill="1" applyBorder="1" applyAlignment="1">
      <alignment horizontal="left" vertical="center"/>
    </xf>
    <xf numFmtId="3" fontId="18" fillId="2" borderId="4" xfId="0" applyNumberFormat="1" applyFont="1" applyFill="1" applyBorder="1" applyAlignment="1">
      <alignment horizontal="left" vertical="center"/>
    </xf>
    <xf numFmtId="164" fontId="18" fillId="2" borderId="3" xfId="0" applyNumberFormat="1" applyFont="1" applyFill="1" applyBorder="1" applyAlignment="1">
      <alignment horizontal="left" vertical="center"/>
    </xf>
    <xf numFmtId="164" fontId="18" fillId="2" borderId="5" xfId="0" applyNumberFormat="1" applyFont="1" applyFill="1" applyBorder="1" applyAlignment="1">
      <alignment horizontal="left" vertical="center"/>
    </xf>
    <xf numFmtId="0" fontId="88" fillId="0" borderId="1" xfId="0" applyFont="1" applyFill="1" applyBorder="1" applyAlignment="1">
      <alignment horizontal="center" vertical="center"/>
    </xf>
    <xf numFmtId="0" fontId="65" fillId="0" borderId="0" xfId="0" applyFont="1" applyFill="1" applyAlignment="1">
      <alignment horizontal="left" wrapText="1"/>
    </xf>
    <xf numFmtId="0" fontId="1" fillId="0" borderId="1" xfId="0" applyFont="1" applyBorder="1" applyAlignment="1">
      <alignment horizontal="center"/>
    </xf>
    <xf numFmtId="0" fontId="47" fillId="0" borderId="0" xfId="0" applyFont="1" applyAlignment="1">
      <alignment wrapText="1"/>
    </xf>
    <xf numFmtId="0" fontId="2" fillId="0" borderId="0" xfId="0" applyFont="1" applyFill="1" applyAlignment="1">
      <alignment horizontal="left" wrapText="1"/>
    </xf>
    <xf numFmtId="0" fontId="47" fillId="0" borderId="0" xfId="0" applyFont="1" applyFill="1" applyAlignment="1">
      <alignment horizontal="left" wrapText="1"/>
    </xf>
    <xf numFmtId="0" fontId="75" fillId="0" borderId="1" xfId="0" applyFont="1" applyFill="1" applyBorder="1" applyAlignment="1">
      <alignment horizontal="center" vertical="center"/>
    </xf>
    <xf numFmtId="0" fontId="1" fillId="0" borderId="0" xfId="0" applyFont="1" applyFill="1" applyAlignment="1">
      <alignment horizontal="left" wrapText="1"/>
    </xf>
    <xf numFmtId="0" fontId="1" fillId="0" borderId="0" xfId="0" applyNumberFormat="1" applyFont="1" applyAlignment="1">
      <alignment horizontal="left" wrapText="1"/>
    </xf>
    <xf numFmtId="0" fontId="48" fillId="0" borderId="0" xfId="0" applyNumberFormat="1" applyFont="1" applyAlignment="1">
      <alignment horizontal="left" wrapText="1"/>
    </xf>
    <xf numFmtId="0" fontId="1" fillId="0" borderId="0" xfId="0" applyFont="1" applyAlignment="1">
      <alignment horizontal="left" wrapText="1"/>
    </xf>
    <xf numFmtId="0" fontId="1" fillId="0" borderId="24" xfId="0" applyFont="1" applyBorder="1" applyAlignment="1"/>
  </cellXfs>
  <cellStyles count="108">
    <cellStyle name="20% - Accent1" xfId="35" builtinId="30" customBuiltin="1"/>
    <cellStyle name="20% - Accent1 2" xfId="63"/>
    <cellStyle name="20% - Accent2" xfId="39" builtinId="34" customBuiltin="1"/>
    <cellStyle name="20% - Accent2 2" xfId="64"/>
    <cellStyle name="20% - Accent3" xfId="43" builtinId="38" customBuiltin="1"/>
    <cellStyle name="20% - Accent3 2" xfId="65"/>
    <cellStyle name="20% - Accent4" xfId="47" builtinId="42" customBuiltin="1"/>
    <cellStyle name="20% - Accent4 2" xfId="66"/>
    <cellStyle name="20% - Accent5" xfId="51" builtinId="46" customBuiltin="1"/>
    <cellStyle name="20% - Accent5 2" xfId="67"/>
    <cellStyle name="20% - Accent6" xfId="55" builtinId="50" customBuiltin="1"/>
    <cellStyle name="20% - Accent6 2" xfId="68"/>
    <cellStyle name="40% - Accent1" xfId="36" builtinId="31" customBuiltin="1"/>
    <cellStyle name="40% - Accent1 2" xfId="69"/>
    <cellStyle name="40% - Accent2" xfId="40" builtinId="35" customBuiltin="1"/>
    <cellStyle name="40% - Accent2 2" xfId="70"/>
    <cellStyle name="40% - Accent3" xfId="44" builtinId="39" customBuiltin="1"/>
    <cellStyle name="40% - Accent3 2" xfId="71"/>
    <cellStyle name="40% - Accent4" xfId="48" builtinId="43" customBuiltin="1"/>
    <cellStyle name="40% - Accent4 2" xfId="72"/>
    <cellStyle name="40% - Accent5" xfId="52" builtinId="47" customBuiltin="1"/>
    <cellStyle name="40% - Accent5 2" xfId="73"/>
    <cellStyle name="40% - Accent6" xfId="56" builtinId="51" customBuiltin="1"/>
    <cellStyle name="40% - Accent6 2" xfId="74"/>
    <cellStyle name="60% - Accent1" xfId="37" builtinId="32" customBuiltin="1"/>
    <cellStyle name="60% - Accent1 2" xfId="75"/>
    <cellStyle name="60% - Accent2" xfId="41" builtinId="36" customBuiltin="1"/>
    <cellStyle name="60% - Accent2 2" xfId="76"/>
    <cellStyle name="60% - Accent3" xfId="45" builtinId="40" customBuiltin="1"/>
    <cellStyle name="60% - Accent3 2" xfId="77"/>
    <cellStyle name="60% - Accent4" xfId="49" builtinId="44" customBuiltin="1"/>
    <cellStyle name="60% - Accent4 2" xfId="78"/>
    <cellStyle name="60% - Accent5" xfId="53" builtinId="48" customBuiltin="1"/>
    <cellStyle name="60% - Accent5 2" xfId="79"/>
    <cellStyle name="60% - Accent6" xfId="57" builtinId="52" customBuiltin="1"/>
    <cellStyle name="60% - Accent6 2" xfId="80"/>
    <cellStyle name="Accent1" xfId="34" builtinId="29" customBuiltin="1"/>
    <cellStyle name="Accent1 2" xfId="81"/>
    <cellStyle name="Accent2" xfId="38" builtinId="33" customBuiltin="1"/>
    <cellStyle name="Accent2 2" xfId="82"/>
    <cellStyle name="Accent3" xfId="42" builtinId="37" customBuiltin="1"/>
    <cellStyle name="Accent3 2" xfId="83"/>
    <cellStyle name="Accent4" xfId="46" builtinId="41" customBuiltin="1"/>
    <cellStyle name="Accent4 2" xfId="84"/>
    <cellStyle name="Accent5" xfId="50" builtinId="45" customBuiltin="1"/>
    <cellStyle name="Accent5 2" xfId="85"/>
    <cellStyle name="Accent6" xfId="54" builtinId="49" customBuiltin="1"/>
    <cellStyle name="Accent6 2" xfId="86"/>
    <cellStyle name="Bad" xfId="23" builtinId="27" customBuiltin="1"/>
    <cellStyle name="Bad 2" xfId="87"/>
    <cellStyle name="Calculation" xfId="27" builtinId="22" customBuiltin="1"/>
    <cellStyle name="Calculation 2" xfId="88"/>
    <cellStyle name="Check Cell" xfId="29" builtinId="23" customBuiltin="1"/>
    <cellStyle name="Check Cell 2" xfId="89"/>
    <cellStyle name="Comma" xfId="1" builtinId="3"/>
    <cellStyle name="Explanatory Text" xfId="32" builtinId="53" customBuiltin="1"/>
    <cellStyle name="Explanatory Text 2" xfId="90"/>
    <cellStyle name="Good" xfId="22" builtinId="26" customBuiltin="1"/>
    <cellStyle name="Good 2" xfId="91"/>
    <cellStyle name="Heading 1" xfId="18" builtinId="16" customBuiltin="1"/>
    <cellStyle name="Heading 1 2" xfId="92"/>
    <cellStyle name="Heading 2" xfId="19" builtinId="17" customBuiltin="1"/>
    <cellStyle name="Heading 2 2" xfId="93"/>
    <cellStyle name="Heading 3" xfId="20" builtinId="18" customBuiltin="1"/>
    <cellStyle name="Heading 3 2" xfId="94"/>
    <cellStyle name="Heading 4" xfId="21" builtinId="19" customBuiltin="1"/>
    <cellStyle name="Heading 4 2" xfId="95"/>
    <cellStyle name="Hyperlink" xfId="2" builtinId="8"/>
    <cellStyle name="Hyperlink 2" xfId="105"/>
    <cellStyle name="Hyperlink 3" xfId="104"/>
    <cellStyle name="Input" xfId="25" builtinId="20" customBuiltin="1"/>
    <cellStyle name="Input 2" xfId="96"/>
    <cellStyle name="Linked Cell" xfId="28" builtinId="24" customBuiltin="1"/>
    <cellStyle name="Linked Cell 2" xfId="97"/>
    <cellStyle name="Neutral" xfId="24" builtinId="28" customBuiltin="1"/>
    <cellStyle name="Neutral 2" xfId="98"/>
    <cellStyle name="Normal" xfId="0" builtinId="0"/>
    <cellStyle name="Normal 2" xfId="3"/>
    <cellStyle name="Normal 2 2" xfId="59"/>
    <cellStyle name="Normal 3" xfId="4"/>
    <cellStyle name="Normal 3 2" xfId="60"/>
    <cellStyle name="Normal 3 3" xfId="106"/>
    <cellStyle name="Normal 4" xfId="5"/>
    <cellStyle name="Normal 4 2" xfId="11"/>
    <cellStyle name="Normal 4_Delayed Discharges" xfId="14"/>
    <cellStyle name="Normal 5" xfId="6"/>
    <cellStyle name="Normal 5 2" xfId="12"/>
    <cellStyle name="Normal 5_Delayed Discharges" xfId="15"/>
    <cellStyle name="Normal 6" xfId="7"/>
    <cellStyle name="Normal 6 2" xfId="13"/>
    <cellStyle name="Normal 6_Delayed Discharges" xfId="16"/>
    <cellStyle name="Normal 7" xfId="58"/>
    <cellStyle name="Normal 8" xfId="62"/>
    <cellStyle name="Normal 9" xfId="107"/>
    <cellStyle name="Normal_GWO1 (NEW)" xfId="8"/>
    <cellStyle name="Normal_sickness_absence aug07-data" xfId="9"/>
    <cellStyle name="Note" xfId="31" builtinId="10" customBuiltin="1"/>
    <cellStyle name="Note 2" xfId="99"/>
    <cellStyle name="Output" xfId="26" builtinId="21" customBuiltin="1"/>
    <cellStyle name="Output 2" xfId="100"/>
    <cellStyle name="Percent" xfId="10" builtinId="5"/>
    <cellStyle name="Percent 2" xfId="61"/>
    <cellStyle name="Title" xfId="17" builtinId="15" customBuiltin="1"/>
    <cellStyle name="Title 2" xfId="101"/>
    <cellStyle name="Total" xfId="33" builtinId="25" customBuiltin="1"/>
    <cellStyle name="Total 2" xfId="102"/>
    <cellStyle name="Warning Text" xfId="30" builtinId="11" customBuiltin="1"/>
    <cellStyle name="Warning Text 2" xfId="103"/>
  </cellStyles>
  <dxfs count="28">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92D050"/>
        </patternFill>
      </fill>
    </dxf>
    <dxf>
      <fill>
        <patternFill>
          <bgColor rgb="FFFF0000"/>
        </patternFill>
      </fill>
    </dxf>
    <dxf>
      <fill>
        <patternFill patternType="none">
          <bgColor indexed="65"/>
        </patternFill>
      </fill>
    </dxf>
    <dxf>
      <fill>
        <patternFill>
          <bgColor theme="1"/>
        </patternFill>
      </fill>
    </dxf>
    <dxf>
      <fill>
        <patternFill>
          <bgColor rgb="FFFF0000"/>
        </patternFill>
      </fill>
    </dxf>
    <dxf>
      <fill>
        <patternFill>
          <bgColor rgb="FF92D050"/>
        </patternFill>
      </fill>
    </dxf>
  </dxfs>
  <tableStyles count="0" defaultTableStyle="TableStyleMedium9" defaultPivotStyle="PivotStyleLight16"/>
  <colors>
    <mruColors>
      <color rgb="FFE69F00"/>
      <color rgb="FF0066CC"/>
      <color rgb="FF0097C0"/>
      <color rgb="FF808080"/>
      <color rgb="FFCC8DA7"/>
      <color rgb="FF0070C0"/>
      <color rgb="FFE39F00"/>
      <color rgb="FF7F7F7F"/>
      <color rgb="FFE09F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16189032142616E-2"/>
          <c:y val="1.5835658337983345E-2"/>
          <c:w val="0.91190476190475656"/>
          <c:h val="0.74105110876888891"/>
        </c:manualLayout>
      </c:layout>
      <c:lineChart>
        <c:grouping val="standard"/>
        <c:varyColors val="0"/>
        <c:ser>
          <c:idx val="4"/>
          <c:order val="0"/>
          <c:tx>
            <c:strRef>
              <c:f>'A&amp;E WT'!$A$25</c:f>
              <c:strCache>
                <c:ptCount val="1"/>
                <c:pt idx="0">
                  <c:v>NHS Lothian</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WT'!$B$25:$AW$25</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pt idx="31">
                  <c:v>0.89300000000000002</c:v>
                </c:pt>
                <c:pt idx="32">
                  <c:v>0.75900000000000001</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WT'!$A$26</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WT'!$B$26:$G$26</c:f>
              <c:numCache>
                <c:formatCode>0.0%</c:formatCode>
                <c:ptCount val="6"/>
                <c:pt idx="0">
                  <c:v>0.93996846160254788</c:v>
                </c:pt>
                <c:pt idx="1">
                  <c:v>0.93996846160254788</c:v>
                </c:pt>
                <c:pt idx="2">
                  <c:v>0.93996846160254788</c:v>
                </c:pt>
                <c:pt idx="3">
                  <c:v>0.93996846160254788</c:v>
                </c:pt>
                <c:pt idx="4">
                  <c:v>0.93996846160254788</c:v>
                </c:pt>
                <c:pt idx="5">
                  <c:v>0.93996846160254788</c:v>
                </c:pt>
              </c:numCache>
            </c:numRef>
          </c:val>
          <c:smooth val="0"/>
        </c:ser>
        <c:ser>
          <c:idx val="1"/>
          <c:order val="4"/>
          <c:tx>
            <c:strRef>
              <c:f>'A&amp;E WT'!$A$27</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WT'!$B$27:$AW$27</c:f>
              <c:numCache>
                <c:formatCode>0.0%</c:formatCode>
                <c:ptCount val="48"/>
                <c:pt idx="5">
                  <c:v>0.93996846160254788</c:v>
                </c:pt>
                <c:pt idx="6">
                  <c:v>0.93996846160254788</c:v>
                </c:pt>
                <c:pt idx="7">
                  <c:v>0.93996846160254788</c:v>
                </c:pt>
                <c:pt idx="8">
                  <c:v>0.93996846160254788</c:v>
                </c:pt>
                <c:pt idx="9">
                  <c:v>0.93996846160254788</c:v>
                </c:pt>
                <c:pt idx="10">
                  <c:v>0.93996846160254788</c:v>
                </c:pt>
                <c:pt idx="11">
                  <c:v>0.93996846160254788</c:v>
                </c:pt>
                <c:pt idx="12">
                  <c:v>0.93996846160254788</c:v>
                </c:pt>
                <c:pt idx="13">
                  <c:v>0.93996846160254788</c:v>
                </c:pt>
                <c:pt idx="14">
                  <c:v>0.93996846160254788</c:v>
                </c:pt>
                <c:pt idx="15">
                  <c:v>0.93996846160254788</c:v>
                </c:pt>
                <c:pt idx="16">
                  <c:v>0.93996846160254788</c:v>
                </c:pt>
                <c:pt idx="17">
                  <c:v>0.93996846160254788</c:v>
                </c:pt>
                <c:pt idx="18">
                  <c:v>0.93996846160254788</c:v>
                </c:pt>
                <c:pt idx="19">
                  <c:v>0.93996846160254788</c:v>
                </c:pt>
                <c:pt idx="20">
                  <c:v>0.93996846160254788</c:v>
                </c:pt>
                <c:pt idx="21">
                  <c:v>0.93996846160254788</c:v>
                </c:pt>
                <c:pt idx="22">
                  <c:v>0.93996846160254788</c:v>
                </c:pt>
                <c:pt idx="23">
                  <c:v>0.93996846160254788</c:v>
                </c:pt>
                <c:pt idx="24">
                  <c:v>0.93996846160254788</c:v>
                </c:pt>
                <c:pt idx="25">
                  <c:v>0.93996846160254788</c:v>
                </c:pt>
                <c:pt idx="26">
                  <c:v>0.93996846160254788</c:v>
                </c:pt>
                <c:pt idx="27">
                  <c:v>0.93996846160254788</c:v>
                </c:pt>
                <c:pt idx="28">
                  <c:v>0.93996846160254788</c:v>
                </c:pt>
                <c:pt idx="29">
                  <c:v>0.93996846160254788</c:v>
                </c:pt>
                <c:pt idx="30">
                  <c:v>0.93996846160254788</c:v>
                </c:pt>
                <c:pt idx="31">
                  <c:v>0.93996846160254788</c:v>
                </c:pt>
                <c:pt idx="32">
                  <c:v>0.93996846160254788</c:v>
                </c:pt>
                <c:pt idx="33">
                  <c:v>0.93996846160254788</c:v>
                </c:pt>
                <c:pt idx="34">
                  <c:v>0.93996846160254788</c:v>
                </c:pt>
                <c:pt idx="35">
                  <c:v>0.93996846160254788</c:v>
                </c:pt>
                <c:pt idx="36">
                  <c:v>0.93996846160254788</c:v>
                </c:pt>
                <c:pt idx="37">
                  <c:v>0.93996846160254788</c:v>
                </c:pt>
                <c:pt idx="38">
                  <c:v>0.93996846160254788</c:v>
                </c:pt>
                <c:pt idx="39">
                  <c:v>0.93996846160254788</c:v>
                </c:pt>
                <c:pt idx="40">
                  <c:v>0.93996846160254788</c:v>
                </c:pt>
                <c:pt idx="41">
                  <c:v>0.93996846160254788</c:v>
                </c:pt>
                <c:pt idx="42">
                  <c:v>0.93996846160254788</c:v>
                </c:pt>
                <c:pt idx="43">
                  <c:v>0.93996846160254788</c:v>
                </c:pt>
                <c:pt idx="44">
                  <c:v>0.93996846160254788</c:v>
                </c:pt>
                <c:pt idx="45">
                  <c:v>0.93996846160254788</c:v>
                </c:pt>
                <c:pt idx="46">
                  <c:v>0.93996846160254788</c:v>
                </c:pt>
                <c:pt idx="47">
                  <c:v>0.93996846160254788</c:v>
                </c:pt>
              </c:numCache>
            </c:numRef>
          </c:val>
          <c:smooth val="0"/>
        </c:ser>
        <c:dLbls>
          <c:showLegendKey val="0"/>
          <c:showVal val="0"/>
          <c:showCatName val="0"/>
          <c:showSerName val="0"/>
          <c:showPercent val="0"/>
          <c:showBubbleSize val="0"/>
        </c:dLbls>
        <c:marker val="1"/>
        <c:smooth val="0"/>
        <c:axId val="174235008"/>
        <c:axId val="174244992"/>
      </c:lineChart>
      <c:dateAx>
        <c:axId val="1742350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74244992"/>
        <c:crosses val="autoZero"/>
        <c:auto val="1"/>
        <c:lblOffset val="100"/>
        <c:baseTimeUnit val="months"/>
        <c:majorUnit val="1"/>
        <c:majorTimeUnit val="months"/>
      </c:dateAx>
      <c:valAx>
        <c:axId val="174244992"/>
        <c:scaling>
          <c:orientation val="minMax"/>
          <c:max val="1"/>
          <c:min val="0.70000000000000029"/>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74235008"/>
        <c:crosses val="autoZero"/>
        <c:crossBetween val="between"/>
        <c:majorUnit val="2.0000000000000011E-2"/>
      </c:valAx>
    </c:plotArea>
    <c:legend>
      <c:legendPos val="r"/>
      <c:layout>
        <c:manualLayout>
          <c:xMode val="edge"/>
          <c:yMode val="edge"/>
          <c:x val="1.4986111111111235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912"/>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ABI!$A$22:$A$25</c:f>
              <c:numCache>
                <c:formatCode>mmm\-yy</c:formatCode>
                <c:ptCount val="4"/>
                <c:pt idx="0">
                  <c:v>42887</c:v>
                </c:pt>
                <c:pt idx="1">
                  <c:v>42979</c:v>
                </c:pt>
              </c:numCache>
            </c:numRef>
          </c:cat>
          <c:val>
            <c:numRef>
              <c:f>ABI!$B$22:$B$25</c:f>
              <c:numCache>
                <c:formatCode>#,##0</c:formatCode>
                <c:ptCount val="4"/>
                <c:pt idx="0">
                  <c:v>3932</c:v>
                </c:pt>
                <c:pt idx="1">
                  <c:v>7878</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ABI!$A$22:$A$25</c:f>
              <c:numCache>
                <c:formatCode>mmm\-yy</c:formatCode>
                <c:ptCount val="4"/>
                <c:pt idx="0">
                  <c:v>42887</c:v>
                </c:pt>
                <c:pt idx="1">
                  <c:v>42979</c:v>
                </c:pt>
              </c:numCache>
            </c:numRef>
          </c:cat>
          <c:val>
            <c:numRef>
              <c:f>ABI!$C$22:$C$25</c:f>
              <c:numCache>
                <c:formatCode>#,##0</c:formatCode>
                <c:ptCount val="4"/>
                <c:pt idx="0">
                  <c:v>2434.5</c:v>
                </c:pt>
                <c:pt idx="1">
                  <c:v>4869</c:v>
                </c:pt>
                <c:pt idx="2">
                  <c:v>7303.5</c:v>
                </c:pt>
                <c:pt idx="3">
                  <c:v>9738</c:v>
                </c:pt>
              </c:numCache>
            </c:numRef>
          </c:val>
          <c:smooth val="0"/>
        </c:ser>
        <c:dLbls>
          <c:showLegendKey val="0"/>
          <c:showVal val="0"/>
          <c:showCatName val="0"/>
          <c:showSerName val="0"/>
          <c:showPercent val="0"/>
          <c:showBubbleSize val="0"/>
        </c:dLbls>
        <c:marker val="1"/>
        <c:smooth val="0"/>
        <c:axId val="185362304"/>
        <c:axId val="185363840"/>
      </c:lineChart>
      <c:dateAx>
        <c:axId val="185362304"/>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63840"/>
        <c:crosses val="autoZero"/>
        <c:auto val="1"/>
        <c:lblOffset val="100"/>
        <c:baseTimeUnit val="months"/>
        <c:majorUnit val="3"/>
        <c:majorTimeUnit val="months"/>
      </c:dateAx>
      <c:valAx>
        <c:axId val="185363840"/>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62304"/>
        <c:crosses val="autoZero"/>
        <c:crossBetween val="between"/>
      </c:valAx>
    </c:plotArea>
    <c:legend>
      <c:legendPos val="r"/>
      <c:layout>
        <c:manualLayout>
          <c:xMode val="edge"/>
          <c:yMode val="edge"/>
          <c:x val="0.29106945975745008"/>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5"/>
        </c:manualLayout>
      </c:layout>
      <c:lineChart>
        <c:grouping val="standard"/>
        <c:varyColors val="0"/>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83</c:v>
                </c:pt>
                <c:pt idx="22">
                  <c:v>74</c:v>
                </c:pt>
                <c:pt idx="23">
                  <c:v>106</c:v>
                </c:pt>
                <c:pt idx="24">
                  <c:v>81</c:v>
                </c:pt>
                <c:pt idx="25">
                  <c:v>103</c:v>
                </c:pt>
                <c:pt idx="26">
                  <c:v>101</c:v>
                </c:pt>
                <c:pt idx="27">
                  <c:v>86</c:v>
                </c:pt>
                <c:pt idx="28">
                  <c:v>95</c:v>
                </c:pt>
                <c:pt idx="29">
                  <c:v>72</c:v>
                </c:pt>
                <c:pt idx="30">
                  <c:v>87</c:v>
                </c:pt>
              </c:numCache>
            </c:numRef>
          </c:val>
          <c:smooth val="0"/>
        </c:ser>
        <c:ser>
          <c:idx val="2"/>
          <c:order val="1"/>
          <c:tx>
            <c:strRef>
              <c:f>Stroke!$A$321</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Stroke!$B$321:$Y$321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84.5</c:v>
                </c:pt>
                <c:pt idx="13">
                  <c:v>84.5</c:v>
                </c:pt>
                <c:pt idx="14">
                  <c:v>84.5</c:v>
                </c:pt>
                <c:pt idx="15">
                  <c:v>84.5</c:v>
                </c:pt>
                <c:pt idx="16">
                  <c:v>84.5</c:v>
                </c:pt>
                <c:pt idx="17">
                  <c:v>84.5</c:v>
                </c:pt>
                <c:pt idx="18">
                  <c:v>84.5</c:v>
                </c:pt>
                <c:pt idx="19">
                  <c:v>84.5</c:v>
                </c:pt>
                <c:pt idx="20">
                  <c:v>84.5</c:v>
                </c:pt>
                <c:pt idx="21">
                  <c:v>84.5</c:v>
                </c:pt>
                <c:pt idx="22">
                  <c:v>84.5</c:v>
                </c:pt>
                <c:pt idx="23">
                  <c:v>84.5</c:v>
                </c:pt>
              </c:numCache>
            </c:numRef>
          </c:val>
          <c:smooth val="0"/>
        </c:ser>
        <c:ser>
          <c:idx val="0"/>
          <c:order val="2"/>
          <c:tx>
            <c:strRef>
              <c:f>Stroke!$A$322</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Stroke!$B$322:$AW$322</c:f>
              <c:numCache>
                <c:formatCode>0</c:formatCode>
                <c:ptCount val="48"/>
                <c:pt idx="23">
                  <c:v>84.5</c:v>
                </c:pt>
                <c:pt idx="24">
                  <c:v>84.5</c:v>
                </c:pt>
                <c:pt idx="25">
                  <c:v>84.5</c:v>
                </c:pt>
                <c:pt idx="26">
                  <c:v>84.5</c:v>
                </c:pt>
                <c:pt idx="27">
                  <c:v>84.5</c:v>
                </c:pt>
                <c:pt idx="28">
                  <c:v>84.5</c:v>
                </c:pt>
                <c:pt idx="29">
                  <c:v>84.5</c:v>
                </c:pt>
                <c:pt idx="30">
                  <c:v>84.5</c:v>
                </c:pt>
                <c:pt idx="31">
                  <c:v>84.5</c:v>
                </c:pt>
                <c:pt idx="32">
                  <c:v>84.5</c:v>
                </c:pt>
                <c:pt idx="33">
                  <c:v>84.5</c:v>
                </c:pt>
                <c:pt idx="34">
                  <c:v>84.5</c:v>
                </c:pt>
                <c:pt idx="35">
                  <c:v>84.5</c:v>
                </c:pt>
                <c:pt idx="36">
                  <c:v>84.5</c:v>
                </c:pt>
                <c:pt idx="37">
                  <c:v>84.5</c:v>
                </c:pt>
                <c:pt idx="38">
                  <c:v>84.5</c:v>
                </c:pt>
                <c:pt idx="39">
                  <c:v>84.5</c:v>
                </c:pt>
                <c:pt idx="40">
                  <c:v>84.5</c:v>
                </c:pt>
                <c:pt idx="41">
                  <c:v>84.5</c:v>
                </c:pt>
                <c:pt idx="42">
                  <c:v>84.5</c:v>
                </c:pt>
                <c:pt idx="43">
                  <c:v>84.5</c:v>
                </c:pt>
                <c:pt idx="44">
                  <c:v>84.5</c:v>
                </c:pt>
                <c:pt idx="45">
                  <c:v>84.5</c:v>
                </c:pt>
                <c:pt idx="46">
                  <c:v>84.5</c:v>
                </c:pt>
                <c:pt idx="47">
                  <c:v>84.5</c:v>
                </c:pt>
              </c:numCache>
            </c:numRef>
          </c:val>
          <c:smooth val="0"/>
        </c:ser>
        <c:dLbls>
          <c:showLegendKey val="0"/>
          <c:showVal val="0"/>
          <c:showCatName val="0"/>
          <c:showSerName val="0"/>
          <c:showPercent val="0"/>
          <c:showBubbleSize val="0"/>
        </c:dLbls>
        <c:marker val="1"/>
        <c:smooth val="0"/>
        <c:axId val="222324224"/>
        <c:axId val="222325760"/>
      </c:lineChart>
      <c:dateAx>
        <c:axId val="2223242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325760"/>
        <c:crosses val="autoZero"/>
        <c:auto val="1"/>
        <c:lblOffset val="100"/>
        <c:baseTimeUnit val="months"/>
        <c:majorUnit val="1"/>
        <c:majorTimeUnit val="months"/>
      </c:dateAx>
      <c:valAx>
        <c:axId val="22232576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324224"/>
        <c:crosses val="autoZero"/>
        <c:crossBetween val="between"/>
      </c:valAx>
    </c:plotArea>
    <c:legend>
      <c:legendPos val="r"/>
      <c:layout>
        <c:manualLayout>
          <c:xMode val="edge"/>
          <c:yMode val="edge"/>
          <c:x val="4.0058801911062106E-2"/>
          <c:y val="0.90299823633157883"/>
          <c:w val="0.92027201671455894"/>
          <c:h val="9.7001763668430344E-2"/>
        </c:manualLayout>
      </c:layout>
      <c:overlay val="0"/>
      <c:txPr>
        <a:bodyPr/>
        <a:lstStyle/>
        <a:p>
          <a:pPr rtl="0">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06"/>
        </c:manualLayout>
      </c:layout>
      <c:lineChart>
        <c:grouping val="standard"/>
        <c:varyColors val="0"/>
        <c:ser>
          <c:idx val="1"/>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101</c:v>
                </c:pt>
                <c:pt idx="22">
                  <c:v>80</c:v>
                </c:pt>
                <c:pt idx="23">
                  <c:v>123</c:v>
                </c:pt>
                <c:pt idx="24">
                  <c:v>102</c:v>
                </c:pt>
                <c:pt idx="25">
                  <c:v>122</c:v>
                </c:pt>
                <c:pt idx="26">
                  <c:v>119</c:v>
                </c:pt>
                <c:pt idx="27">
                  <c:v>97</c:v>
                </c:pt>
                <c:pt idx="28">
                  <c:v>111</c:v>
                </c:pt>
                <c:pt idx="29">
                  <c:v>81</c:v>
                </c:pt>
                <c:pt idx="30">
                  <c:v>106</c:v>
                </c:pt>
              </c:numCache>
            </c:numRef>
          </c:val>
          <c:smooth val="0"/>
        </c:ser>
        <c:ser>
          <c:idx val="2"/>
          <c:order val="1"/>
          <c:tx>
            <c:strRef>
              <c:f>Stroke!$A$364</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Stroke!$B$364:$AW$364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102</c:v>
                </c:pt>
                <c:pt idx="13">
                  <c:v>102</c:v>
                </c:pt>
                <c:pt idx="14">
                  <c:v>102</c:v>
                </c:pt>
                <c:pt idx="15">
                  <c:v>102</c:v>
                </c:pt>
                <c:pt idx="16">
                  <c:v>102</c:v>
                </c:pt>
                <c:pt idx="17">
                  <c:v>102</c:v>
                </c:pt>
                <c:pt idx="18">
                  <c:v>102</c:v>
                </c:pt>
                <c:pt idx="19">
                  <c:v>102</c:v>
                </c:pt>
                <c:pt idx="20">
                  <c:v>102</c:v>
                </c:pt>
                <c:pt idx="21">
                  <c:v>102</c:v>
                </c:pt>
                <c:pt idx="22">
                  <c:v>102</c:v>
                </c:pt>
                <c:pt idx="23">
                  <c:v>102</c:v>
                </c:pt>
              </c:numCache>
            </c:numRef>
          </c:val>
          <c:smooth val="0"/>
        </c:ser>
        <c:ser>
          <c:idx val="0"/>
          <c:order val="2"/>
          <c:tx>
            <c:strRef>
              <c:f>Stroke!$A$365</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Stroke!$B$365:$AW$365</c:f>
              <c:numCache>
                <c:formatCode>0</c:formatCode>
                <c:ptCount val="48"/>
                <c:pt idx="23">
                  <c:v>102</c:v>
                </c:pt>
                <c:pt idx="24">
                  <c:v>102</c:v>
                </c:pt>
                <c:pt idx="25">
                  <c:v>102</c:v>
                </c:pt>
                <c:pt idx="26">
                  <c:v>102</c:v>
                </c:pt>
                <c:pt idx="27">
                  <c:v>102</c:v>
                </c:pt>
                <c:pt idx="28">
                  <c:v>102</c:v>
                </c:pt>
                <c:pt idx="29">
                  <c:v>102</c:v>
                </c:pt>
                <c:pt idx="30">
                  <c:v>102</c:v>
                </c:pt>
                <c:pt idx="31">
                  <c:v>102</c:v>
                </c:pt>
                <c:pt idx="32">
                  <c:v>102</c:v>
                </c:pt>
                <c:pt idx="33">
                  <c:v>102</c:v>
                </c:pt>
                <c:pt idx="34">
                  <c:v>102</c:v>
                </c:pt>
                <c:pt idx="35">
                  <c:v>102</c:v>
                </c:pt>
                <c:pt idx="36">
                  <c:v>102</c:v>
                </c:pt>
                <c:pt idx="37">
                  <c:v>102</c:v>
                </c:pt>
                <c:pt idx="38">
                  <c:v>102</c:v>
                </c:pt>
                <c:pt idx="39">
                  <c:v>102</c:v>
                </c:pt>
                <c:pt idx="40">
                  <c:v>102</c:v>
                </c:pt>
                <c:pt idx="41">
                  <c:v>102</c:v>
                </c:pt>
                <c:pt idx="42">
                  <c:v>102</c:v>
                </c:pt>
                <c:pt idx="43">
                  <c:v>102</c:v>
                </c:pt>
                <c:pt idx="44">
                  <c:v>102</c:v>
                </c:pt>
                <c:pt idx="45">
                  <c:v>102</c:v>
                </c:pt>
                <c:pt idx="46">
                  <c:v>102</c:v>
                </c:pt>
                <c:pt idx="47">
                  <c:v>102</c:v>
                </c:pt>
              </c:numCache>
            </c:numRef>
          </c:val>
          <c:smooth val="0"/>
        </c:ser>
        <c:dLbls>
          <c:showLegendKey val="0"/>
          <c:showVal val="0"/>
          <c:showCatName val="0"/>
          <c:showSerName val="0"/>
          <c:showPercent val="0"/>
          <c:showBubbleSize val="0"/>
        </c:dLbls>
        <c:marker val="1"/>
        <c:smooth val="0"/>
        <c:axId val="222384128"/>
        <c:axId val="222385664"/>
      </c:lineChart>
      <c:dateAx>
        <c:axId val="22238412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385664"/>
        <c:crosses val="autoZero"/>
        <c:auto val="1"/>
        <c:lblOffset val="100"/>
        <c:baseTimeUnit val="months"/>
        <c:majorUnit val="1"/>
        <c:majorTimeUnit val="months"/>
      </c:dateAx>
      <c:valAx>
        <c:axId val="22238566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384128"/>
        <c:crosses val="autoZero"/>
        <c:crossBetween val="between"/>
      </c:valAx>
    </c:plotArea>
    <c:legend>
      <c:legendPos val="r"/>
      <c:layout>
        <c:manualLayout>
          <c:xMode val="edge"/>
          <c:yMode val="edge"/>
          <c:x val="1.506798970966588E-2"/>
          <c:y val="0.90299823633159404"/>
          <c:w val="0.98008826074248956"/>
          <c:h val="9.700176366843034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15429028050423E-2"/>
          <c:y val="4.856512141280353E-2"/>
          <c:w val="0.91617145329760052"/>
          <c:h val="0.71763021751913236"/>
        </c:manualLayout>
      </c:layout>
      <c:lineChart>
        <c:grouping val="standard"/>
        <c:varyColors val="0"/>
        <c:ser>
          <c:idx val="4"/>
          <c:order val="0"/>
          <c:tx>
            <c:strRef>
              <c:f>Antenatal!$A$10</c:f>
              <c:strCache>
                <c:ptCount val="1"/>
                <c:pt idx="0">
                  <c:v>% within 12 weeks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Antenatal!$B$10:$AW$10</c:f>
              <c:numCache>
                <c:formatCode>0.0%</c:formatCode>
                <c:ptCount val="48"/>
                <c:pt idx="0">
                  <c:v>0.876</c:v>
                </c:pt>
                <c:pt idx="1">
                  <c:v>0.85899999999999999</c:v>
                </c:pt>
                <c:pt idx="2">
                  <c:v>0.9</c:v>
                </c:pt>
                <c:pt idx="3">
                  <c:v>0.89100000000000001</c:v>
                </c:pt>
                <c:pt idx="4">
                  <c:v>0.84399999999999997</c:v>
                </c:pt>
                <c:pt idx="5">
                  <c:v>0.88100000000000001</c:v>
                </c:pt>
                <c:pt idx="6">
                  <c:v>0.85899999999999999</c:v>
                </c:pt>
                <c:pt idx="7">
                  <c:v>0.89700000000000002</c:v>
                </c:pt>
                <c:pt idx="8">
                  <c:v>0.871</c:v>
                </c:pt>
                <c:pt idx="9">
                  <c:v>0.85699999999999998</c:v>
                </c:pt>
                <c:pt idx="10">
                  <c:v>0.90700000000000003</c:v>
                </c:pt>
                <c:pt idx="11">
                  <c:v>0.90800000000000003</c:v>
                </c:pt>
                <c:pt idx="12">
                  <c:v>0.88200000000000001</c:v>
                </c:pt>
                <c:pt idx="13">
                  <c:v>0.86899999999999999</c:v>
                </c:pt>
                <c:pt idx="14">
                  <c:v>0.86599999999999999</c:v>
                </c:pt>
                <c:pt idx="15">
                  <c:v>0.88900000000000001</c:v>
                </c:pt>
                <c:pt idx="16">
                  <c:v>0.86</c:v>
                </c:pt>
                <c:pt idx="17">
                  <c:v>0.88800000000000001</c:v>
                </c:pt>
                <c:pt idx="18">
                  <c:v>0.871</c:v>
                </c:pt>
                <c:pt idx="19">
                  <c:v>0.88700000000000001</c:v>
                </c:pt>
                <c:pt idx="20">
                  <c:v>0.89</c:v>
                </c:pt>
                <c:pt idx="21">
                  <c:v>0.88500000000000001</c:v>
                </c:pt>
                <c:pt idx="22">
                  <c:v>0.85899999999999999</c:v>
                </c:pt>
                <c:pt idx="23">
                  <c:v>0.88900000000000001</c:v>
                </c:pt>
                <c:pt idx="24">
                  <c:v>0.81499999999999995</c:v>
                </c:pt>
                <c:pt idx="25">
                  <c:v>0.88800000000000001</c:v>
                </c:pt>
                <c:pt idx="26">
                  <c:v>0.89200000000000002</c:v>
                </c:pt>
                <c:pt idx="27">
                  <c:v>0.91600000000000004</c:v>
                </c:pt>
                <c:pt idx="28">
                  <c:v>0.88200000000000001</c:v>
                </c:pt>
                <c:pt idx="29">
                  <c:v>0.88500000000000001</c:v>
                </c:pt>
                <c:pt idx="30">
                  <c:v>0.88600000000000001</c:v>
                </c:pt>
                <c:pt idx="31">
                  <c:v>0.89200000000000002</c:v>
                </c:pt>
              </c:numCache>
            </c:numRef>
          </c:val>
          <c:smooth val="0"/>
        </c:ser>
        <c:ser>
          <c:idx val="5"/>
          <c:order val="1"/>
          <c:tx>
            <c:strRef>
              <c:f>Antenatal!$A$14</c:f>
              <c:strCache>
                <c:ptCount val="1"/>
                <c:pt idx="0">
                  <c:v>Target (min)</c:v>
                </c:pt>
              </c:strCache>
            </c:strRef>
          </c:tx>
          <c:spPr>
            <a:ln w="25400">
              <a:solidFill>
                <a:srgbClr val="FF0000"/>
              </a:solidFill>
              <a:prstDash val="dash"/>
            </a:ln>
          </c:spPr>
          <c:marker>
            <c:symbol val="none"/>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Antenatal!$B$14:$AW$14</c:f>
              <c:numCache>
                <c:formatCode>0.0%</c:formatCode>
                <c:ptCount val="48"/>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85440896"/>
        <c:axId val="185446784"/>
      </c:lineChart>
      <c:dateAx>
        <c:axId val="1854408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5446784"/>
        <c:crosses val="autoZero"/>
        <c:auto val="1"/>
        <c:lblOffset val="100"/>
        <c:baseTimeUnit val="months"/>
        <c:majorUnit val="1"/>
        <c:majorTimeUnit val="months"/>
      </c:dateAx>
      <c:valAx>
        <c:axId val="185446784"/>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440896"/>
        <c:crosses val="autoZero"/>
        <c:crossBetween val="between"/>
        <c:majorUnit val="5.0000000000000024E-2"/>
      </c:valAx>
    </c:plotArea>
    <c:legend>
      <c:legendPos val="r"/>
      <c:layout>
        <c:manualLayout>
          <c:xMode val="edge"/>
          <c:yMode val="edge"/>
          <c:x val="0.22562979189485213"/>
          <c:y val="0.88888888888888884"/>
          <c:w val="0.58598028477545205"/>
          <c:h val="9.523809523809424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CAMHS!$A$29</c:f>
              <c:strCache>
                <c:ptCount val="1"/>
                <c:pt idx="0">
                  <c:v>Number Waiting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CAMHS!$B$29:$AW$29</c:f>
              <c:numCache>
                <c:formatCode>#,##0</c:formatCode>
                <c:ptCount val="48"/>
                <c:pt idx="0">
                  <c:v>1206</c:v>
                </c:pt>
                <c:pt idx="1">
                  <c:v>1222</c:v>
                </c:pt>
                <c:pt idx="2">
                  <c:v>1192</c:v>
                </c:pt>
                <c:pt idx="3">
                  <c:v>1098</c:v>
                </c:pt>
                <c:pt idx="4">
                  <c:v>1043</c:v>
                </c:pt>
                <c:pt idx="5">
                  <c:v>988</c:v>
                </c:pt>
                <c:pt idx="6">
                  <c:v>947</c:v>
                </c:pt>
                <c:pt idx="7">
                  <c:v>1139</c:v>
                </c:pt>
                <c:pt idx="8">
                  <c:v>1191</c:v>
                </c:pt>
                <c:pt idx="9">
                  <c:v>1182</c:v>
                </c:pt>
                <c:pt idx="10">
                  <c:v>1245</c:v>
                </c:pt>
                <c:pt idx="11">
                  <c:v>1190</c:v>
                </c:pt>
                <c:pt idx="12">
                  <c:v>1154</c:v>
                </c:pt>
                <c:pt idx="13">
                  <c:v>1132</c:v>
                </c:pt>
                <c:pt idx="14">
                  <c:v>1040</c:v>
                </c:pt>
                <c:pt idx="15">
                  <c:v>956</c:v>
                </c:pt>
                <c:pt idx="16">
                  <c:v>838</c:v>
                </c:pt>
                <c:pt idx="17">
                  <c:v>819</c:v>
                </c:pt>
                <c:pt idx="18">
                  <c:v>805</c:v>
                </c:pt>
                <c:pt idx="19">
                  <c:v>886</c:v>
                </c:pt>
                <c:pt idx="20">
                  <c:v>925</c:v>
                </c:pt>
                <c:pt idx="21">
                  <c:v>992</c:v>
                </c:pt>
                <c:pt idx="22">
                  <c:v>992</c:v>
                </c:pt>
                <c:pt idx="23">
                  <c:v>1006</c:v>
                </c:pt>
                <c:pt idx="24">
                  <c:v>964</c:v>
                </c:pt>
                <c:pt idx="25">
                  <c:v>1006</c:v>
                </c:pt>
                <c:pt idx="26">
                  <c:v>1024</c:v>
                </c:pt>
                <c:pt idx="27">
                  <c:v>962</c:v>
                </c:pt>
                <c:pt idx="28">
                  <c:v>949</c:v>
                </c:pt>
                <c:pt idx="29">
                  <c:v>958</c:v>
                </c:pt>
                <c:pt idx="30">
                  <c:v>991</c:v>
                </c:pt>
                <c:pt idx="31">
                  <c:v>1110</c:v>
                </c:pt>
                <c:pt idx="32">
                  <c:v>1137</c:v>
                </c:pt>
              </c:numCache>
            </c:numRef>
          </c:val>
        </c:ser>
        <c:ser>
          <c:idx val="2"/>
          <c:order val="2"/>
          <c:tx>
            <c:strRef>
              <c:f>CAMHS!$A$30</c:f>
              <c:strCache>
                <c:ptCount val="1"/>
                <c:pt idx="0">
                  <c:v>Number Waiting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CAMHS!$B$30:$AW$30</c:f>
              <c:numCache>
                <c:formatCode>#,##0</c:formatCode>
                <c:ptCount val="48"/>
                <c:pt idx="0">
                  <c:v>481</c:v>
                </c:pt>
                <c:pt idx="1">
                  <c:v>487</c:v>
                </c:pt>
                <c:pt idx="2">
                  <c:v>516</c:v>
                </c:pt>
                <c:pt idx="3">
                  <c:v>639</c:v>
                </c:pt>
                <c:pt idx="4">
                  <c:v>694</c:v>
                </c:pt>
                <c:pt idx="5">
                  <c:v>680</c:v>
                </c:pt>
                <c:pt idx="6">
                  <c:v>730</c:v>
                </c:pt>
                <c:pt idx="7">
                  <c:v>687</c:v>
                </c:pt>
                <c:pt idx="8">
                  <c:v>709</c:v>
                </c:pt>
                <c:pt idx="9">
                  <c:v>747</c:v>
                </c:pt>
                <c:pt idx="10">
                  <c:v>815</c:v>
                </c:pt>
                <c:pt idx="11">
                  <c:v>888</c:v>
                </c:pt>
                <c:pt idx="12">
                  <c:v>931</c:v>
                </c:pt>
                <c:pt idx="13">
                  <c:v>864</c:v>
                </c:pt>
                <c:pt idx="14">
                  <c:v>817</c:v>
                </c:pt>
                <c:pt idx="15">
                  <c:v>861</c:v>
                </c:pt>
                <c:pt idx="16">
                  <c:v>853</c:v>
                </c:pt>
                <c:pt idx="17">
                  <c:v>810</c:v>
                </c:pt>
                <c:pt idx="18">
                  <c:v>783</c:v>
                </c:pt>
                <c:pt idx="19">
                  <c:v>684</c:v>
                </c:pt>
                <c:pt idx="20">
                  <c:v>626</c:v>
                </c:pt>
                <c:pt idx="21">
                  <c:v>572</c:v>
                </c:pt>
                <c:pt idx="22">
                  <c:v>478</c:v>
                </c:pt>
                <c:pt idx="23">
                  <c:v>466</c:v>
                </c:pt>
                <c:pt idx="24">
                  <c:v>493</c:v>
                </c:pt>
                <c:pt idx="25">
                  <c:v>419</c:v>
                </c:pt>
                <c:pt idx="26">
                  <c:v>477</c:v>
                </c:pt>
                <c:pt idx="27">
                  <c:v>537</c:v>
                </c:pt>
                <c:pt idx="28">
                  <c:v>507</c:v>
                </c:pt>
                <c:pt idx="29">
                  <c:v>529</c:v>
                </c:pt>
                <c:pt idx="30">
                  <c:v>527</c:v>
                </c:pt>
                <c:pt idx="31">
                  <c:v>513</c:v>
                </c:pt>
                <c:pt idx="32">
                  <c:v>533</c:v>
                </c:pt>
              </c:numCache>
            </c:numRef>
          </c:val>
        </c:ser>
        <c:dLbls>
          <c:showLegendKey val="0"/>
          <c:showVal val="0"/>
          <c:showCatName val="0"/>
          <c:showSerName val="0"/>
          <c:showPercent val="0"/>
          <c:showBubbleSize val="0"/>
        </c:dLbls>
        <c:gapWidth val="100"/>
        <c:axId val="187777408"/>
        <c:axId val="187780096"/>
      </c:barChart>
      <c:lineChart>
        <c:grouping val="standard"/>
        <c:varyColors val="0"/>
        <c:ser>
          <c:idx val="0"/>
          <c:order val="0"/>
          <c:tx>
            <c:strRef>
              <c:f>CAMHS!$A$28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CAMHS!$B$28:$AW$28</c:f>
              <c:numCache>
                <c:formatCode>#,##0</c:formatCode>
                <c:ptCount val="48"/>
                <c:pt idx="0">
                  <c:v>1687</c:v>
                </c:pt>
                <c:pt idx="1">
                  <c:v>1709</c:v>
                </c:pt>
                <c:pt idx="2">
                  <c:v>1708</c:v>
                </c:pt>
                <c:pt idx="3">
                  <c:v>1737</c:v>
                </c:pt>
                <c:pt idx="4">
                  <c:v>1737</c:v>
                </c:pt>
                <c:pt idx="5">
                  <c:v>1668</c:v>
                </c:pt>
                <c:pt idx="6">
                  <c:v>1677</c:v>
                </c:pt>
                <c:pt idx="7">
                  <c:v>1826</c:v>
                </c:pt>
                <c:pt idx="8">
                  <c:v>1900</c:v>
                </c:pt>
                <c:pt idx="9">
                  <c:v>1929</c:v>
                </c:pt>
                <c:pt idx="10">
                  <c:v>2060</c:v>
                </c:pt>
                <c:pt idx="11">
                  <c:v>2078</c:v>
                </c:pt>
                <c:pt idx="12">
                  <c:v>2085</c:v>
                </c:pt>
                <c:pt idx="13">
                  <c:v>1996</c:v>
                </c:pt>
                <c:pt idx="14">
                  <c:v>1857</c:v>
                </c:pt>
                <c:pt idx="15">
                  <c:v>1817</c:v>
                </c:pt>
                <c:pt idx="16">
                  <c:v>1691</c:v>
                </c:pt>
                <c:pt idx="17">
                  <c:v>1629</c:v>
                </c:pt>
                <c:pt idx="18">
                  <c:v>1588</c:v>
                </c:pt>
                <c:pt idx="19">
                  <c:v>1570</c:v>
                </c:pt>
                <c:pt idx="20">
                  <c:v>1551</c:v>
                </c:pt>
                <c:pt idx="21">
                  <c:v>1564</c:v>
                </c:pt>
                <c:pt idx="22">
                  <c:v>1470</c:v>
                </c:pt>
                <c:pt idx="23">
                  <c:v>1472</c:v>
                </c:pt>
                <c:pt idx="24">
                  <c:v>1457</c:v>
                </c:pt>
                <c:pt idx="25">
                  <c:v>1425</c:v>
                </c:pt>
                <c:pt idx="26">
                  <c:v>1501</c:v>
                </c:pt>
                <c:pt idx="27">
                  <c:v>1499</c:v>
                </c:pt>
                <c:pt idx="28">
                  <c:v>1456</c:v>
                </c:pt>
                <c:pt idx="29">
                  <c:v>1487</c:v>
                </c:pt>
                <c:pt idx="30">
                  <c:v>1518</c:v>
                </c:pt>
                <c:pt idx="31">
                  <c:v>1623</c:v>
                </c:pt>
                <c:pt idx="32">
                  <c:v>1670</c:v>
                </c:pt>
              </c:numCache>
            </c:numRef>
          </c:val>
          <c:smooth val="0"/>
        </c:ser>
        <c:dLbls>
          <c:showLegendKey val="0"/>
          <c:showVal val="0"/>
          <c:showCatName val="0"/>
          <c:showSerName val="0"/>
          <c:showPercent val="0"/>
          <c:showBubbleSize val="0"/>
        </c:dLbls>
        <c:marker val="1"/>
        <c:smooth val="0"/>
        <c:axId val="187777408"/>
        <c:axId val="187780096"/>
      </c:lineChart>
      <c:dateAx>
        <c:axId val="1877774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7780096"/>
        <c:crosses val="autoZero"/>
        <c:auto val="1"/>
        <c:lblOffset val="100"/>
        <c:baseTimeUnit val="months"/>
        <c:majorUnit val="1"/>
        <c:majorTimeUnit val="months"/>
      </c:dateAx>
      <c:valAx>
        <c:axId val="18778009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7777408"/>
        <c:crosses val="autoZero"/>
        <c:crossBetween val="between"/>
        <c:majorUnit val="250"/>
      </c:valAx>
    </c:plotArea>
    <c:legend>
      <c:legendPos val="b"/>
      <c:layout>
        <c:manualLayout>
          <c:xMode val="edge"/>
          <c:yMode val="edge"/>
          <c:x val="0.17089305402425578"/>
          <c:y val="0.93650793650793651"/>
          <c:w val="0.65600882028666263"/>
          <c:h val="4.49735449735449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3.3107599699021821E-2"/>
          <c:w val="0.92795083265456457"/>
          <c:h val="0.70899415225469165"/>
        </c:manualLayout>
      </c:layout>
      <c:lineChart>
        <c:grouping val="standard"/>
        <c:varyColors val="0"/>
        <c:ser>
          <c:idx val="0"/>
          <c:order val="0"/>
          <c:tx>
            <c:strRef>
              <c:f>CAMHS!$A$10</c:f>
              <c:strCache>
                <c:ptCount val="1"/>
                <c:pt idx="0">
                  <c:v>Percentage of children and young people seen within 18 weeks for first treatment</c:v>
                </c:pt>
              </c:strCache>
            </c:strRef>
          </c:tx>
          <c:spPr>
            <a:ln w="25400">
              <a:solidFill>
                <a:srgbClr val="0070C0"/>
              </a:solidFill>
            </a:ln>
          </c:spPr>
          <c:marker>
            <c:symbol val="circle"/>
            <c:size val="4"/>
            <c:spPr>
              <a:solidFill>
                <a:srgbClr val="0070C0"/>
              </a:solidFill>
              <a:ln w="25400">
                <a:solidFill>
                  <a:srgbClr val="0070C0"/>
                </a:solidFill>
              </a:ln>
            </c:spPr>
          </c:marker>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CAMHS!$B$10:$AW$10</c:f>
              <c:numCache>
                <c:formatCode>0.0%</c:formatCode>
                <c:ptCount val="48"/>
                <c:pt idx="0">
                  <c:v>0.5752212389380531</c:v>
                </c:pt>
                <c:pt idx="1">
                  <c:v>0.5668016194331984</c:v>
                </c:pt>
                <c:pt idx="2">
                  <c:v>0.602112676056338</c:v>
                </c:pt>
                <c:pt idx="3">
                  <c:v>0.70666666666666667</c:v>
                </c:pt>
                <c:pt idx="4">
                  <c:v>0.7584905660377359</c:v>
                </c:pt>
                <c:pt idx="5">
                  <c:v>0.59090909090909094</c:v>
                </c:pt>
                <c:pt idx="6">
                  <c:v>0.61373390557939911</c:v>
                </c:pt>
                <c:pt idx="7">
                  <c:v>0.53558052434456926</c:v>
                </c:pt>
                <c:pt idx="8">
                  <c:v>0.64646464646464652</c:v>
                </c:pt>
                <c:pt idx="9">
                  <c:v>0.56281407035175879</c:v>
                </c:pt>
                <c:pt idx="10">
                  <c:v>0.72687224669603523</c:v>
                </c:pt>
                <c:pt idx="11">
                  <c:v>0.69711538461538458</c:v>
                </c:pt>
                <c:pt idx="12">
                  <c:v>0.59514170040485825</c:v>
                </c:pt>
                <c:pt idx="13">
                  <c:v>0.56081081081081086</c:v>
                </c:pt>
                <c:pt idx="14">
                  <c:v>0.56849315068493156</c:v>
                </c:pt>
                <c:pt idx="15">
                  <c:v>0.58282208588957052</c:v>
                </c:pt>
                <c:pt idx="16">
                  <c:v>0.55188679245283023</c:v>
                </c:pt>
                <c:pt idx="17">
                  <c:v>0.54655870445344135</c:v>
                </c:pt>
                <c:pt idx="18">
                  <c:v>0.56190476190476191</c:v>
                </c:pt>
                <c:pt idx="19">
                  <c:v>0.42474916387959866</c:v>
                </c:pt>
                <c:pt idx="20">
                  <c:v>0.48717948717948717</c:v>
                </c:pt>
                <c:pt idx="21">
                  <c:v>0.42439024390243901</c:v>
                </c:pt>
                <c:pt idx="22">
                  <c:v>0.484375</c:v>
                </c:pt>
                <c:pt idx="23">
                  <c:v>0.51361867704280151</c:v>
                </c:pt>
                <c:pt idx="24">
                  <c:v>0.569620253164557</c:v>
                </c:pt>
                <c:pt idx="25">
                  <c:v>0.5607843137254902</c:v>
                </c:pt>
                <c:pt idx="26">
                  <c:v>0.62761506276150625</c:v>
                </c:pt>
                <c:pt idx="27">
                  <c:v>0.6211180124223602</c:v>
                </c:pt>
                <c:pt idx="28">
                  <c:v>0.51658767772511849</c:v>
                </c:pt>
                <c:pt idx="29">
                  <c:v>0.58659217877094971</c:v>
                </c:pt>
                <c:pt idx="30">
                  <c:v>0.57207207207207211</c:v>
                </c:pt>
                <c:pt idx="31">
                  <c:v>0.62229102167182659</c:v>
                </c:pt>
                <c:pt idx="32">
                  <c:v>0.58278145695364236</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CAMHS!$A$17</c:f>
              <c:strCache>
                <c:ptCount val="1"/>
                <c:pt idx="0">
                  <c:v>Target (min)</c:v>
                </c:pt>
              </c:strCache>
            </c:strRef>
          </c:tx>
          <c:spPr>
            <a:ln w="25400">
              <a:solidFill>
                <a:srgbClr val="FF00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CAMHS!$B$17:$AW$17</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CAMHS!$A$11</c:f>
              <c:strCache>
                <c:ptCount val="1"/>
                <c:pt idx="0">
                  <c:v>Baseline Median</c:v>
                </c:pt>
              </c:strCache>
            </c:strRef>
          </c:tx>
          <c:spPr>
            <a:ln w="25400">
              <a:solidFill>
                <a:schemeClr val="tx1"/>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CAMHS!$B$11:$AW$11</c:f>
              <c:numCache>
                <c:formatCode>0.0%</c:formatCode>
                <c:ptCount val="48"/>
                <c:pt idx="0">
                  <c:v>0.59651088348271442</c:v>
                </c:pt>
                <c:pt idx="1">
                  <c:v>0.59651088348271442</c:v>
                </c:pt>
                <c:pt idx="2">
                  <c:v>0.59651088348271442</c:v>
                </c:pt>
                <c:pt idx="3">
                  <c:v>0.59651088348271442</c:v>
                </c:pt>
                <c:pt idx="4">
                  <c:v>0.59651088348271442</c:v>
                </c:pt>
                <c:pt idx="5">
                  <c:v>0.59651088348271442</c:v>
                </c:pt>
              </c:numCache>
            </c:numRef>
          </c:val>
          <c:smooth val="0"/>
        </c:ser>
        <c:ser>
          <c:idx val="3"/>
          <c:order val="3"/>
          <c:tx>
            <c:strRef>
              <c:f>CAMHS!$A$12</c:f>
              <c:strCache>
                <c:ptCount val="1"/>
                <c:pt idx="0">
                  <c:v>Extended Median</c:v>
                </c:pt>
              </c:strCache>
            </c:strRef>
          </c:tx>
          <c:spPr>
            <a:ln w="25400">
              <a:solidFill>
                <a:schemeClr val="tx1"/>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CAMHS!$B$12:$AW$12</c:f>
              <c:numCache>
                <c:formatCode>0.0%</c:formatCode>
                <c:ptCount val="48"/>
                <c:pt idx="5">
                  <c:v>0.59651088348271442</c:v>
                </c:pt>
                <c:pt idx="6">
                  <c:v>0.59651088348271442</c:v>
                </c:pt>
                <c:pt idx="7">
                  <c:v>0.59651088348271442</c:v>
                </c:pt>
                <c:pt idx="8">
                  <c:v>0.59651088348271442</c:v>
                </c:pt>
                <c:pt idx="9">
                  <c:v>0.59651088348271442</c:v>
                </c:pt>
                <c:pt idx="10">
                  <c:v>0.59651088348271442</c:v>
                </c:pt>
                <c:pt idx="11">
                  <c:v>0.59651088348271442</c:v>
                </c:pt>
                <c:pt idx="12">
                  <c:v>0.59651088348271442</c:v>
                </c:pt>
              </c:numCache>
            </c:numRef>
          </c:val>
          <c:smooth val="0"/>
        </c:ser>
        <c:ser>
          <c:idx val="4"/>
          <c:order val="4"/>
          <c:tx>
            <c:strRef>
              <c:f>CAMHS!$A$13</c:f>
              <c:strCache>
                <c:ptCount val="1"/>
                <c:pt idx="0">
                  <c:v>New Median</c:v>
                </c:pt>
              </c:strCache>
            </c:strRef>
          </c:tx>
          <c:spPr>
            <a:ln w="25400">
              <a:solidFill>
                <a:srgbClr val="FF9900"/>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CAMHS!$B$13:$AW$13</c:f>
              <c:numCache>
                <c:formatCode>0.0%</c:formatCode>
                <c:ptCount val="48"/>
                <c:pt idx="12">
                  <c:v>0.56465198074787115</c:v>
                </c:pt>
                <c:pt idx="13">
                  <c:v>0.56465198074787115</c:v>
                </c:pt>
                <c:pt idx="14">
                  <c:v>0.56465198074787115</c:v>
                </c:pt>
                <c:pt idx="15">
                  <c:v>0.56465198074787115</c:v>
                </c:pt>
                <c:pt idx="16">
                  <c:v>0.56465198074787115</c:v>
                </c:pt>
                <c:pt idx="17">
                  <c:v>0.56465198074787115</c:v>
                </c:pt>
              </c:numCache>
            </c:numRef>
          </c:val>
          <c:smooth val="0"/>
        </c:ser>
        <c:ser>
          <c:idx val="5"/>
          <c:order val="5"/>
          <c:tx>
            <c:strRef>
              <c:f>CAMHS!$A$14</c:f>
              <c:strCache>
                <c:ptCount val="1"/>
                <c:pt idx="0">
                  <c:v>Extended New Median</c:v>
                </c:pt>
              </c:strCache>
            </c:strRef>
          </c:tx>
          <c:spPr>
            <a:ln w="25400">
              <a:solidFill>
                <a:srgbClr val="FF99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CAMHS!$B$14:$AW$14</c:f>
              <c:numCache>
                <c:formatCode>0.0%</c:formatCode>
                <c:ptCount val="48"/>
                <c:pt idx="17">
                  <c:v>0.56465198074787115</c:v>
                </c:pt>
                <c:pt idx="18">
                  <c:v>0.56465198074787115</c:v>
                </c:pt>
                <c:pt idx="19">
                  <c:v>0.56465198074787115</c:v>
                </c:pt>
                <c:pt idx="20">
                  <c:v>0.56465198074787115</c:v>
                </c:pt>
                <c:pt idx="21">
                  <c:v>0.56465198074787115</c:v>
                </c:pt>
                <c:pt idx="22">
                  <c:v>0.56465198074787115</c:v>
                </c:pt>
                <c:pt idx="23">
                  <c:v>0.56465198074787115</c:v>
                </c:pt>
                <c:pt idx="24">
                  <c:v>0.56465198074787115</c:v>
                </c:pt>
                <c:pt idx="25">
                  <c:v>0.56465198074787115</c:v>
                </c:pt>
                <c:pt idx="26">
                  <c:v>0.56465198074787115</c:v>
                </c:pt>
                <c:pt idx="27">
                  <c:v>0.56465198074787115</c:v>
                </c:pt>
                <c:pt idx="28">
                  <c:v>0.56465198074787115</c:v>
                </c:pt>
                <c:pt idx="29">
                  <c:v>0.56465198074787115</c:v>
                </c:pt>
                <c:pt idx="30">
                  <c:v>0.56465198074787115</c:v>
                </c:pt>
                <c:pt idx="31">
                  <c:v>0.56465198074787115</c:v>
                </c:pt>
                <c:pt idx="32">
                  <c:v>0.56465198074787115</c:v>
                </c:pt>
                <c:pt idx="33">
                  <c:v>0.56465198074787115</c:v>
                </c:pt>
                <c:pt idx="34">
                  <c:v>0.56465198074787115</c:v>
                </c:pt>
                <c:pt idx="35">
                  <c:v>0.56465198074787115</c:v>
                </c:pt>
                <c:pt idx="36">
                  <c:v>0.56465198074787115</c:v>
                </c:pt>
                <c:pt idx="37">
                  <c:v>0.56465198074787115</c:v>
                </c:pt>
                <c:pt idx="38">
                  <c:v>0.56465198074787115</c:v>
                </c:pt>
                <c:pt idx="39">
                  <c:v>0.56465198074787115</c:v>
                </c:pt>
                <c:pt idx="40">
                  <c:v>0.56465198074787115</c:v>
                </c:pt>
                <c:pt idx="41">
                  <c:v>0.56465198074787115</c:v>
                </c:pt>
                <c:pt idx="42">
                  <c:v>0.56465198074787115</c:v>
                </c:pt>
                <c:pt idx="43">
                  <c:v>0.56465198074787115</c:v>
                </c:pt>
                <c:pt idx="44">
                  <c:v>0.56465198074787115</c:v>
                </c:pt>
                <c:pt idx="45">
                  <c:v>0.56465198074787115</c:v>
                </c:pt>
                <c:pt idx="46">
                  <c:v>0.56465198074787115</c:v>
                </c:pt>
                <c:pt idx="47">
                  <c:v>0.56465198074787115</c:v>
                </c:pt>
              </c:numCache>
            </c:numRef>
          </c:val>
          <c:smooth val="0"/>
        </c:ser>
        <c:dLbls>
          <c:showLegendKey val="0"/>
          <c:showVal val="0"/>
          <c:showCatName val="0"/>
          <c:showSerName val="0"/>
          <c:showPercent val="0"/>
          <c:showBubbleSize val="0"/>
        </c:dLbls>
        <c:marker val="1"/>
        <c:smooth val="0"/>
        <c:axId val="173774336"/>
        <c:axId val="173775872"/>
      </c:lineChart>
      <c:dateAx>
        <c:axId val="1737743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73775872"/>
        <c:crosses val="autoZero"/>
        <c:auto val="1"/>
        <c:lblOffset val="100"/>
        <c:baseTimeUnit val="months"/>
        <c:majorUnit val="1"/>
        <c:majorTimeUnit val="months"/>
      </c:dateAx>
      <c:valAx>
        <c:axId val="173775872"/>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73774336"/>
        <c:crosses val="autoZero"/>
        <c:crossBetween val="between"/>
      </c:valAx>
    </c:plotArea>
    <c:legend>
      <c:legendPos val="r"/>
      <c:layout>
        <c:manualLayout>
          <c:xMode val="edge"/>
          <c:yMode val="edge"/>
          <c:x val="2.2050716648291082E-2"/>
          <c:y val="0.86507936507936511"/>
          <c:w val="0.95148842337375705"/>
          <c:h val="0.11904761904761586"/>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CAMHS!$A$22</c:f>
              <c:strCache>
                <c:ptCount val="1"/>
                <c:pt idx="0">
                  <c:v>Number Seen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CAMHS!$B$22:$AW$22</c:f>
              <c:numCache>
                <c:formatCode>#,##0</c:formatCode>
                <c:ptCount val="48"/>
                <c:pt idx="0">
                  <c:v>130</c:v>
                </c:pt>
                <c:pt idx="1">
                  <c:v>140</c:v>
                </c:pt>
                <c:pt idx="2">
                  <c:v>171</c:v>
                </c:pt>
                <c:pt idx="3">
                  <c:v>159</c:v>
                </c:pt>
                <c:pt idx="4">
                  <c:v>201</c:v>
                </c:pt>
                <c:pt idx="5">
                  <c:v>169</c:v>
                </c:pt>
                <c:pt idx="6">
                  <c:v>143</c:v>
                </c:pt>
                <c:pt idx="7">
                  <c:v>143</c:v>
                </c:pt>
                <c:pt idx="8">
                  <c:v>128</c:v>
                </c:pt>
                <c:pt idx="9">
                  <c:v>112</c:v>
                </c:pt>
                <c:pt idx="10">
                  <c:v>165</c:v>
                </c:pt>
                <c:pt idx="11">
                  <c:v>145</c:v>
                </c:pt>
                <c:pt idx="12">
                  <c:v>147</c:v>
                </c:pt>
                <c:pt idx="13">
                  <c:v>166</c:v>
                </c:pt>
                <c:pt idx="14">
                  <c:v>166</c:v>
                </c:pt>
                <c:pt idx="15">
                  <c:v>95</c:v>
                </c:pt>
                <c:pt idx="16">
                  <c:v>117</c:v>
                </c:pt>
                <c:pt idx="17">
                  <c:v>135</c:v>
                </c:pt>
                <c:pt idx="18">
                  <c:v>118</c:v>
                </c:pt>
                <c:pt idx="19">
                  <c:v>127</c:v>
                </c:pt>
                <c:pt idx="20">
                  <c:v>76</c:v>
                </c:pt>
                <c:pt idx="21">
                  <c:v>87</c:v>
                </c:pt>
                <c:pt idx="22">
                  <c:v>124</c:v>
                </c:pt>
                <c:pt idx="23">
                  <c:v>132</c:v>
                </c:pt>
                <c:pt idx="24">
                  <c:v>90</c:v>
                </c:pt>
                <c:pt idx="25">
                  <c:v>143</c:v>
                </c:pt>
                <c:pt idx="26">
                  <c:v>150</c:v>
                </c:pt>
                <c:pt idx="27">
                  <c:v>100</c:v>
                </c:pt>
                <c:pt idx="28">
                  <c:v>109</c:v>
                </c:pt>
                <c:pt idx="29">
                  <c:v>105</c:v>
                </c:pt>
                <c:pt idx="30">
                  <c:v>127</c:v>
                </c:pt>
                <c:pt idx="31">
                  <c:v>201</c:v>
                </c:pt>
                <c:pt idx="32">
                  <c:v>88</c:v>
                </c:pt>
              </c:numCache>
            </c:numRef>
          </c:val>
        </c:ser>
        <c:ser>
          <c:idx val="2"/>
          <c:order val="2"/>
          <c:tx>
            <c:strRef>
              <c:f>CAMHS!$A$23</c:f>
              <c:strCache>
                <c:ptCount val="1"/>
                <c:pt idx="0">
                  <c:v>Number Seen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CAMHS!$B$23:$AW$23</c:f>
              <c:numCache>
                <c:formatCode>#,##0</c:formatCode>
                <c:ptCount val="48"/>
                <c:pt idx="0">
                  <c:v>96</c:v>
                </c:pt>
                <c:pt idx="1">
                  <c:v>107</c:v>
                </c:pt>
                <c:pt idx="2">
                  <c:v>113</c:v>
                </c:pt>
                <c:pt idx="3">
                  <c:v>66</c:v>
                </c:pt>
                <c:pt idx="4">
                  <c:v>64</c:v>
                </c:pt>
                <c:pt idx="5">
                  <c:v>117</c:v>
                </c:pt>
                <c:pt idx="6">
                  <c:v>90</c:v>
                </c:pt>
                <c:pt idx="7">
                  <c:v>124</c:v>
                </c:pt>
                <c:pt idx="8">
                  <c:v>70</c:v>
                </c:pt>
                <c:pt idx="9">
                  <c:v>87</c:v>
                </c:pt>
                <c:pt idx="10">
                  <c:v>62</c:v>
                </c:pt>
                <c:pt idx="11">
                  <c:v>63</c:v>
                </c:pt>
                <c:pt idx="12">
                  <c:v>100</c:v>
                </c:pt>
                <c:pt idx="13">
                  <c:v>130</c:v>
                </c:pt>
                <c:pt idx="14">
                  <c:v>126</c:v>
                </c:pt>
                <c:pt idx="15">
                  <c:v>68</c:v>
                </c:pt>
                <c:pt idx="16">
                  <c:v>95</c:v>
                </c:pt>
                <c:pt idx="17">
                  <c:v>112</c:v>
                </c:pt>
                <c:pt idx="18">
                  <c:v>92</c:v>
                </c:pt>
                <c:pt idx="19">
                  <c:v>172</c:v>
                </c:pt>
                <c:pt idx="20">
                  <c:v>80</c:v>
                </c:pt>
                <c:pt idx="21">
                  <c:v>118</c:v>
                </c:pt>
                <c:pt idx="22">
                  <c:v>132</c:v>
                </c:pt>
                <c:pt idx="23">
                  <c:v>125</c:v>
                </c:pt>
                <c:pt idx="24">
                  <c:v>68</c:v>
                </c:pt>
                <c:pt idx="25">
                  <c:v>112</c:v>
                </c:pt>
                <c:pt idx="26">
                  <c:v>89</c:v>
                </c:pt>
                <c:pt idx="27">
                  <c:v>61</c:v>
                </c:pt>
                <c:pt idx="28">
                  <c:v>102</c:v>
                </c:pt>
                <c:pt idx="29">
                  <c:v>74</c:v>
                </c:pt>
                <c:pt idx="30">
                  <c:v>95</c:v>
                </c:pt>
                <c:pt idx="31">
                  <c:v>122</c:v>
                </c:pt>
                <c:pt idx="32">
                  <c:v>63</c:v>
                </c:pt>
              </c:numCache>
            </c:numRef>
          </c:val>
        </c:ser>
        <c:dLbls>
          <c:showLegendKey val="0"/>
          <c:showVal val="0"/>
          <c:showCatName val="0"/>
          <c:showSerName val="0"/>
          <c:showPercent val="0"/>
          <c:showBubbleSize val="0"/>
        </c:dLbls>
        <c:gapWidth val="100"/>
        <c:axId val="187721600"/>
        <c:axId val="187831040"/>
      </c:barChart>
      <c:lineChart>
        <c:grouping val="standard"/>
        <c:varyColors val="0"/>
        <c:ser>
          <c:idx val="0"/>
          <c:order val="0"/>
          <c:tx>
            <c:strRef>
              <c:f>CAMHS!$A$21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CAMHS!$B$21:$AW$21</c:f>
              <c:numCache>
                <c:formatCode>#,##0</c:formatCode>
                <c:ptCount val="48"/>
                <c:pt idx="0">
                  <c:v>226</c:v>
                </c:pt>
                <c:pt idx="1">
                  <c:v>247</c:v>
                </c:pt>
                <c:pt idx="2">
                  <c:v>284</c:v>
                </c:pt>
                <c:pt idx="3">
                  <c:v>225</c:v>
                </c:pt>
                <c:pt idx="4">
                  <c:v>265</c:v>
                </c:pt>
                <c:pt idx="5">
                  <c:v>286</c:v>
                </c:pt>
                <c:pt idx="6">
                  <c:v>233</c:v>
                </c:pt>
                <c:pt idx="7">
                  <c:v>267</c:v>
                </c:pt>
                <c:pt idx="8">
                  <c:v>198</c:v>
                </c:pt>
                <c:pt idx="9">
                  <c:v>199</c:v>
                </c:pt>
                <c:pt idx="10">
                  <c:v>227</c:v>
                </c:pt>
                <c:pt idx="11">
                  <c:v>208</c:v>
                </c:pt>
                <c:pt idx="12">
                  <c:v>247</c:v>
                </c:pt>
                <c:pt idx="13">
                  <c:v>296</c:v>
                </c:pt>
                <c:pt idx="14">
                  <c:v>292</c:v>
                </c:pt>
                <c:pt idx="15">
                  <c:v>163</c:v>
                </c:pt>
                <c:pt idx="16">
                  <c:v>212</c:v>
                </c:pt>
                <c:pt idx="17">
                  <c:v>247</c:v>
                </c:pt>
                <c:pt idx="18">
                  <c:v>210</c:v>
                </c:pt>
                <c:pt idx="19">
                  <c:v>299</c:v>
                </c:pt>
                <c:pt idx="20">
                  <c:v>156</c:v>
                </c:pt>
                <c:pt idx="21">
                  <c:v>205</c:v>
                </c:pt>
                <c:pt idx="22">
                  <c:v>256</c:v>
                </c:pt>
                <c:pt idx="23">
                  <c:v>257</c:v>
                </c:pt>
                <c:pt idx="24">
                  <c:v>158</c:v>
                </c:pt>
                <c:pt idx="25">
                  <c:v>255</c:v>
                </c:pt>
                <c:pt idx="26">
                  <c:v>239</c:v>
                </c:pt>
                <c:pt idx="27">
                  <c:v>161</c:v>
                </c:pt>
                <c:pt idx="28">
                  <c:v>211</c:v>
                </c:pt>
                <c:pt idx="29">
                  <c:v>179</c:v>
                </c:pt>
                <c:pt idx="30">
                  <c:v>222</c:v>
                </c:pt>
                <c:pt idx="31">
                  <c:v>323</c:v>
                </c:pt>
                <c:pt idx="32">
                  <c:v>151</c:v>
                </c:pt>
              </c:numCache>
            </c:numRef>
          </c:val>
          <c:smooth val="0"/>
        </c:ser>
        <c:dLbls>
          <c:showLegendKey val="0"/>
          <c:showVal val="0"/>
          <c:showCatName val="0"/>
          <c:showSerName val="0"/>
          <c:showPercent val="0"/>
          <c:showBubbleSize val="0"/>
        </c:dLbls>
        <c:marker val="1"/>
        <c:smooth val="0"/>
        <c:axId val="187721600"/>
        <c:axId val="187831040"/>
      </c:lineChart>
      <c:dateAx>
        <c:axId val="1877216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7831040"/>
        <c:crosses val="autoZero"/>
        <c:auto val="1"/>
        <c:lblOffset val="100"/>
        <c:baseTimeUnit val="months"/>
        <c:majorUnit val="1"/>
        <c:majorTimeUnit val="months"/>
      </c:dateAx>
      <c:valAx>
        <c:axId val="18783104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7721600"/>
        <c:crosses val="autoZero"/>
        <c:crossBetween val="between"/>
      </c:valAx>
    </c:plotArea>
    <c:legend>
      <c:legendPos val="b"/>
      <c:layout>
        <c:manualLayout>
          <c:xMode val="edge"/>
          <c:yMode val="edge"/>
          <c:x val="0.17199558985667457"/>
          <c:y val="0.93650793650793651"/>
          <c:w val="0.48861864703516428"/>
          <c:h val="4.34081850879750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89966076951852614"/>
          <c:h val="0.7199247987260019"/>
        </c:manualLayout>
      </c:layout>
      <c:lineChart>
        <c:grouping val="standard"/>
        <c:varyColors val="0"/>
        <c:ser>
          <c:idx val="4"/>
          <c:order val="0"/>
          <c:tx>
            <c:v>% eligible referrals who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Day'!$B$11:$AW$11</c:f>
              <c:numCache>
                <c:formatCode>0.0%</c:formatCode>
                <c:ptCount val="48"/>
                <c:pt idx="0">
                  <c:v>0.97399999999999998</c:v>
                </c:pt>
                <c:pt idx="1">
                  <c:v>0.95599999999999996</c:v>
                </c:pt>
                <c:pt idx="2">
                  <c:v>0.96599999999999997</c:v>
                </c:pt>
                <c:pt idx="3">
                  <c:v>0.97399999999999998</c:v>
                </c:pt>
                <c:pt idx="4">
                  <c:v>0.96799999999999997</c:v>
                </c:pt>
                <c:pt idx="5">
                  <c:v>0.97899999999999998</c:v>
                </c:pt>
                <c:pt idx="6">
                  <c:v>0.97699999999999998</c:v>
                </c:pt>
                <c:pt idx="7">
                  <c:v>0.96499999999999997</c:v>
                </c:pt>
                <c:pt idx="8">
                  <c:v>0.95299999999999996</c:v>
                </c:pt>
                <c:pt idx="9">
                  <c:v>0.95199999999999996</c:v>
                </c:pt>
                <c:pt idx="10">
                  <c:v>0.94699999999999995</c:v>
                </c:pt>
                <c:pt idx="11">
                  <c:v>0.94399999999999995</c:v>
                </c:pt>
                <c:pt idx="12">
                  <c:v>0.94599999999999995</c:v>
                </c:pt>
                <c:pt idx="13">
                  <c:v>0.93600000000000005</c:v>
                </c:pt>
                <c:pt idx="14">
                  <c:v>0.95699999999999996</c:v>
                </c:pt>
                <c:pt idx="15">
                  <c:v>0.96</c:v>
                </c:pt>
                <c:pt idx="16">
                  <c:v>0.91300000000000003</c:v>
                </c:pt>
                <c:pt idx="17">
                  <c:v>0.92</c:v>
                </c:pt>
                <c:pt idx="18" formatCode="#,##0.0%;&quot;n/a&quot;">
                  <c:v>0.92700000000000005</c:v>
                </c:pt>
                <c:pt idx="19" formatCode="#,##0.0%;&quot;n/a&quot;">
                  <c:v>0.91500000000000004</c:v>
                </c:pt>
                <c:pt idx="20">
                  <c:v>0.95599999999999996</c:v>
                </c:pt>
                <c:pt idx="21">
                  <c:v>0.91300000000000003</c:v>
                </c:pt>
                <c:pt idx="22">
                  <c:v>0.92600000000000005</c:v>
                </c:pt>
                <c:pt idx="23" formatCode="#,##0.0%;&quot;n/a&quot;">
                  <c:v>0.96299999999999997</c:v>
                </c:pt>
                <c:pt idx="24">
                  <c:v>0.94599999999999995</c:v>
                </c:pt>
                <c:pt idx="25">
                  <c:v>0.92900000000000005</c:v>
                </c:pt>
                <c:pt idx="26">
                  <c:v>0.94299999999999995</c:v>
                </c:pt>
                <c:pt idx="27">
                  <c:v>0.93300000000000005</c:v>
                </c:pt>
                <c:pt idx="28">
                  <c:v>0.875</c:v>
                </c:pt>
                <c:pt idx="29">
                  <c:v>0.93300000000000005</c:v>
                </c:pt>
                <c:pt idx="30">
                  <c:v>0.96299999999999997</c:v>
                </c:pt>
                <c:pt idx="31">
                  <c:v>0.92600000000000005</c:v>
                </c:pt>
                <c:pt idx="32">
                  <c:v>0.91500000000000004</c:v>
                </c:pt>
              </c:numCache>
            </c:numRef>
          </c:val>
          <c:smooth val="0"/>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2"/>
          <c:tx>
            <c:strRef>
              <c:f>'Cancer - 31 Day'!$A$106</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Day'!$B$106:$G$106</c:f>
              <c:numCache>
                <c:formatCode>0.0%</c:formatCode>
                <c:ptCount val="6"/>
                <c:pt idx="0">
                  <c:v>0.97099999999999997</c:v>
                </c:pt>
                <c:pt idx="1">
                  <c:v>0.97099999999999997</c:v>
                </c:pt>
                <c:pt idx="2">
                  <c:v>0.97099999999999997</c:v>
                </c:pt>
                <c:pt idx="3">
                  <c:v>0.97099999999999997</c:v>
                </c:pt>
                <c:pt idx="4">
                  <c:v>0.97099999999999997</c:v>
                </c:pt>
                <c:pt idx="5">
                  <c:v>0.97099999999999997</c:v>
                </c:pt>
              </c:numCache>
            </c:numRef>
          </c:val>
          <c:smooth val="0"/>
        </c:ser>
        <c:ser>
          <c:idx val="1"/>
          <c:order val="3"/>
          <c:tx>
            <c:strRef>
              <c:f>'Cancer - 31 Day'!$A$107</c:f>
              <c:strCache>
                <c:ptCount val="1"/>
                <c:pt idx="0">
                  <c:v>Extended Baseline Median</c:v>
                </c:pt>
              </c:strCache>
            </c:strRef>
          </c:tx>
          <c:spPr>
            <a:ln w="25400">
              <a:solidFill>
                <a:prstClr val="black"/>
              </a:solidFill>
              <a:prstDash val="dash"/>
            </a:ln>
          </c:spPr>
          <c:marker>
            <c:symbol val="none"/>
          </c:marker>
          <c:dPt>
            <c:idx val="9"/>
            <c:bubble3D val="0"/>
            <c:spPr>
              <a:ln w="25400">
                <a:no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Day'!$B$107:$AW$107</c:f>
              <c:numCache>
                <c:formatCode>General</c:formatCode>
                <c:ptCount val="48"/>
                <c:pt idx="5" formatCode="0.0%">
                  <c:v>0.97099999999999997</c:v>
                </c:pt>
                <c:pt idx="6" formatCode="0.0%">
                  <c:v>0.97099999999999997</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numCache>
            </c:numRef>
          </c:val>
          <c:smooth val="0"/>
        </c:ser>
        <c:ser>
          <c:idx val="2"/>
          <c:order val="4"/>
          <c:tx>
            <c:strRef>
              <c:f>'Cancer - 31 Day'!$A$108</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Day'!$B$108:$O$108</c:f>
              <c:numCache>
                <c:formatCode>General</c:formatCode>
                <c:ptCount val="14"/>
                <c:pt idx="7" formatCode="0.0%">
                  <c:v>0.94950000000000001</c:v>
                </c:pt>
                <c:pt idx="8" formatCode="0.0%">
                  <c:v>0.94950000000000001</c:v>
                </c:pt>
                <c:pt idx="9" formatCode="0.0%">
                  <c:v>0.94950000000000001</c:v>
                </c:pt>
                <c:pt idx="10" formatCode="0.0%">
                  <c:v>0.94950000000000001</c:v>
                </c:pt>
                <c:pt idx="11" formatCode="0.0%">
                  <c:v>0.94950000000000001</c:v>
                </c:pt>
                <c:pt idx="12" formatCode="0.0%">
                  <c:v>0.94950000000000001</c:v>
                </c:pt>
              </c:numCache>
            </c:numRef>
          </c:val>
          <c:smooth val="0"/>
        </c:ser>
        <c:ser>
          <c:idx val="3"/>
          <c:order val="5"/>
          <c:tx>
            <c:strRef>
              <c:f>'Cancer - 31 Day'!$A$109</c:f>
              <c:strCache>
                <c:ptCount val="1"/>
                <c:pt idx="0">
                  <c:v>Extended New Median</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Day'!$B$109:$AW$109</c:f>
              <c:numCache>
                <c:formatCode>General</c:formatCode>
                <c:ptCount val="48"/>
                <c:pt idx="12" formatCode="0.0%">
                  <c:v>0.94950000000000001</c:v>
                </c:pt>
                <c:pt idx="13" formatCode="0.0%">
                  <c:v>0.94950000000000001</c:v>
                </c:pt>
                <c:pt idx="14" formatCode="0.0%">
                  <c:v>0.94950000000000001</c:v>
                </c:pt>
                <c:pt idx="15" formatCode="0.0%">
                  <c:v>0.94950000000000001</c:v>
                </c:pt>
                <c:pt idx="16" formatCode="0.0%">
                  <c:v>0.94950000000000001</c:v>
                </c:pt>
                <c:pt idx="17" formatCode="0.0%">
                  <c:v>0.94950000000000001</c:v>
                </c:pt>
                <c:pt idx="18" formatCode="0.0%">
                  <c:v>0.94950000000000001</c:v>
                </c:pt>
                <c:pt idx="19" formatCode="0.0%">
                  <c:v>0.94950000000000001</c:v>
                </c:pt>
                <c:pt idx="20" formatCode="0.0%">
                  <c:v>0.94950000000000001</c:v>
                </c:pt>
                <c:pt idx="21" formatCode="0.0%">
                  <c:v>0.94950000000000001</c:v>
                </c:pt>
                <c:pt idx="22" formatCode="0.0%">
                  <c:v>0.94950000000000001</c:v>
                </c:pt>
                <c:pt idx="23" formatCode="0.0%">
                  <c:v>0.94950000000000001</c:v>
                </c:pt>
                <c:pt idx="24" formatCode="0.0%">
                  <c:v>0.94950000000000001</c:v>
                </c:pt>
                <c:pt idx="25" formatCode="0.0%">
                  <c:v>0.94950000000000001</c:v>
                </c:pt>
                <c:pt idx="26" formatCode="0.0%">
                  <c:v>0.94950000000000001</c:v>
                </c:pt>
                <c:pt idx="27" formatCode="0.0%">
                  <c:v>0.94950000000000001</c:v>
                </c:pt>
                <c:pt idx="28" formatCode="0.0%">
                  <c:v>0.94950000000000001</c:v>
                </c:pt>
                <c:pt idx="29" formatCode="0.0%">
                  <c:v>0.94950000000000001</c:v>
                </c:pt>
                <c:pt idx="30" formatCode="0.0%">
                  <c:v>0.94950000000000001</c:v>
                </c:pt>
                <c:pt idx="31" formatCode="0.0%">
                  <c:v>0.94950000000000001</c:v>
                </c:pt>
                <c:pt idx="32" formatCode="0.0%">
                  <c:v>0.94950000000000001</c:v>
                </c:pt>
                <c:pt idx="33" formatCode="0.0%">
                  <c:v>0.94950000000000001</c:v>
                </c:pt>
                <c:pt idx="34" formatCode="0.0%">
                  <c:v>0.94950000000000001</c:v>
                </c:pt>
                <c:pt idx="35" formatCode="0.0%">
                  <c:v>0.94950000000000001</c:v>
                </c:pt>
                <c:pt idx="36" formatCode="0.0%">
                  <c:v>0.94950000000000001</c:v>
                </c:pt>
                <c:pt idx="37" formatCode="0.0%">
                  <c:v>0.94950000000000001</c:v>
                </c:pt>
                <c:pt idx="38" formatCode="0.0%">
                  <c:v>0.94950000000000001</c:v>
                </c:pt>
                <c:pt idx="39" formatCode="0.0%">
                  <c:v>0.94950000000000001</c:v>
                </c:pt>
                <c:pt idx="40" formatCode="0.0%">
                  <c:v>0.94950000000000001</c:v>
                </c:pt>
                <c:pt idx="41" formatCode="0.0%">
                  <c:v>0.94950000000000001</c:v>
                </c:pt>
                <c:pt idx="42" formatCode="0.0%">
                  <c:v>0.94950000000000001</c:v>
                </c:pt>
                <c:pt idx="43" formatCode="0.0%">
                  <c:v>0.94950000000000001</c:v>
                </c:pt>
                <c:pt idx="44" formatCode="0.0%">
                  <c:v>0.94950000000000001</c:v>
                </c:pt>
                <c:pt idx="45" formatCode="0.0%">
                  <c:v>0.94950000000000001</c:v>
                </c:pt>
                <c:pt idx="46" formatCode="0.0%">
                  <c:v>0.94950000000000001</c:v>
                </c:pt>
                <c:pt idx="47" formatCode="0.0%">
                  <c:v>0.94950000000000001</c:v>
                </c:pt>
              </c:numCache>
            </c:numRef>
          </c:val>
          <c:smooth val="0"/>
        </c:ser>
        <c:dLbls>
          <c:showLegendKey val="0"/>
          <c:showVal val="0"/>
          <c:showCatName val="0"/>
          <c:showSerName val="0"/>
          <c:showPercent val="0"/>
          <c:showBubbleSize val="0"/>
        </c:dLbls>
        <c:marker val="1"/>
        <c:smooth val="0"/>
        <c:axId val="191664128"/>
        <c:axId val="191665664"/>
      </c:lineChart>
      <c:dateAx>
        <c:axId val="19166412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1665664"/>
        <c:crosses val="autoZero"/>
        <c:auto val="1"/>
        <c:lblOffset val="100"/>
        <c:baseTimeUnit val="months"/>
        <c:majorUnit val="1"/>
        <c:majorTimeUnit val="months"/>
      </c:dateAx>
      <c:valAx>
        <c:axId val="191665664"/>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1664128"/>
        <c:crosses val="autoZero"/>
        <c:crossBetween val="between"/>
        <c:majorUnit val="2.0000000000000011E-2"/>
      </c:valAx>
    </c:plotArea>
    <c:legend>
      <c:legendPos val="r"/>
      <c:layout>
        <c:manualLayout>
          <c:xMode val="edge"/>
          <c:yMode val="edge"/>
          <c:x val="2.6875699888018658E-2"/>
          <c:y val="0.89417989417990063"/>
          <c:w val="0.96192609182530753"/>
          <c:h val="9.78835978835961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89966076951852614"/>
          <c:h val="0.7199247987260019"/>
        </c:manualLayout>
      </c:layout>
      <c:lineChart>
        <c:grouping val="standard"/>
        <c:varyColors val="0"/>
        <c:ser>
          <c:idx val="4"/>
          <c:order val="0"/>
          <c:tx>
            <c:v>%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Day'!$B$24:$AW$24</c:f>
              <c:numCache>
                <c:formatCode>0.0%</c:formatCode>
                <c:ptCount val="48"/>
                <c:pt idx="0">
                  <c:v>0.90300000000000002</c:v>
                </c:pt>
                <c:pt idx="1">
                  <c:v>0.82499999999999996</c:v>
                </c:pt>
                <c:pt idx="2">
                  <c:v>0.86199999999999999</c:v>
                </c:pt>
                <c:pt idx="3">
                  <c:v>0.873</c:v>
                </c:pt>
                <c:pt idx="4">
                  <c:v>0.93</c:v>
                </c:pt>
                <c:pt idx="5">
                  <c:v>0.92300000000000004</c:v>
                </c:pt>
                <c:pt idx="6">
                  <c:v>0.93200000000000005</c:v>
                </c:pt>
                <c:pt idx="7">
                  <c:v>0.85499999999999998</c:v>
                </c:pt>
                <c:pt idx="8">
                  <c:v>0.80800000000000005</c:v>
                </c:pt>
                <c:pt idx="9">
                  <c:v>0.82399999999999995</c:v>
                </c:pt>
                <c:pt idx="10">
                  <c:v>0.78500000000000003</c:v>
                </c:pt>
                <c:pt idx="11">
                  <c:v>0.75800000000000001</c:v>
                </c:pt>
                <c:pt idx="12">
                  <c:v>0.75</c:v>
                </c:pt>
                <c:pt idx="13">
                  <c:v>0.69799999999999995</c:v>
                </c:pt>
                <c:pt idx="14">
                  <c:v>0.78700000000000003</c:v>
                </c:pt>
                <c:pt idx="15">
                  <c:v>0.75</c:v>
                </c:pt>
                <c:pt idx="16">
                  <c:v>0.63600000000000001</c:v>
                </c:pt>
                <c:pt idx="17">
                  <c:v>0.63600000000000001</c:v>
                </c:pt>
                <c:pt idx="18" formatCode="#,##0.0%;&quot;n/a&quot;">
                  <c:v>0.71199999999999997</c:v>
                </c:pt>
                <c:pt idx="19" formatCode="#,##0.0%;&quot;n/a&quot;">
                  <c:v>0.6</c:v>
                </c:pt>
                <c:pt idx="20">
                  <c:v>0.77800000000000002</c:v>
                </c:pt>
                <c:pt idx="21">
                  <c:v>0.64</c:v>
                </c:pt>
                <c:pt idx="22">
                  <c:v>0.69699999999999995</c:v>
                </c:pt>
                <c:pt idx="23" formatCode="#,##0.0%;&quot;n/a&quot;">
                  <c:v>0.85699999999999998</c:v>
                </c:pt>
                <c:pt idx="24">
                  <c:v>0.83</c:v>
                </c:pt>
                <c:pt idx="25">
                  <c:v>0.70699999999999996</c:v>
                </c:pt>
                <c:pt idx="26">
                  <c:v>0.84199999999999997</c:v>
                </c:pt>
                <c:pt idx="27">
                  <c:v>0.71899999999999997</c:v>
                </c:pt>
                <c:pt idx="28">
                  <c:v>0.622</c:v>
                </c:pt>
                <c:pt idx="29">
                  <c:v>0.81100000000000005</c:v>
                </c:pt>
                <c:pt idx="30">
                  <c:v>0.80900000000000005</c:v>
                </c:pt>
                <c:pt idx="31">
                  <c:v>0.73399999999999999</c:v>
                </c:pt>
                <c:pt idx="32">
                  <c:v>0.67700000000000005</c:v>
                </c:pt>
              </c:numCache>
            </c:numRef>
          </c:val>
          <c:smooth val="0"/>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2"/>
          <c:tx>
            <c:strRef>
              <c:f>'Cancer - 31 Day'!$A$114</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Day'!$B$114:$G$114</c:f>
              <c:numCache>
                <c:formatCode>0.0%</c:formatCode>
                <c:ptCount val="6"/>
                <c:pt idx="0">
                  <c:v>0.88800000000000001</c:v>
                </c:pt>
                <c:pt idx="1">
                  <c:v>0.88800000000000001</c:v>
                </c:pt>
                <c:pt idx="2">
                  <c:v>0.88800000000000001</c:v>
                </c:pt>
                <c:pt idx="3">
                  <c:v>0.88800000000000001</c:v>
                </c:pt>
                <c:pt idx="4">
                  <c:v>0.88800000000000001</c:v>
                </c:pt>
                <c:pt idx="5">
                  <c:v>0.88800000000000001</c:v>
                </c:pt>
              </c:numCache>
            </c:numRef>
          </c:val>
          <c:smooth val="0"/>
        </c:ser>
        <c:ser>
          <c:idx val="1"/>
          <c:order val="3"/>
          <c:tx>
            <c:strRef>
              <c:f>'Cancer - 31 Day'!$A$115</c:f>
              <c:strCache>
                <c:ptCount val="1"/>
                <c:pt idx="0">
                  <c:v>Extended Baseline Median</c:v>
                </c:pt>
              </c:strCache>
            </c:strRef>
          </c:tx>
          <c:spPr>
            <a:ln w="25400">
              <a:solidFill>
                <a:prstClr val="black"/>
              </a:solidFill>
              <a:prstDash val="dash"/>
            </a:ln>
          </c:spPr>
          <c:marker>
            <c:symbol val="none"/>
          </c:marker>
          <c:dPt>
            <c:idx val="9"/>
            <c:bubble3D val="0"/>
            <c:spPr>
              <a:ln w="25400">
                <a:solidFill>
                  <a:schemeClr val="tx1"/>
                </a:solid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Day'!$B$115:$AW$115</c:f>
              <c:numCache>
                <c:formatCode>General</c:formatCode>
                <c:ptCount val="48"/>
                <c:pt idx="5" formatCode="0.0%">
                  <c:v>0.88800000000000001</c:v>
                </c:pt>
                <c:pt idx="6" formatCode="0.0%">
                  <c:v>0.88800000000000001</c:v>
                </c:pt>
              </c:numCache>
            </c:numRef>
          </c:val>
          <c:smooth val="0"/>
        </c:ser>
        <c:ser>
          <c:idx val="2"/>
          <c:order val="4"/>
          <c:tx>
            <c:strRef>
              <c:f>'Cancer - 31 Day'!$A$116</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Day'!$B$116:$N$116</c:f>
              <c:numCache>
                <c:formatCode>General</c:formatCode>
                <c:ptCount val="13"/>
                <c:pt idx="7" formatCode="0.0%">
                  <c:v>0.79649999999999999</c:v>
                </c:pt>
                <c:pt idx="8" formatCode="0.0%">
                  <c:v>0.79649999999999999</c:v>
                </c:pt>
                <c:pt idx="9" formatCode="0.0%">
                  <c:v>0.79649999999999999</c:v>
                </c:pt>
                <c:pt idx="10" formatCode="0.0%">
                  <c:v>0.79649999999999999</c:v>
                </c:pt>
                <c:pt idx="11" formatCode="0.0%">
                  <c:v>0.79649999999999999</c:v>
                </c:pt>
                <c:pt idx="12" formatCode="0.0%">
                  <c:v>0.79649999999999999</c:v>
                </c:pt>
              </c:numCache>
            </c:numRef>
          </c:val>
          <c:smooth val="0"/>
        </c:ser>
        <c:ser>
          <c:idx val="6"/>
          <c:order val="5"/>
          <c:tx>
            <c:strRef>
              <c:f>'Cancer - 31 Day'!$A$117</c:f>
              <c:strCache>
                <c:ptCount val="1"/>
                <c:pt idx="0">
                  <c:v>New Median 2</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Day'!$B$117:$AW$117</c:f>
              <c:numCache>
                <c:formatCode>General</c:formatCode>
                <c:ptCount val="48"/>
                <c:pt idx="13" formatCode="0.0%">
                  <c:v>0.70499999999999996</c:v>
                </c:pt>
                <c:pt idx="14" formatCode="0.0%">
                  <c:v>0.70499999999999996</c:v>
                </c:pt>
                <c:pt idx="15" formatCode="0.0%">
                  <c:v>0.70499999999999996</c:v>
                </c:pt>
                <c:pt idx="16" formatCode="0.0%">
                  <c:v>0.70499999999999996</c:v>
                </c:pt>
                <c:pt idx="17" formatCode="0.0%">
                  <c:v>0.70499999999999996</c:v>
                </c:pt>
                <c:pt idx="18" formatCode="0.0%">
                  <c:v>0.70499999999999996</c:v>
                </c:pt>
              </c:numCache>
            </c:numRef>
          </c:val>
          <c:smooth val="0"/>
        </c:ser>
        <c:ser>
          <c:idx val="7"/>
          <c:order val="6"/>
          <c:tx>
            <c:strRef>
              <c:f>'Cancer - 31 Day'!$A$118</c:f>
              <c:strCache>
                <c:ptCount val="1"/>
                <c:pt idx="0">
                  <c:v>Extended New Median 2</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- 31 Day'!$B$118:$AW$118</c:f>
              <c:numCache>
                <c:formatCode>General</c:formatCode>
                <c:ptCount val="48"/>
                <c:pt idx="18" formatCode="0.0%">
                  <c:v>0.70499999999999996</c:v>
                </c:pt>
                <c:pt idx="19" formatCode="0.0%">
                  <c:v>0.70499999999999996</c:v>
                </c:pt>
                <c:pt idx="20" formatCode="0.0%">
                  <c:v>0.70499999999999996</c:v>
                </c:pt>
                <c:pt idx="21" formatCode="0.0%">
                  <c:v>0.70499999999999996</c:v>
                </c:pt>
                <c:pt idx="22" formatCode="0.0%">
                  <c:v>0.70499999999999996</c:v>
                </c:pt>
                <c:pt idx="23" formatCode="0.0%">
                  <c:v>0.70499999999999996</c:v>
                </c:pt>
                <c:pt idx="24" formatCode="0.0%">
                  <c:v>0.70499999999999996</c:v>
                </c:pt>
                <c:pt idx="25" formatCode="0.0%">
                  <c:v>0.70499999999999996</c:v>
                </c:pt>
                <c:pt idx="26" formatCode="0.0%">
                  <c:v>0.70499999999999996</c:v>
                </c:pt>
                <c:pt idx="27" formatCode="0.0%">
                  <c:v>0.70499999999999996</c:v>
                </c:pt>
                <c:pt idx="28" formatCode="0.0%">
                  <c:v>0.70499999999999996</c:v>
                </c:pt>
                <c:pt idx="29" formatCode="0.0%">
                  <c:v>0.70499999999999996</c:v>
                </c:pt>
                <c:pt idx="30" formatCode="0.0%">
                  <c:v>0.70499999999999996</c:v>
                </c:pt>
                <c:pt idx="31" formatCode="0.0%">
                  <c:v>0.70499999999999996</c:v>
                </c:pt>
                <c:pt idx="32" formatCode="0.0%">
                  <c:v>0.70499999999999996</c:v>
                </c:pt>
                <c:pt idx="33" formatCode="0.0%">
                  <c:v>0.70499999999999996</c:v>
                </c:pt>
                <c:pt idx="34" formatCode="0.0%">
                  <c:v>0.70499999999999996</c:v>
                </c:pt>
                <c:pt idx="35" formatCode="0.0%">
                  <c:v>0.70499999999999996</c:v>
                </c:pt>
                <c:pt idx="36" formatCode="0.0%">
                  <c:v>0.70499999999999996</c:v>
                </c:pt>
                <c:pt idx="37" formatCode="0.0%">
                  <c:v>0.70499999999999996</c:v>
                </c:pt>
                <c:pt idx="38" formatCode="0.0%">
                  <c:v>0.70499999999999996</c:v>
                </c:pt>
                <c:pt idx="39" formatCode="0.0%">
                  <c:v>0.70499999999999996</c:v>
                </c:pt>
                <c:pt idx="40" formatCode="0.0%">
                  <c:v>0.70499999999999996</c:v>
                </c:pt>
                <c:pt idx="41" formatCode="0.0%">
                  <c:v>0.70499999999999996</c:v>
                </c:pt>
                <c:pt idx="42" formatCode="0.0%">
                  <c:v>0.70499999999999996</c:v>
                </c:pt>
                <c:pt idx="43" formatCode="0.0%">
                  <c:v>0.70499999999999996</c:v>
                </c:pt>
                <c:pt idx="44" formatCode="0.0%">
                  <c:v>0.70499999999999996</c:v>
                </c:pt>
                <c:pt idx="45" formatCode="0.0%">
                  <c:v>0.70499999999999996</c:v>
                </c:pt>
                <c:pt idx="46" formatCode="0.0%">
                  <c:v>0.70499999999999996</c:v>
                </c:pt>
                <c:pt idx="47" formatCode="0.0%">
                  <c:v>0.70499999999999996</c:v>
                </c:pt>
              </c:numCache>
            </c:numRef>
          </c:val>
          <c:smooth val="0"/>
        </c:ser>
        <c:dLbls>
          <c:showLegendKey val="0"/>
          <c:showVal val="0"/>
          <c:showCatName val="0"/>
          <c:showSerName val="0"/>
          <c:showPercent val="0"/>
          <c:showBubbleSize val="0"/>
        </c:dLbls>
        <c:marker val="1"/>
        <c:smooth val="0"/>
        <c:axId val="188976512"/>
        <c:axId val="188986496"/>
      </c:lineChart>
      <c:dateAx>
        <c:axId val="1889765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8986496"/>
        <c:crosses val="autoZero"/>
        <c:auto val="1"/>
        <c:lblOffset val="100"/>
        <c:baseTimeUnit val="months"/>
        <c:majorUnit val="1"/>
        <c:majorTimeUnit val="months"/>
      </c:dateAx>
      <c:valAx>
        <c:axId val="188986496"/>
        <c:scaling>
          <c:orientation val="minMax"/>
          <c:max val="1"/>
          <c:min val="0.5"/>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8976512"/>
        <c:crosses val="autoZero"/>
        <c:crossBetween val="between"/>
      </c:valAx>
    </c:plotArea>
    <c:legend>
      <c:legendPos val="r"/>
      <c:layout>
        <c:manualLayout>
          <c:xMode val="edge"/>
          <c:yMode val="edge"/>
          <c:x val="2.6875699888018658E-2"/>
          <c:y val="0.89682666666666666"/>
          <c:w val="0.96126145833333365"/>
          <c:h val="0.10317333333333339"/>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3307527777778225"/>
        </c:manualLayout>
      </c:layout>
      <c:barChart>
        <c:barDir val="col"/>
        <c:grouping val="clustered"/>
        <c:varyColors val="0"/>
        <c:ser>
          <c:idx val="0"/>
          <c:order val="0"/>
          <c:tx>
            <c:strRef>
              <c:f>'Cancer - 31 Day'!$C$123</c:f>
              <c:strCache>
                <c:ptCount val="1"/>
                <c:pt idx="0">
                  <c:v>No. of eligible referrals who started treatment within 31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Day'!$C$124:$C$136</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dLbls>
          <c:showLegendKey val="0"/>
          <c:showVal val="0"/>
          <c:showCatName val="0"/>
          <c:showSerName val="0"/>
          <c:showPercent val="0"/>
          <c:showBubbleSize val="0"/>
        </c:dLbls>
        <c:gapWidth val="57"/>
        <c:axId val="196161536"/>
        <c:axId val="196163456"/>
      </c:barChart>
      <c:lineChart>
        <c:grouping val="standard"/>
        <c:varyColors val="0"/>
        <c:ser>
          <c:idx val="2"/>
          <c:order val="1"/>
          <c:tx>
            <c:strRef>
              <c:f>'Cancer - 31 Day'!$F$123</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Day'!$F$124:$F$136</c:f>
              <c:numCache>
                <c:formatCode>0.0%</c:formatCode>
                <c:ptCount val="13"/>
                <c:pt idx="0">
                  <c:v>0.20994171340591664</c:v>
                </c:pt>
                <c:pt idx="1">
                  <c:v>0.37171450566369735</c:v>
                </c:pt>
                <c:pt idx="2">
                  <c:v>0.50764324205432754</c:v>
                </c:pt>
                <c:pt idx="3">
                  <c:v>0.61871769493016604</c:v>
                </c:pt>
                <c:pt idx="4">
                  <c:v>0.7135158913449906</c:v>
                </c:pt>
                <c:pt idx="5">
                  <c:v>0.78972836247663036</c:v>
                </c:pt>
                <c:pt idx="6">
                  <c:v>0.85153414714615638</c:v>
                </c:pt>
                <c:pt idx="7">
                  <c:v>0.90729132299571102</c:v>
                </c:pt>
                <c:pt idx="8">
                  <c:v>0.95117123061695819</c:v>
                </c:pt>
                <c:pt idx="9">
                  <c:v>0.96931705707687243</c:v>
                </c:pt>
                <c:pt idx="10">
                  <c:v>0.9851534147146157</c:v>
                </c:pt>
                <c:pt idx="11">
                  <c:v>0.99604091059056421</c:v>
                </c:pt>
                <c:pt idx="12">
                  <c:v>1</c:v>
                </c:pt>
              </c:numCache>
            </c:numRef>
          </c:val>
          <c:smooth val="0"/>
        </c:ser>
        <c:dLbls>
          <c:showLegendKey val="0"/>
          <c:showVal val="0"/>
          <c:showCatName val="0"/>
          <c:showSerName val="0"/>
          <c:showPercent val="0"/>
          <c:showBubbleSize val="0"/>
        </c:dLbls>
        <c:marker val="1"/>
        <c:smooth val="0"/>
        <c:axId val="196164992"/>
        <c:axId val="196166784"/>
      </c:lineChart>
      <c:catAx>
        <c:axId val="19616153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96163456"/>
        <c:crosses val="autoZero"/>
        <c:auto val="1"/>
        <c:lblAlgn val="ctr"/>
        <c:lblOffset val="100"/>
        <c:noMultiLvlLbl val="0"/>
      </c:catAx>
      <c:valAx>
        <c:axId val="196163456"/>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96161536"/>
        <c:crosses val="autoZero"/>
        <c:crossBetween val="between"/>
      </c:valAx>
      <c:catAx>
        <c:axId val="196164992"/>
        <c:scaling>
          <c:orientation val="minMax"/>
        </c:scaling>
        <c:delete val="1"/>
        <c:axPos val="b"/>
        <c:majorTickMark val="out"/>
        <c:minorTickMark val="none"/>
        <c:tickLblPos val="none"/>
        <c:crossAx val="196166784"/>
        <c:crosses val="autoZero"/>
        <c:auto val="1"/>
        <c:lblAlgn val="ctr"/>
        <c:lblOffset val="100"/>
        <c:noMultiLvlLbl val="0"/>
      </c:catAx>
      <c:valAx>
        <c:axId val="196166784"/>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96164992"/>
        <c:crosses val="max"/>
        <c:crossBetween val="between"/>
      </c:valAx>
    </c:plotArea>
    <c:legend>
      <c:legendPos val="b"/>
      <c:layout>
        <c:manualLayout>
          <c:xMode val="edge"/>
          <c:yMode val="edge"/>
          <c:x val="0.18997754629629754"/>
          <c:y val="0.93973527777777865"/>
          <c:w val="0.62004479166666671"/>
          <c:h val="4.968138888888889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953E-2"/>
          <c:y val="3.6923888888888888E-2"/>
          <c:w val="0.8644659722222221"/>
          <c:h val="0.75697055555556014"/>
        </c:manualLayout>
      </c:layout>
      <c:barChart>
        <c:barDir val="col"/>
        <c:grouping val="clustered"/>
        <c:varyColors val="0"/>
        <c:ser>
          <c:idx val="0"/>
          <c:order val="0"/>
          <c:tx>
            <c:strRef>
              <c:f>'Cancer - 31 Day'!$B$140</c:f>
              <c:strCache>
                <c:ptCount val="1"/>
                <c:pt idx="0">
                  <c:v>No. of eligible referrals who did not start treatment within 31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- 31 Day'!$A$141:$A$153</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Day'!$B$141:$B$153</c:f>
              <c:numCache>
                <c:formatCode>#,##0</c:formatCode>
                <c:ptCount val="13"/>
                <c:pt idx="0">
                  <c:v>404</c:v>
                </c:pt>
                <c:pt idx="1">
                  <c:v>44</c:v>
                </c:pt>
                <c:pt idx="2">
                  <c:v>23</c:v>
                </c:pt>
                <c:pt idx="3">
                  <c:v>15</c:v>
                </c:pt>
                <c:pt idx="4">
                  <c:v>10</c:v>
                </c:pt>
                <c:pt idx="5">
                  <c:v>7</c:v>
                </c:pt>
                <c:pt idx="6">
                  <c:v>5</c:v>
                </c:pt>
                <c:pt idx="7">
                  <c:v>3</c:v>
                </c:pt>
                <c:pt idx="8">
                  <c:v>2</c:v>
                </c:pt>
                <c:pt idx="9">
                  <c:v>2</c:v>
                </c:pt>
                <c:pt idx="10">
                  <c:v>1</c:v>
                </c:pt>
                <c:pt idx="11">
                  <c:v>0</c:v>
                </c:pt>
                <c:pt idx="12">
                  <c:v>0</c:v>
                </c:pt>
              </c:numCache>
            </c:numRef>
          </c:val>
        </c:ser>
        <c:dLbls>
          <c:showLegendKey val="0"/>
          <c:showVal val="0"/>
          <c:showCatName val="0"/>
          <c:showSerName val="0"/>
          <c:showPercent val="0"/>
          <c:showBubbleSize val="0"/>
        </c:dLbls>
        <c:gapWidth val="57"/>
        <c:axId val="196194688"/>
        <c:axId val="196196608"/>
      </c:barChart>
      <c:lineChart>
        <c:grouping val="standard"/>
        <c:varyColors val="0"/>
        <c:ser>
          <c:idx val="2"/>
          <c:order val="1"/>
          <c:tx>
            <c:strRef>
              <c:f>'Cancer - 31 Day'!$D$140</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Day'!$A$141:$A$153</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Day'!$D$141:$D$153</c:f>
              <c:numCache>
                <c:formatCode>0.0%</c:formatCode>
                <c:ptCount val="13"/>
                <c:pt idx="0">
                  <c:v>0.78294573643410847</c:v>
                </c:pt>
                <c:pt idx="1">
                  <c:v>0.86821705426356588</c:v>
                </c:pt>
                <c:pt idx="2">
                  <c:v>0.91279069767441856</c:v>
                </c:pt>
                <c:pt idx="3">
                  <c:v>0.94186046511627908</c:v>
                </c:pt>
                <c:pt idx="4">
                  <c:v>0.96124031007751942</c:v>
                </c:pt>
                <c:pt idx="5">
                  <c:v>0.97480620155038766</c:v>
                </c:pt>
                <c:pt idx="6">
                  <c:v>0.98449612403100784</c:v>
                </c:pt>
                <c:pt idx="7">
                  <c:v>0.99031007751937994</c:v>
                </c:pt>
                <c:pt idx="8">
                  <c:v>0.99418604651162801</c:v>
                </c:pt>
                <c:pt idx="9">
                  <c:v>0.99806201550387608</c:v>
                </c:pt>
                <c:pt idx="10">
                  <c:v>1</c:v>
                </c:pt>
                <c:pt idx="11">
                  <c:v>1</c:v>
                </c:pt>
                <c:pt idx="12">
                  <c:v>1</c:v>
                </c:pt>
              </c:numCache>
            </c:numRef>
          </c:val>
          <c:smooth val="0"/>
        </c:ser>
        <c:dLbls>
          <c:showLegendKey val="0"/>
          <c:showVal val="0"/>
          <c:showCatName val="0"/>
          <c:showSerName val="0"/>
          <c:showPercent val="0"/>
          <c:showBubbleSize val="0"/>
        </c:dLbls>
        <c:marker val="1"/>
        <c:smooth val="0"/>
        <c:axId val="196198400"/>
        <c:axId val="196199936"/>
      </c:lineChart>
      <c:catAx>
        <c:axId val="196194688"/>
        <c:scaling>
          <c:orientation val="minMax"/>
        </c:scaling>
        <c:delete val="0"/>
        <c:axPos val="b"/>
        <c:numFmt formatCode="General" sourceLinked="1"/>
        <c:majorTickMark val="out"/>
        <c:minorTickMark val="none"/>
        <c:tickLblPos val="nextTo"/>
        <c:crossAx val="196196608"/>
        <c:crosses val="autoZero"/>
        <c:auto val="1"/>
        <c:lblAlgn val="ctr"/>
        <c:lblOffset val="100"/>
        <c:noMultiLvlLbl val="0"/>
      </c:catAx>
      <c:valAx>
        <c:axId val="196196608"/>
        <c:scaling>
          <c:orientation val="minMax"/>
        </c:scaling>
        <c:delete val="0"/>
        <c:axPos val="l"/>
        <c:majorGridlines/>
        <c:numFmt formatCode="#,##0" sourceLinked="0"/>
        <c:majorTickMark val="out"/>
        <c:minorTickMark val="none"/>
        <c:tickLblPos val="nextTo"/>
        <c:crossAx val="196194688"/>
        <c:crosses val="autoZero"/>
        <c:crossBetween val="between"/>
      </c:valAx>
      <c:catAx>
        <c:axId val="196198400"/>
        <c:scaling>
          <c:orientation val="minMax"/>
        </c:scaling>
        <c:delete val="1"/>
        <c:axPos val="b"/>
        <c:majorTickMark val="out"/>
        <c:minorTickMark val="none"/>
        <c:tickLblPos val="none"/>
        <c:crossAx val="196199936"/>
        <c:crosses val="autoZero"/>
        <c:auto val="1"/>
        <c:lblAlgn val="ctr"/>
        <c:lblOffset val="100"/>
        <c:noMultiLvlLbl val="0"/>
      </c:catAx>
      <c:valAx>
        <c:axId val="196199936"/>
        <c:scaling>
          <c:orientation val="minMax"/>
          <c:max val="1"/>
        </c:scaling>
        <c:delete val="0"/>
        <c:axPos val="r"/>
        <c:numFmt formatCode="0%" sourceLinked="0"/>
        <c:majorTickMark val="out"/>
        <c:minorTickMark val="none"/>
        <c:tickLblPos val="nextTo"/>
        <c:crossAx val="196198400"/>
        <c:crosses val="max"/>
        <c:crossBetween val="between"/>
      </c:valAx>
    </c:plotArea>
    <c:legend>
      <c:legendPos val="b"/>
      <c:layout>
        <c:manualLayout>
          <c:xMode val="edge"/>
          <c:yMode val="edge"/>
          <c:x val="0.21626990740740937"/>
          <c:y val="0.93818249999999959"/>
          <c:w val="0.54502435558000661"/>
          <c:h val="4.573043493716863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513E-2"/>
          <c:y val="3.8805555555555642E-2"/>
          <c:w val="0.93472754629629662"/>
          <c:h val="0.76790055555556014"/>
        </c:manualLayout>
      </c:layout>
      <c:barChart>
        <c:barDir val="col"/>
        <c:grouping val="stacked"/>
        <c:varyColors val="0"/>
        <c:ser>
          <c:idx val="0"/>
          <c:order val="0"/>
          <c:tx>
            <c:strRef>
              <c:f>'Cancer - 31 Day'!$C$123</c:f>
              <c:strCache>
                <c:ptCount val="1"/>
                <c:pt idx="0">
                  <c:v>No. of eligible referrals who started treatment within 31 days</c:v>
                </c:pt>
              </c:strCache>
            </c:strRef>
          </c:tx>
          <c:invertIfNegative val="0"/>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Day'!$C$124:$C$136</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ser>
          <c:idx val="1"/>
          <c:order val="1"/>
          <c:tx>
            <c:strRef>
              <c:f>'Cancer - 31 Day'!$D$123</c:f>
              <c:strCache>
                <c:ptCount val="1"/>
                <c:pt idx="0">
                  <c:v>No. of eligible referrals who did not start treatment within 31 days</c:v>
                </c:pt>
              </c:strCache>
            </c:strRef>
          </c:tx>
          <c:spPr>
            <a:solidFill>
              <a:srgbClr val="FF0000"/>
            </a:solidFill>
          </c:spPr>
          <c:invertIfNegative val="0"/>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Day'!$D$124:$D$136</c:f>
              <c:numCache>
                <c:formatCode>#,##0</c:formatCode>
                <c:ptCount val="13"/>
                <c:pt idx="0">
                  <c:v>5</c:v>
                </c:pt>
                <c:pt idx="1">
                  <c:v>404</c:v>
                </c:pt>
                <c:pt idx="2">
                  <c:v>0</c:v>
                </c:pt>
                <c:pt idx="3">
                  <c:v>2</c:v>
                </c:pt>
                <c:pt idx="4">
                  <c:v>44</c:v>
                </c:pt>
                <c:pt idx="5">
                  <c:v>10</c:v>
                </c:pt>
                <c:pt idx="6">
                  <c:v>7</c:v>
                </c:pt>
                <c:pt idx="7">
                  <c:v>0</c:v>
                </c:pt>
                <c:pt idx="8">
                  <c:v>1</c:v>
                </c:pt>
                <c:pt idx="9">
                  <c:v>23</c:v>
                </c:pt>
                <c:pt idx="10">
                  <c:v>15</c:v>
                </c:pt>
                <c:pt idx="11">
                  <c:v>2</c:v>
                </c:pt>
                <c:pt idx="12">
                  <c:v>3</c:v>
                </c:pt>
              </c:numCache>
            </c:numRef>
          </c:val>
        </c:ser>
        <c:dLbls>
          <c:showLegendKey val="0"/>
          <c:showVal val="0"/>
          <c:showCatName val="0"/>
          <c:showSerName val="0"/>
          <c:showPercent val="0"/>
          <c:showBubbleSize val="0"/>
        </c:dLbls>
        <c:gapWidth val="150"/>
        <c:overlap val="100"/>
        <c:axId val="196291584"/>
        <c:axId val="196301568"/>
      </c:barChart>
      <c:catAx>
        <c:axId val="196291584"/>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96301568"/>
        <c:crosses val="autoZero"/>
        <c:auto val="1"/>
        <c:lblAlgn val="ctr"/>
        <c:lblOffset val="100"/>
        <c:noMultiLvlLbl val="0"/>
      </c:catAx>
      <c:valAx>
        <c:axId val="196301568"/>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96291584"/>
        <c:crosses val="autoZero"/>
        <c:crossBetween val="between"/>
      </c:valAx>
    </c:plotArea>
    <c:legend>
      <c:legendPos val="b"/>
      <c:layout>
        <c:manualLayout>
          <c:xMode val="edge"/>
          <c:yMode val="edge"/>
          <c:x val="9.5526273148148266E-2"/>
          <c:y val="0.93704472222222224"/>
          <c:w val="0.80894733796296259"/>
          <c:h val="5.237194444444449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6904761904761965"/>
        </c:manualLayout>
      </c:layout>
      <c:lineChart>
        <c:grouping val="standard"/>
        <c:varyColors val="0"/>
        <c:ser>
          <c:idx val="4"/>
          <c:order val="0"/>
          <c:tx>
            <c:v>NHS Lothian 2015/16</c:v>
          </c:tx>
          <c:spPr>
            <a:ln w="25400" cap="rnd">
              <a:solidFill>
                <a:srgbClr val="0070C0"/>
              </a:solidFill>
              <a:prstDash val="sysDot"/>
              <a:round/>
              <a:headEnd type="none"/>
            </a:ln>
            <a:effectLst/>
          </c:spPr>
          <c:marker>
            <c:symbol val="circle"/>
            <c:size val="4"/>
            <c:spPr>
              <a:solidFill>
                <a:srgbClr val="0070C0"/>
              </a:solidFill>
              <a:ln w="6350">
                <a:solidFill>
                  <a:schemeClr val="accent1">
                    <a:shade val="76000"/>
                    <a:shade val="95000"/>
                    <a:satMod val="105000"/>
                  </a:schemeClr>
                </a:solidFill>
              </a:ln>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WT'!$B$25:$M$25</c:f>
              <c:numCache>
                <c:formatCode>0.0%</c:formatCode>
                <c:ptCount val="12"/>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numCache>
            </c:numRef>
          </c:val>
          <c:smooth val="0"/>
        </c:ser>
        <c:ser>
          <c:idx val="0"/>
          <c:order val="1"/>
          <c:tx>
            <c:v>NHS Lothian 2016/17</c:v>
          </c:tx>
          <c:spPr>
            <a:ln w="25400">
              <a:solidFill>
                <a:srgbClr val="0070C0"/>
              </a:solidFill>
              <a:prstDash val="sysDash"/>
            </a:ln>
          </c:spPr>
          <c:marker>
            <c:symbol val="circle"/>
            <c:size val="4"/>
            <c:spPr>
              <a:solidFill>
                <a:srgbClr val="0070C0"/>
              </a:solidFill>
              <a:ln w="12700"/>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WT'!$N$25:$Y$25</c:f>
              <c:numCache>
                <c:formatCode>0.0%</c:formatCode>
                <c:ptCount val="12"/>
                <c:pt idx="0">
                  <c:v>0.9341058215831356</c:v>
                </c:pt>
                <c:pt idx="1">
                  <c:v>0.93313856427378961</c:v>
                </c:pt>
                <c:pt idx="2">
                  <c:v>0.95496629213483142</c:v>
                </c:pt>
                <c:pt idx="3">
                  <c:v>0.97109172365008256</c:v>
                </c:pt>
                <c:pt idx="4">
                  <c:v>0.94399999999999995</c:v>
                </c:pt>
                <c:pt idx="5">
                  <c:v>0.93200000000000005</c:v>
                </c:pt>
                <c:pt idx="6">
                  <c:v>0.93102696099816773</c:v>
                </c:pt>
                <c:pt idx="7">
                  <c:v>0.94499999999999995</c:v>
                </c:pt>
                <c:pt idx="8">
                  <c:v>0.92400000000000004</c:v>
                </c:pt>
                <c:pt idx="9">
                  <c:v>0.92800000000000005</c:v>
                </c:pt>
                <c:pt idx="10">
                  <c:v>0.93200000000000005</c:v>
                </c:pt>
                <c:pt idx="11">
                  <c:v>0.95699999999999996</c:v>
                </c:pt>
              </c:numCache>
            </c:numRef>
          </c:val>
          <c:smooth val="0"/>
        </c:ser>
        <c:ser>
          <c:idx val="1"/>
          <c:order val="2"/>
          <c:tx>
            <c:v>NHS Lothian 2017/18</c:v>
          </c:tx>
          <c:spPr>
            <a:ln w="25400">
              <a:solidFill>
                <a:srgbClr val="0070C0"/>
              </a:solidFill>
            </a:ln>
          </c:spPr>
          <c:marker>
            <c:symbol val="circle"/>
            <c:size val="4"/>
            <c:spPr>
              <a:solidFill>
                <a:srgbClr val="0070C0"/>
              </a:solidFill>
              <a:ln w="25400">
                <a:solidFill>
                  <a:srgbClr val="0070C0"/>
                </a:solidFill>
              </a:ln>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WT'!$Z$25:$AK$25</c:f>
              <c:numCache>
                <c:formatCode>0.0%</c:formatCode>
                <c:ptCount val="12"/>
                <c:pt idx="0">
                  <c:v>0.95199999999999996</c:v>
                </c:pt>
                <c:pt idx="1">
                  <c:v>0.95099999999999996</c:v>
                </c:pt>
                <c:pt idx="2">
                  <c:v>0.95699999999999996</c:v>
                </c:pt>
                <c:pt idx="3">
                  <c:v>0.96</c:v>
                </c:pt>
                <c:pt idx="4">
                  <c:v>0.95099999999999996</c:v>
                </c:pt>
                <c:pt idx="5">
                  <c:v>0.94299999999999995</c:v>
                </c:pt>
                <c:pt idx="6">
                  <c:v>0.93799999999999994</c:v>
                </c:pt>
                <c:pt idx="7">
                  <c:v>0.89300000000000002</c:v>
                </c:pt>
                <c:pt idx="8">
                  <c:v>0.75900000000000001</c:v>
                </c:pt>
              </c:numCache>
            </c:numRef>
          </c:val>
          <c:smooth val="0"/>
        </c:ser>
        <c:ser>
          <c:idx val="5"/>
          <c:order val="3"/>
          <c:tx>
            <c:strRef>
              <c:f>'A&amp;E WT'!$A$28</c:f>
              <c:strCache>
                <c:ptCount val="1"/>
                <c:pt idx="0">
                  <c:v>Target (min)</c:v>
                </c:pt>
              </c:strCache>
            </c:strRef>
          </c:tx>
          <c:spPr>
            <a:ln w="25400">
              <a:solidFill>
                <a:srgbClr val="FF0000"/>
              </a:solidFill>
              <a:prstDash val="dash"/>
            </a:ln>
          </c:spPr>
          <c:marker>
            <c:symbol val="none"/>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WT'!$B$28:$M$28</c:f>
              <c:numCache>
                <c:formatCode>0.0%</c:formatCode>
                <c:ptCount val="12"/>
                <c:pt idx="0">
                  <c:v>0.98</c:v>
                </c:pt>
                <c:pt idx="1">
                  <c:v>0.98</c:v>
                </c:pt>
                <c:pt idx="2">
                  <c:v>0.98</c:v>
                </c:pt>
                <c:pt idx="3">
                  <c:v>0.98</c:v>
                </c:pt>
                <c:pt idx="4">
                  <c:v>0.98</c:v>
                </c:pt>
                <c:pt idx="5">
                  <c:v>0.98</c:v>
                </c:pt>
                <c:pt idx="6">
                  <c:v>0.98</c:v>
                </c:pt>
                <c:pt idx="7">
                  <c:v>0.98</c:v>
                </c:pt>
                <c:pt idx="8">
                  <c:v>0.98</c:v>
                </c:pt>
                <c:pt idx="9">
                  <c:v>0.98</c:v>
                </c:pt>
                <c:pt idx="10">
                  <c:v>0.98</c:v>
                </c:pt>
                <c:pt idx="11">
                  <c:v>0.98</c:v>
                </c:pt>
              </c:numCache>
            </c:numRef>
          </c:val>
          <c:smooth val="0"/>
        </c:ser>
        <c:ser>
          <c:idx val="6"/>
          <c:order val="4"/>
          <c:tx>
            <c:strRef>
              <c:f>'A&amp;E WT'!$A$29</c:f>
              <c:strCache>
                <c:ptCount val="1"/>
                <c:pt idx="0">
                  <c:v>Interim Target (min)</c:v>
                </c:pt>
              </c:strCache>
            </c:strRef>
          </c:tx>
          <c:spPr>
            <a:ln w="25400">
              <a:solidFill>
                <a:srgbClr val="CC79A7"/>
              </a:solidFill>
              <a:prstDash val="dash"/>
            </a:ln>
          </c:spPr>
          <c:marker>
            <c:symbol val="none"/>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WT'!$B$29:$M$29</c:f>
              <c:numCache>
                <c:formatCode>0.0%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ser>
        <c:dLbls>
          <c:showLegendKey val="0"/>
          <c:showVal val="0"/>
          <c:showCatName val="0"/>
          <c:showSerName val="0"/>
          <c:showPercent val="0"/>
          <c:showBubbleSize val="0"/>
        </c:dLbls>
        <c:marker val="1"/>
        <c:smooth val="0"/>
        <c:axId val="185950976"/>
        <c:axId val="185952512"/>
      </c:lineChart>
      <c:catAx>
        <c:axId val="18595097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5952512"/>
        <c:crosses val="autoZero"/>
        <c:auto val="1"/>
        <c:lblAlgn val="ctr"/>
        <c:lblOffset val="100"/>
        <c:noMultiLvlLbl val="0"/>
      </c:catAx>
      <c:valAx>
        <c:axId val="185952512"/>
        <c:scaling>
          <c:orientation val="minMax"/>
          <c:max val="1"/>
          <c:min val="0.70000000000000029"/>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950976"/>
        <c:crosses val="autoZero"/>
        <c:crossBetween val="between"/>
        <c:majorUnit val="2.0000000000000011E-2"/>
      </c:valAx>
    </c:plotArea>
    <c:legend>
      <c:legendPos val="r"/>
      <c:layout>
        <c:manualLayout>
          <c:xMode val="edge"/>
          <c:yMode val="edge"/>
          <c:x val="1.4700406038988721E-2"/>
          <c:y val="0.87565555555556085"/>
          <c:w val="0.96574432870370375"/>
          <c:h val="0.12434444444444449"/>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90383437971480018"/>
          <c:h val="0.71906375324368965"/>
        </c:manualLayout>
      </c:layout>
      <c:lineChart>
        <c:grouping val="standard"/>
        <c:varyColors val="0"/>
        <c:ser>
          <c:idx val="4"/>
          <c:order val="0"/>
          <c:tx>
            <c:v>%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bubble3D val="0"/>
          </c:dPt>
          <c:dPt>
            <c:idx val="15"/>
            <c:marker>
              <c:spPr>
                <a:solidFill>
                  <a:srgbClr val="0070C0"/>
                </a:solidFill>
                <a:ln w="25400">
                  <a:solidFill>
                    <a:srgbClr val="0070C0"/>
                  </a:solidFill>
                </a:ln>
              </c:spPr>
            </c:marker>
            <c:bubble3D val="0"/>
          </c:dPt>
          <c:dPt>
            <c:idx val="16"/>
            <c:marker>
              <c:spPr>
                <a:solidFill>
                  <a:srgbClr val="0070C0"/>
                </a:solidFill>
                <a:ln w="25400">
                  <a:solidFill>
                    <a:srgbClr val="0070C0"/>
                  </a:solidFill>
                </a:ln>
              </c:spPr>
            </c:marker>
            <c:bubble3D val="0"/>
            <c:spPr>
              <a:ln w="25400" cap="rnd">
                <a:solidFill>
                  <a:srgbClr val="00B050"/>
                </a:solidFill>
                <a:round/>
                <a:headEnd type="none"/>
              </a:ln>
              <a:effectLst/>
            </c:spPr>
          </c:dPt>
          <c:dPt>
            <c:idx val="17"/>
            <c:marker>
              <c:spPr>
                <a:solidFill>
                  <a:srgbClr val="0070C0"/>
                </a:solidFill>
                <a:ln w="25400">
                  <a:solidFill>
                    <a:srgbClr val="0070C0"/>
                  </a:solidFill>
                </a:ln>
              </c:spPr>
            </c:marker>
            <c:bubble3D val="0"/>
            <c:spPr>
              <a:ln w="25400" cap="rnd">
                <a:solidFill>
                  <a:srgbClr val="00B050"/>
                </a:solidFill>
                <a:round/>
                <a:headEnd type="none"/>
              </a:ln>
              <a:effectLst/>
            </c:spPr>
          </c:dPt>
          <c:dPt>
            <c:idx val="18"/>
            <c:marker>
              <c:spPr>
                <a:solidFill>
                  <a:srgbClr val="0070C0"/>
                </a:solidFill>
                <a:ln w="25400">
                  <a:solidFill>
                    <a:srgbClr val="0070C0"/>
                  </a:solidFill>
                </a:ln>
              </c:spPr>
            </c:marker>
            <c:bubble3D val="0"/>
            <c:spPr>
              <a:ln w="25400" cap="rnd">
                <a:solidFill>
                  <a:srgbClr val="00B050"/>
                </a:solidFill>
                <a:round/>
                <a:headEnd type="none"/>
              </a:ln>
              <a:effectLst/>
            </c:spPr>
          </c:dPt>
          <c:dPt>
            <c:idx val="19"/>
            <c:marker>
              <c:spPr>
                <a:solidFill>
                  <a:srgbClr val="0070C0"/>
                </a:solidFill>
                <a:ln w="25400">
                  <a:solidFill>
                    <a:srgbClr val="0070C0"/>
                  </a:solidFill>
                </a:ln>
              </c:spPr>
            </c:marker>
            <c:bubble3D val="0"/>
            <c:spPr>
              <a:ln w="25400" cap="rnd">
                <a:solidFill>
                  <a:srgbClr val="00B050"/>
                </a:solidFill>
                <a:round/>
                <a:headEnd type="none"/>
              </a:ln>
              <a:effectLst/>
            </c:spPr>
          </c:dPt>
          <c:dPt>
            <c:idx val="20"/>
            <c:marker>
              <c:spPr>
                <a:solidFill>
                  <a:srgbClr val="0070C0"/>
                </a:solidFill>
                <a:ln w="25400">
                  <a:solidFill>
                    <a:srgbClr val="0070C0"/>
                  </a:solidFill>
                </a:ln>
              </c:spPr>
            </c:marker>
            <c:bubble3D val="0"/>
            <c:spPr>
              <a:ln w="25400" cap="rnd">
                <a:solidFill>
                  <a:srgbClr val="00B050"/>
                </a:solidFill>
                <a:round/>
                <a:headEnd type="none"/>
              </a:ln>
              <a:effectLst/>
            </c:spPr>
          </c:dPt>
          <c:dPt>
            <c:idx val="21"/>
            <c:marker>
              <c:spPr>
                <a:solidFill>
                  <a:srgbClr val="0070C0"/>
                </a:solidFill>
                <a:ln w="25400">
                  <a:solidFill>
                    <a:srgbClr val="0070C0"/>
                  </a:solidFill>
                </a:ln>
              </c:spPr>
            </c:marker>
            <c:bubble3D val="0"/>
            <c:spPr>
              <a:ln w="25400" cap="rnd">
                <a:solidFill>
                  <a:srgbClr val="00B050"/>
                </a:solidFill>
                <a:round/>
                <a:headEnd type="none"/>
              </a:ln>
              <a:effectLst/>
            </c:spPr>
          </c:dPt>
          <c:dPt>
            <c:idx val="22"/>
            <c:marker>
              <c:spPr>
                <a:solidFill>
                  <a:srgbClr val="0070C0"/>
                </a:solidFill>
                <a:ln w="25400">
                  <a:solidFill>
                    <a:srgbClr val="0070C0"/>
                  </a:solidFill>
                </a:ln>
              </c:spPr>
            </c:marker>
            <c:bubble3D val="0"/>
            <c:spPr>
              <a:ln w="25400" cap="rnd">
                <a:solidFill>
                  <a:srgbClr val="00B050"/>
                </a:solidFill>
                <a:round/>
                <a:headEnd type="none"/>
              </a:ln>
              <a:effectLst/>
            </c:spPr>
          </c:dPt>
          <c:dPt>
            <c:idx val="23"/>
            <c:marker>
              <c:spPr>
                <a:solidFill>
                  <a:srgbClr val="0070C0"/>
                </a:solidFill>
                <a:ln w="25400">
                  <a:solidFill>
                    <a:srgbClr val="0070C0"/>
                  </a:solidFill>
                </a:ln>
              </c:spPr>
            </c:marker>
            <c:bubble3D val="0"/>
          </c:dPt>
          <c:dPt>
            <c:idx val="24"/>
            <c:marker>
              <c:spPr>
                <a:solidFill>
                  <a:srgbClr val="0070C0"/>
                </a:solidFill>
                <a:ln w="25400">
                  <a:solidFill>
                    <a:srgbClr val="0070C0"/>
                  </a:solidFill>
                </a:ln>
              </c:spPr>
            </c:marker>
            <c:bubble3D val="0"/>
          </c:dPt>
          <c:dPt>
            <c:idx val="25"/>
            <c:marker>
              <c:spPr>
                <a:solidFill>
                  <a:srgbClr val="0070C0"/>
                </a:solidFill>
                <a:ln w="25400">
                  <a:solidFill>
                    <a:srgbClr val="0070C0"/>
                  </a:solidFill>
                </a:ln>
              </c:spPr>
            </c:marker>
            <c:bubble3D val="0"/>
          </c:dPt>
          <c:dPt>
            <c:idx val="26"/>
            <c:bubble3D val="0"/>
          </c:dPt>
          <c:dPt>
            <c:idx val="27"/>
            <c:bubble3D val="0"/>
          </c:dPt>
          <c:dPt>
            <c:idx val="28"/>
            <c:bubble3D val="0"/>
          </c:dPt>
          <c:dPt>
            <c:idx val="29"/>
            <c:bubble3D val="0"/>
          </c:dPt>
          <c:dPt>
            <c:idx val="30"/>
            <c:bubble3D val="0"/>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Day'!$B$14:$AW$14</c:f>
              <c:numCache>
                <c:formatCode>0.0%</c:formatCode>
                <c:ptCount val="48"/>
                <c:pt idx="0">
                  <c:v>0.96199999999999997</c:v>
                </c:pt>
                <c:pt idx="1">
                  <c:v>0.93100000000000005</c:v>
                </c:pt>
                <c:pt idx="2">
                  <c:v>0.92500000000000004</c:v>
                </c:pt>
                <c:pt idx="3">
                  <c:v>0.96199999999999997</c:v>
                </c:pt>
                <c:pt idx="4">
                  <c:v>0.93600000000000005</c:v>
                </c:pt>
                <c:pt idx="5">
                  <c:v>0.92300000000000004</c:v>
                </c:pt>
                <c:pt idx="6">
                  <c:v>0.94899999999999995</c:v>
                </c:pt>
                <c:pt idx="7">
                  <c:v>0.93899999999999995</c:v>
                </c:pt>
                <c:pt idx="8">
                  <c:v>0.90800000000000003</c:v>
                </c:pt>
                <c:pt idx="9">
                  <c:v>0.94299999999999995</c:v>
                </c:pt>
                <c:pt idx="10">
                  <c:v>0.89400000000000002</c:v>
                </c:pt>
                <c:pt idx="11">
                  <c:v>0.92600000000000005</c:v>
                </c:pt>
                <c:pt idx="12">
                  <c:v>0.89800000000000002</c:v>
                </c:pt>
                <c:pt idx="13">
                  <c:v>0.91600000000000004</c:v>
                </c:pt>
                <c:pt idx="14">
                  <c:v>0.97799999999999998</c:v>
                </c:pt>
                <c:pt idx="15">
                  <c:v>0.91800000000000004</c:v>
                </c:pt>
                <c:pt idx="16">
                  <c:v>0.877</c:v>
                </c:pt>
                <c:pt idx="17" formatCode="#,##0.0%;&quot;n/a&quot;">
                  <c:v>0.84899999999999998</c:v>
                </c:pt>
                <c:pt idx="18" formatCode="#,##0.0%;&quot;n/a&quot;">
                  <c:v>0.81499999999999995</c:v>
                </c:pt>
                <c:pt idx="19" formatCode="#,##0.0%;&quot;n/a&quot;">
                  <c:v>0.85299999999999998</c:v>
                </c:pt>
                <c:pt idx="20">
                  <c:v>0.84199999999999997</c:v>
                </c:pt>
                <c:pt idx="21">
                  <c:v>0.85899999999999999</c:v>
                </c:pt>
                <c:pt idx="22">
                  <c:v>0.91200000000000003</c:v>
                </c:pt>
                <c:pt idx="23" formatCode="#,##0.0%;&quot;n/a&quot;">
                  <c:v>0.93799999999999994</c:v>
                </c:pt>
                <c:pt idx="24">
                  <c:v>0.85</c:v>
                </c:pt>
                <c:pt idx="25">
                  <c:v>0.91</c:v>
                </c:pt>
                <c:pt idx="26">
                  <c:v>0.875</c:v>
                </c:pt>
                <c:pt idx="27">
                  <c:v>0.89</c:v>
                </c:pt>
                <c:pt idx="28">
                  <c:v>0.85299999999999998</c:v>
                </c:pt>
                <c:pt idx="29">
                  <c:v>0.89500000000000002</c:v>
                </c:pt>
                <c:pt idx="30">
                  <c:v>0.88500000000000001</c:v>
                </c:pt>
                <c:pt idx="31">
                  <c:v>0.91300000000000003</c:v>
                </c:pt>
                <c:pt idx="32">
                  <c:v>0.88500000000000001</c:v>
                </c:pt>
              </c:numCache>
            </c:numRef>
          </c:val>
          <c:smooth val="0"/>
        </c:ser>
        <c:ser>
          <c:idx val="0"/>
          <c:order val="1"/>
          <c:tx>
            <c:strRef>
              <c:f>'Cancer - 62 Day'!$A$109</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Day'!$B$109:$G$109</c:f>
              <c:numCache>
                <c:formatCode>0.0%</c:formatCode>
                <c:ptCount val="6"/>
                <c:pt idx="0">
                  <c:v>0.9335</c:v>
                </c:pt>
                <c:pt idx="1">
                  <c:v>0.9335</c:v>
                </c:pt>
                <c:pt idx="2">
                  <c:v>0.9335</c:v>
                </c:pt>
                <c:pt idx="3">
                  <c:v>0.9335</c:v>
                </c:pt>
                <c:pt idx="4">
                  <c:v>0.9335</c:v>
                </c:pt>
                <c:pt idx="5">
                  <c:v>0.9335</c:v>
                </c:pt>
              </c:numCache>
            </c:numRef>
          </c:val>
          <c:smooth val="0"/>
        </c:ser>
        <c:ser>
          <c:idx val="1"/>
          <c:order val="2"/>
          <c:tx>
            <c:strRef>
              <c:f>'Cancer - 62 Day'!$A$110</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Day'!$B$110:$AW$110</c:f>
              <c:numCache>
                <c:formatCode>0.0%</c:formatCode>
                <c:ptCount val="48"/>
                <c:pt idx="5">
                  <c:v>0.9335</c:v>
                </c:pt>
                <c:pt idx="6">
                  <c:v>0.9335</c:v>
                </c:pt>
                <c:pt idx="7">
                  <c:v>0.9335</c:v>
                </c:pt>
                <c:pt idx="8">
                  <c:v>0.9335</c:v>
                </c:pt>
                <c:pt idx="9">
                  <c:v>0.9335</c:v>
                </c:pt>
                <c:pt idx="10">
                  <c:v>0.9335</c:v>
                </c:pt>
                <c:pt idx="11">
                  <c:v>0.9335</c:v>
                </c:pt>
                <c:pt idx="12">
                  <c:v>0.9335</c:v>
                </c:pt>
                <c:pt idx="13">
                  <c:v>0.9335</c:v>
                </c:pt>
                <c:pt idx="14">
                  <c:v>0.9335</c:v>
                </c:pt>
                <c:pt idx="15">
                  <c:v>0.9335</c:v>
                </c:pt>
                <c:pt idx="16">
                  <c:v>0.9335</c:v>
                </c:pt>
                <c:pt idx="17">
                  <c:v>0.9335</c:v>
                </c:pt>
                <c:pt idx="18">
                  <c:v>0.9335</c:v>
                </c:pt>
                <c:pt idx="19">
                  <c:v>0.9335</c:v>
                </c:pt>
                <c:pt idx="20">
                  <c:v>0.9335</c:v>
                </c:pt>
                <c:pt idx="21">
                  <c:v>0.9335</c:v>
                </c:pt>
                <c:pt idx="22">
                  <c:v>0.9335</c:v>
                </c:pt>
                <c:pt idx="23">
                  <c:v>0.9335</c:v>
                </c:pt>
              </c:numCache>
            </c:numRef>
          </c:val>
          <c:smooth val="0"/>
        </c:ser>
        <c:ser>
          <c:idx val="2"/>
          <c:order val="3"/>
          <c:tx>
            <c:strRef>
              <c:f>'Cancer - 62 Day'!$A$111</c:f>
              <c:strCache>
                <c:ptCount val="1"/>
                <c:pt idx="0">
                  <c:v>New Median</c:v>
                </c:pt>
              </c:strCache>
            </c:strRef>
          </c:tx>
          <c:spPr>
            <a:ln w="25400">
              <a:solidFill>
                <a:srgbClr val="E69F00"/>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Day'!$B$111:$AE$111</c:f>
              <c:numCache>
                <c:formatCode>0.0%</c:formatCode>
                <c:ptCount val="30"/>
                <c:pt idx="24">
                  <c:v>0.88250000000000006</c:v>
                </c:pt>
                <c:pt idx="25">
                  <c:v>0.88250000000000006</c:v>
                </c:pt>
                <c:pt idx="26">
                  <c:v>0.88250000000000006</c:v>
                </c:pt>
                <c:pt idx="27">
                  <c:v>0.88250000000000006</c:v>
                </c:pt>
                <c:pt idx="28">
                  <c:v>0.88250000000000006</c:v>
                </c:pt>
                <c:pt idx="29">
                  <c:v>0.88250000000000006</c:v>
                </c:pt>
              </c:numCache>
            </c:numRef>
          </c:val>
          <c:smooth val="0"/>
        </c:ser>
        <c:ser>
          <c:idx val="3"/>
          <c:order val="4"/>
          <c:tx>
            <c:strRef>
              <c:f>'Cancer - 62 Day'!$A$112</c:f>
              <c:strCache>
                <c:ptCount val="1"/>
                <c:pt idx="0">
                  <c:v>Extended New Median</c:v>
                </c:pt>
              </c:strCache>
            </c:strRef>
          </c:tx>
          <c:spPr>
            <a:ln w="25400">
              <a:solidFill>
                <a:srgbClr val="E69F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Day'!$B$112:$AW$112</c:f>
              <c:numCache>
                <c:formatCode>0.0%</c:formatCode>
                <c:ptCount val="48"/>
                <c:pt idx="29">
                  <c:v>0.88250000000000006</c:v>
                </c:pt>
                <c:pt idx="30">
                  <c:v>0.88250000000000006</c:v>
                </c:pt>
                <c:pt idx="31">
                  <c:v>0.88250000000000006</c:v>
                </c:pt>
                <c:pt idx="32">
                  <c:v>0.88250000000000006</c:v>
                </c:pt>
                <c:pt idx="33">
                  <c:v>0.88250000000000006</c:v>
                </c:pt>
                <c:pt idx="34">
                  <c:v>0.88250000000000006</c:v>
                </c:pt>
                <c:pt idx="35">
                  <c:v>0.88250000000000006</c:v>
                </c:pt>
                <c:pt idx="36">
                  <c:v>0.88250000000000006</c:v>
                </c:pt>
                <c:pt idx="37">
                  <c:v>0.88250000000000006</c:v>
                </c:pt>
                <c:pt idx="38">
                  <c:v>0.88250000000000006</c:v>
                </c:pt>
                <c:pt idx="39">
                  <c:v>0.88250000000000006</c:v>
                </c:pt>
                <c:pt idx="40">
                  <c:v>0.88250000000000006</c:v>
                </c:pt>
                <c:pt idx="41">
                  <c:v>0.88250000000000006</c:v>
                </c:pt>
                <c:pt idx="42">
                  <c:v>0.88250000000000006</c:v>
                </c:pt>
                <c:pt idx="43">
                  <c:v>0.88250000000000006</c:v>
                </c:pt>
                <c:pt idx="44">
                  <c:v>0.88250000000000006</c:v>
                </c:pt>
                <c:pt idx="45">
                  <c:v>0.88250000000000006</c:v>
                </c:pt>
                <c:pt idx="46">
                  <c:v>0.88250000000000006</c:v>
                </c:pt>
                <c:pt idx="47">
                  <c:v>0.88250000000000006</c:v>
                </c:pt>
              </c:numCache>
            </c:numRef>
          </c:val>
          <c:smooth val="0"/>
        </c:ser>
        <c:ser>
          <c:idx val="5"/>
          <c:order val="5"/>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90951808"/>
        <c:axId val="190953344"/>
      </c:lineChart>
      <c:dateAx>
        <c:axId val="1909518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0953344"/>
        <c:crosses val="autoZero"/>
        <c:auto val="1"/>
        <c:lblOffset val="100"/>
        <c:baseTimeUnit val="months"/>
        <c:majorUnit val="1"/>
        <c:majorTimeUnit val="months"/>
      </c:dateAx>
      <c:valAx>
        <c:axId val="190953344"/>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0951808"/>
        <c:crosses val="autoZero"/>
        <c:crossBetween val="between"/>
        <c:majorUnit val="2.0000000000000011E-2"/>
      </c:valAx>
    </c:plotArea>
    <c:legend>
      <c:legendPos val="r"/>
      <c:layout>
        <c:manualLayout>
          <c:xMode val="edge"/>
          <c:yMode val="edge"/>
          <c:x val="5.5741360089186179E-3"/>
          <c:y val="0.89417989417989419"/>
          <c:w val="0.98589477318679641"/>
          <c:h val="0.10582010582010581"/>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90383437971480018"/>
          <c:h val="0.71906375324368965"/>
        </c:manualLayout>
      </c:layout>
      <c:lineChart>
        <c:grouping val="standard"/>
        <c:varyColors val="0"/>
        <c:ser>
          <c:idx val="4"/>
          <c:order val="0"/>
          <c:tx>
            <c:v>% eligible referrals who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bubble3D val="0"/>
          </c:dPt>
          <c:dPt>
            <c:idx val="15"/>
            <c:marker>
              <c:spPr>
                <a:solidFill>
                  <a:srgbClr val="0070C0"/>
                </a:solidFill>
                <a:ln w="25400">
                  <a:solidFill>
                    <a:srgbClr val="0070C0"/>
                  </a:solidFill>
                </a:ln>
              </c:spPr>
            </c:marker>
            <c:bubble3D val="0"/>
          </c:dPt>
          <c:dPt>
            <c:idx val="16"/>
            <c:marker>
              <c:spPr>
                <a:solidFill>
                  <a:srgbClr val="0070C0"/>
                </a:solidFill>
                <a:ln w="25400">
                  <a:solidFill>
                    <a:srgbClr val="0070C0"/>
                  </a:solidFill>
                </a:ln>
              </c:spPr>
            </c:marker>
            <c:bubble3D val="0"/>
            <c:spPr>
              <a:ln w="25400" cap="rnd">
                <a:solidFill>
                  <a:srgbClr val="00B050"/>
                </a:solidFill>
                <a:round/>
                <a:headEnd type="none"/>
              </a:ln>
              <a:effectLst/>
            </c:spPr>
          </c:dPt>
          <c:dPt>
            <c:idx val="17"/>
            <c:marker>
              <c:spPr>
                <a:solidFill>
                  <a:srgbClr val="0070C0"/>
                </a:solidFill>
                <a:ln w="25400">
                  <a:solidFill>
                    <a:srgbClr val="0070C0"/>
                  </a:solidFill>
                </a:ln>
              </c:spPr>
            </c:marker>
            <c:bubble3D val="0"/>
            <c:spPr>
              <a:ln w="25400" cap="rnd">
                <a:solidFill>
                  <a:srgbClr val="00B050"/>
                </a:solidFill>
                <a:round/>
                <a:headEnd type="none"/>
              </a:ln>
              <a:effectLst/>
            </c:spPr>
          </c:dPt>
          <c:dPt>
            <c:idx val="18"/>
            <c:marker>
              <c:spPr>
                <a:solidFill>
                  <a:srgbClr val="0070C0"/>
                </a:solidFill>
                <a:ln w="25400">
                  <a:solidFill>
                    <a:srgbClr val="0070C0"/>
                  </a:solidFill>
                </a:ln>
              </c:spPr>
            </c:marker>
            <c:bubble3D val="0"/>
            <c:spPr>
              <a:ln w="25400" cap="rnd">
                <a:solidFill>
                  <a:srgbClr val="00B050"/>
                </a:solidFill>
                <a:round/>
                <a:headEnd type="none"/>
              </a:ln>
              <a:effectLst/>
            </c:spPr>
          </c:dPt>
          <c:dPt>
            <c:idx val="19"/>
            <c:marker>
              <c:spPr>
                <a:solidFill>
                  <a:srgbClr val="0070C0"/>
                </a:solidFill>
                <a:ln w="25400">
                  <a:solidFill>
                    <a:srgbClr val="0070C0"/>
                  </a:solidFill>
                </a:ln>
              </c:spPr>
            </c:marker>
            <c:bubble3D val="0"/>
            <c:spPr>
              <a:ln w="25400" cap="rnd">
                <a:solidFill>
                  <a:srgbClr val="00B050"/>
                </a:solidFill>
                <a:round/>
                <a:headEnd type="none"/>
              </a:ln>
              <a:effectLst/>
            </c:spPr>
          </c:dPt>
          <c:dPt>
            <c:idx val="20"/>
            <c:marker>
              <c:spPr>
                <a:solidFill>
                  <a:srgbClr val="0070C0"/>
                </a:solidFill>
                <a:ln w="25400">
                  <a:solidFill>
                    <a:srgbClr val="0070C0"/>
                  </a:solidFill>
                </a:ln>
              </c:spPr>
            </c:marker>
            <c:bubble3D val="0"/>
            <c:spPr>
              <a:ln w="25400" cap="rnd">
                <a:solidFill>
                  <a:srgbClr val="00B050"/>
                </a:solidFill>
                <a:round/>
                <a:headEnd type="none"/>
              </a:ln>
              <a:effectLst/>
            </c:spPr>
          </c:dPt>
          <c:dPt>
            <c:idx val="21"/>
            <c:marker>
              <c:spPr>
                <a:solidFill>
                  <a:srgbClr val="0070C0"/>
                </a:solidFill>
                <a:ln w="25400">
                  <a:solidFill>
                    <a:srgbClr val="0070C0"/>
                  </a:solidFill>
                </a:ln>
              </c:spPr>
            </c:marker>
            <c:bubble3D val="0"/>
            <c:spPr>
              <a:ln w="25400" cap="rnd">
                <a:solidFill>
                  <a:srgbClr val="00B050"/>
                </a:solidFill>
                <a:round/>
                <a:headEnd type="none"/>
              </a:ln>
              <a:effectLst/>
            </c:spPr>
          </c:dPt>
          <c:dPt>
            <c:idx val="22"/>
            <c:marker>
              <c:spPr>
                <a:solidFill>
                  <a:srgbClr val="0070C0"/>
                </a:solidFill>
                <a:ln w="25400">
                  <a:solidFill>
                    <a:srgbClr val="0070C0"/>
                  </a:solidFill>
                </a:ln>
              </c:spPr>
            </c:marker>
            <c:bubble3D val="0"/>
            <c:spPr>
              <a:ln w="25400" cap="rnd">
                <a:solidFill>
                  <a:srgbClr val="00B050"/>
                </a:solidFill>
                <a:round/>
                <a:headEnd type="none"/>
              </a:ln>
              <a:effectLst/>
            </c:spPr>
          </c:dPt>
          <c:dPt>
            <c:idx val="23"/>
            <c:marker>
              <c:spPr>
                <a:solidFill>
                  <a:srgbClr val="0070C0"/>
                </a:solidFill>
                <a:ln w="25400">
                  <a:solidFill>
                    <a:srgbClr val="0070C0"/>
                  </a:solidFill>
                </a:ln>
              </c:spPr>
            </c:marker>
            <c:bubble3D val="0"/>
          </c:dPt>
          <c:dPt>
            <c:idx val="24"/>
            <c:marker>
              <c:spPr>
                <a:solidFill>
                  <a:srgbClr val="0070C0"/>
                </a:solidFill>
                <a:ln w="25400">
                  <a:solidFill>
                    <a:srgbClr val="0070C0"/>
                  </a:solidFill>
                </a:ln>
              </c:spPr>
            </c:marker>
            <c:bubble3D val="0"/>
          </c:dPt>
          <c:dPt>
            <c:idx val="25"/>
            <c:marker>
              <c:spPr>
                <a:solidFill>
                  <a:srgbClr val="0070C0"/>
                </a:solidFill>
                <a:ln w="25400">
                  <a:solidFill>
                    <a:srgbClr val="0070C0"/>
                  </a:solidFill>
                </a:ln>
              </c:spPr>
            </c:marker>
            <c:bubble3D val="0"/>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Day'!$B$27:$AW$27</c:f>
              <c:numCache>
                <c:formatCode>0.0%</c:formatCode>
                <c:ptCount val="48"/>
                <c:pt idx="0">
                  <c:v>0.85699999999999998</c:v>
                </c:pt>
                <c:pt idx="1">
                  <c:v>0.79300000000000004</c:v>
                </c:pt>
                <c:pt idx="2">
                  <c:v>0.92</c:v>
                </c:pt>
                <c:pt idx="3">
                  <c:v>0.73699999999999999</c:v>
                </c:pt>
                <c:pt idx="4">
                  <c:v>0.85199999999999998</c:v>
                </c:pt>
                <c:pt idx="5">
                  <c:v>0.8</c:v>
                </c:pt>
                <c:pt idx="6">
                  <c:v>0.88600000000000001</c:v>
                </c:pt>
                <c:pt idx="7">
                  <c:v>0.82399999999999995</c:v>
                </c:pt>
                <c:pt idx="8">
                  <c:v>0.78300000000000003</c:v>
                </c:pt>
                <c:pt idx="9">
                  <c:v>0.89500000000000002</c:v>
                </c:pt>
                <c:pt idx="10">
                  <c:v>0.77800000000000002</c:v>
                </c:pt>
                <c:pt idx="11">
                  <c:v>0.78800000000000003</c:v>
                </c:pt>
                <c:pt idx="12">
                  <c:v>0.78900000000000003</c:v>
                </c:pt>
                <c:pt idx="13">
                  <c:v>0.75900000000000001</c:v>
                </c:pt>
                <c:pt idx="14">
                  <c:v>0.96199999999999997</c:v>
                </c:pt>
                <c:pt idx="15">
                  <c:v>0.79200000000000004</c:v>
                </c:pt>
                <c:pt idx="16">
                  <c:v>0.64</c:v>
                </c:pt>
                <c:pt idx="17" formatCode="#,##0.0%;&quot;n/a&quot;">
                  <c:v>0.59299999999999997</c:v>
                </c:pt>
                <c:pt idx="18" formatCode="#,##0.0%;&quot;n/a&quot;">
                  <c:v>0.59</c:v>
                </c:pt>
                <c:pt idx="19" formatCode="#,##0.0%;&quot;n/a&quot;">
                  <c:v>0.56699999999999995</c:v>
                </c:pt>
                <c:pt idx="20">
                  <c:v>0.66700000000000004</c:v>
                </c:pt>
                <c:pt idx="21">
                  <c:v>0.69599999999999995</c:v>
                </c:pt>
                <c:pt idx="22">
                  <c:v>0.63200000000000001</c:v>
                </c:pt>
                <c:pt idx="23" formatCode="#,##0.0%;&quot;n/a&quot;">
                  <c:v>0.83799999999999997</c:v>
                </c:pt>
                <c:pt idx="24">
                  <c:v>0.64</c:v>
                </c:pt>
                <c:pt idx="25">
                  <c:v>0.71799999999999997</c:v>
                </c:pt>
                <c:pt idx="26">
                  <c:v>0.66700000000000004</c:v>
                </c:pt>
                <c:pt idx="27">
                  <c:v>0.77800000000000002</c:v>
                </c:pt>
                <c:pt idx="28">
                  <c:v>0.58099999999999996</c:v>
                </c:pt>
                <c:pt idx="29">
                  <c:v>0.82799999999999996</c:v>
                </c:pt>
                <c:pt idx="30">
                  <c:v>0.61299999999999999</c:v>
                </c:pt>
                <c:pt idx="31">
                  <c:v>0.78300000000000003</c:v>
                </c:pt>
                <c:pt idx="32">
                  <c:v>0.71899999999999997</c:v>
                </c:pt>
              </c:numCache>
            </c:numRef>
          </c:val>
          <c:smooth val="0"/>
        </c:ser>
        <c:ser>
          <c:idx val="0"/>
          <c:order val="1"/>
          <c:tx>
            <c:strRef>
              <c:f>'Cancer - 62 Day'!$A$117</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Day'!$B$117:$G$117</c:f>
              <c:numCache>
                <c:formatCode>0.0%</c:formatCode>
                <c:ptCount val="6"/>
                <c:pt idx="0">
                  <c:v>0.82600000000000007</c:v>
                </c:pt>
                <c:pt idx="1">
                  <c:v>0.82600000000000007</c:v>
                </c:pt>
                <c:pt idx="2">
                  <c:v>0.82600000000000007</c:v>
                </c:pt>
                <c:pt idx="3">
                  <c:v>0.82600000000000007</c:v>
                </c:pt>
                <c:pt idx="4">
                  <c:v>0.82600000000000007</c:v>
                </c:pt>
                <c:pt idx="5">
                  <c:v>0.82600000000000007</c:v>
                </c:pt>
              </c:numCache>
            </c:numRef>
          </c:val>
          <c:smooth val="0"/>
        </c:ser>
        <c:ser>
          <c:idx val="1"/>
          <c:order val="2"/>
          <c:tx>
            <c:strRef>
              <c:f>'Cancer - 62 Day'!$A$118</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Day'!$B$118:$AW$118</c:f>
              <c:numCache>
                <c:formatCode>0.0%</c:formatCode>
                <c:ptCount val="48"/>
                <c:pt idx="5">
                  <c:v>0.82600000000000007</c:v>
                </c:pt>
                <c:pt idx="6">
                  <c:v>0.82600000000000007</c:v>
                </c:pt>
                <c:pt idx="7">
                  <c:v>0.82600000000000007</c:v>
                </c:pt>
                <c:pt idx="8">
                  <c:v>0.82600000000000007</c:v>
                </c:pt>
                <c:pt idx="9">
                  <c:v>0.82600000000000007</c:v>
                </c:pt>
                <c:pt idx="10">
                  <c:v>0.82600000000000007</c:v>
                </c:pt>
                <c:pt idx="11">
                  <c:v>0.82600000000000007</c:v>
                </c:pt>
                <c:pt idx="12">
                  <c:v>0.82600000000000007</c:v>
                </c:pt>
                <c:pt idx="13">
                  <c:v>0.82600000000000007</c:v>
                </c:pt>
                <c:pt idx="14">
                  <c:v>0.82600000000000007</c:v>
                </c:pt>
                <c:pt idx="15">
                  <c:v>0.82600000000000007</c:v>
                </c:pt>
                <c:pt idx="16">
                  <c:v>0.82600000000000007</c:v>
                </c:pt>
                <c:pt idx="17">
                  <c:v>0.82600000000000007</c:v>
                </c:pt>
                <c:pt idx="18">
                  <c:v>0.82600000000000007</c:v>
                </c:pt>
                <c:pt idx="19">
                  <c:v>0.82600000000000007</c:v>
                </c:pt>
                <c:pt idx="20">
                  <c:v>0.82600000000000007</c:v>
                </c:pt>
                <c:pt idx="21">
                  <c:v>0.82600000000000007</c:v>
                </c:pt>
                <c:pt idx="22">
                  <c:v>0.82600000000000007</c:v>
                </c:pt>
                <c:pt idx="23">
                  <c:v>0.82600000000000007</c:v>
                </c:pt>
                <c:pt idx="24">
                  <c:v>0.82600000000000007</c:v>
                </c:pt>
                <c:pt idx="25">
                  <c:v>0.82600000000000007</c:v>
                </c:pt>
                <c:pt idx="26">
                  <c:v>0.82600000000000007</c:v>
                </c:pt>
                <c:pt idx="27">
                  <c:v>0.82600000000000007</c:v>
                </c:pt>
                <c:pt idx="28">
                  <c:v>0.82600000000000007</c:v>
                </c:pt>
                <c:pt idx="29">
                  <c:v>0.82600000000000007</c:v>
                </c:pt>
                <c:pt idx="30">
                  <c:v>0.82600000000000007</c:v>
                </c:pt>
                <c:pt idx="31">
                  <c:v>0.82600000000000007</c:v>
                </c:pt>
                <c:pt idx="32">
                  <c:v>0.82600000000000007</c:v>
                </c:pt>
                <c:pt idx="33">
                  <c:v>0.82600000000000007</c:v>
                </c:pt>
                <c:pt idx="34">
                  <c:v>0.82600000000000007</c:v>
                </c:pt>
                <c:pt idx="35">
                  <c:v>0.82600000000000007</c:v>
                </c:pt>
                <c:pt idx="36">
                  <c:v>0.82600000000000007</c:v>
                </c:pt>
                <c:pt idx="37">
                  <c:v>0.82600000000000007</c:v>
                </c:pt>
                <c:pt idx="38">
                  <c:v>0.82600000000000007</c:v>
                </c:pt>
                <c:pt idx="39">
                  <c:v>0.82600000000000007</c:v>
                </c:pt>
                <c:pt idx="40">
                  <c:v>0.82600000000000007</c:v>
                </c:pt>
                <c:pt idx="41">
                  <c:v>0.82600000000000007</c:v>
                </c:pt>
                <c:pt idx="42">
                  <c:v>0.82600000000000007</c:v>
                </c:pt>
                <c:pt idx="43">
                  <c:v>0.82600000000000007</c:v>
                </c:pt>
                <c:pt idx="44">
                  <c:v>0.82600000000000007</c:v>
                </c:pt>
                <c:pt idx="45">
                  <c:v>0.82600000000000007</c:v>
                </c:pt>
                <c:pt idx="46">
                  <c:v>0.82600000000000007</c:v>
                </c:pt>
                <c:pt idx="47">
                  <c:v>0.82600000000000007</c:v>
                </c:pt>
              </c:numCache>
            </c:numRef>
          </c:val>
          <c:smooth val="0"/>
        </c:ser>
        <c:ser>
          <c:idx val="5"/>
          <c:order val="3"/>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96573440"/>
        <c:axId val="196591616"/>
      </c:lineChart>
      <c:dateAx>
        <c:axId val="1965734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6591616"/>
        <c:crosses val="autoZero"/>
        <c:auto val="1"/>
        <c:lblOffset val="100"/>
        <c:baseTimeUnit val="months"/>
        <c:majorUnit val="1"/>
        <c:majorTimeUnit val="months"/>
      </c:dateAx>
      <c:valAx>
        <c:axId val="196591616"/>
        <c:scaling>
          <c:orientation val="minMax"/>
          <c:max val="1"/>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6573440"/>
        <c:crosses val="autoZero"/>
        <c:crossBetween val="between"/>
      </c:valAx>
    </c:plotArea>
    <c:legend>
      <c:legendPos val="r"/>
      <c:layout>
        <c:manualLayout>
          <c:xMode val="edge"/>
          <c:yMode val="edge"/>
          <c:x val="5.5741360089186179E-3"/>
          <c:y val="0.90476190476189999"/>
          <c:w val="0.98885172798216259"/>
          <c:h val="8.730158730158930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5071416666666668"/>
        </c:manualLayout>
      </c:layout>
      <c:barChart>
        <c:barDir val="col"/>
        <c:grouping val="clustered"/>
        <c:varyColors val="0"/>
        <c:ser>
          <c:idx val="0"/>
          <c:order val="0"/>
          <c:tx>
            <c:strRef>
              <c:f>'Cancer - 62 Day'!$C$125</c:f>
              <c:strCache>
                <c:ptCount val="1"/>
                <c:pt idx="0">
                  <c:v>No. of eligible referrals who started treatment within 62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dLbls>
          <c:showLegendKey val="0"/>
          <c:showVal val="0"/>
          <c:showCatName val="0"/>
          <c:showSerName val="0"/>
          <c:showPercent val="0"/>
          <c:showBubbleSize val="0"/>
        </c:dLbls>
        <c:gapWidth val="57"/>
        <c:axId val="190974208"/>
        <c:axId val="190976384"/>
      </c:barChart>
      <c:lineChart>
        <c:grouping val="standard"/>
        <c:varyColors val="0"/>
        <c:ser>
          <c:idx val="2"/>
          <c:order val="1"/>
          <c:tx>
            <c:strRef>
              <c:f>'Cancer - 62 Day'!$F$125</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Day'!$F$126:$F$138</c:f>
              <c:numCache>
                <c:formatCode>0.0%</c:formatCode>
                <c:ptCount val="13"/>
                <c:pt idx="0">
                  <c:v>0.24203821656050956</c:v>
                </c:pt>
                <c:pt idx="1">
                  <c:v>0.41515013648771615</c:v>
                </c:pt>
                <c:pt idx="2">
                  <c:v>0.55937215650591454</c:v>
                </c:pt>
                <c:pt idx="3">
                  <c:v>0.67788898999090086</c:v>
                </c:pt>
                <c:pt idx="4">
                  <c:v>0.77479526842584168</c:v>
                </c:pt>
                <c:pt idx="5">
                  <c:v>0.83666969972702454</c:v>
                </c:pt>
                <c:pt idx="6">
                  <c:v>0.87443130118289347</c:v>
                </c:pt>
                <c:pt idx="7">
                  <c:v>0.9121929026387624</c:v>
                </c:pt>
                <c:pt idx="8">
                  <c:v>0.94222020018198349</c:v>
                </c:pt>
                <c:pt idx="9">
                  <c:v>0.97133757961783429</c:v>
                </c:pt>
                <c:pt idx="10">
                  <c:v>0.98680618744312998</c:v>
                </c:pt>
                <c:pt idx="11">
                  <c:v>0.99363057324840753</c:v>
                </c:pt>
                <c:pt idx="12">
                  <c:v>0.99999999999999989</c:v>
                </c:pt>
              </c:numCache>
            </c:numRef>
          </c:val>
          <c:smooth val="0"/>
        </c:ser>
        <c:dLbls>
          <c:showLegendKey val="0"/>
          <c:showVal val="0"/>
          <c:showCatName val="0"/>
          <c:showSerName val="0"/>
          <c:showPercent val="0"/>
          <c:showBubbleSize val="0"/>
        </c:dLbls>
        <c:marker val="1"/>
        <c:smooth val="0"/>
        <c:axId val="190977920"/>
        <c:axId val="190979456"/>
      </c:lineChart>
      <c:catAx>
        <c:axId val="19097420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90976384"/>
        <c:crosses val="autoZero"/>
        <c:auto val="1"/>
        <c:lblAlgn val="ctr"/>
        <c:lblOffset val="100"/>
        <c:noMultiLvlLbl val="0"/>
      </c:catAx>
      <c:valAx>
        <c:axId val="190976384"/>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90974208"/>
        <c:crosses val="autoZero"/>
        <c:crossBetween val="between"/>
      </c:valAx>
      <c:catAx>
        <c:axId val="190977920"/>
        <c:scaling>
          <c:orientation val="minMax"/>
        </c:scaling>
        <c:delete val="1"/>
        <c:axPos val="b"/>
        <c:majorTickMark val="out"/>
        <c:minorTickMark val="none"/>
        <c:tickLblPos val="none"/>
        <c:crossAx val="190979456"/>
        <c:crosses val="autoZero"/>
        <c:auto val="1"/>
        <c:lblAlgn val="ctr"/>
        <c:lblOffset val="100"/>
        <c:noMultiLvlLbl val="0"/>
      </c:catAx>
      <c:valAx>
        <c:axId val="190979456"/>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90977920"/>
        <c:crosses val="max"/>
        <c:crossBetween val="between"/>
      </c:valAx>
    </c:plotArea>
    <c:legend>
      <c:legendPos val="b"/>
      <c:layout>
        <c:manualLayout>
          <c:xMode val="edge"/>
          <c:yMode val="edge"/>
          <c:x val="0.18997754629629754"/>
          <c:y val="0.93973527777777865"/>
          <c:w val="0.62004479166666671"/>
          <c:h val="4.968138888888889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953E-2"/>
          <c:y val="3.6923888888888888E-2"/>
          <c:w val="0.8644659722222221"/>
          <c:h val="0.77108166666667044"/>
        </c:manualLayout>
      </c:layout>
      <c:barChart>
        <c:barDir val="col"/>
        <c:grouping val="clustered"/>
        <c:varyColors val="0"/>
        <c:ser>
          <c:idx val="0"/>
          <c:order val="0"/>
          <c:tx>
            <c:strRef>
              <c:f>'Cancer - 62 Day'!$B$142</c:f>
              <c:strCache>
                <c:ptCount val="1"/>
                <c:pt idx="0">
                  <c:v>No. of eligible referrals who did not start treatment within 62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Day'!$B$143:$B$155</c:f>
              <c:numCache>
                <c:formatCode>#,##0</c:formatCode>
                <c:ptCount val="13"/>
                <c:pt idx="0">
                  <c:v>217</c:v>
                </c:pt>
                <c:pt idx="1">
                  <c:v>82</c:v>
                </c:pt>
                <c:pt idx="2">
                  <c:v>47</c:v>
                </c:pt>
                <c:pt idx="3">
                  <c:v>28</c:v>
                </c:pt>
                <c:pt idx="4">
                  <c:v>28</c:v>
                </c:pt>
                <c:pt idx="5">
                  <c:v>19</c:v>
                </c:pt>
                <c:pt idx="6">
                  <c:v>18</c:v>
                </c:pt>
                <c:pt idx="7">
                  <c:v>16</c:v>
                </c:pt>
                <c:pt idx="8">
                  <c:v>6</c:v>
                </c:pt>
                <c:pt idx="9">
                  <c:v>4</c:v>
                </c:pt>
                <c:pt idx="10">
                  <c:v>3</c:v>
                </c:pt>
                <c:pt idx="11">
                  <c:v>1</c:v>
                </c:pt>
                <c:pt idx="12">
                  <c:v>0</c:v>
                </c:pt>
              </c:numCache>
            </c:numRef>
          </c:val>
        </c:ser>
        <c:dLbls>
          <c:showLegendKey val="0"/>
          <c:showVal val="0"/>
          <c:showCatName val="0"/>
          <c:showSerName val="0"/>
          <c:showPercent val="0"/>
          <c:showBubbleSize val="0"/>
        </c:dLbls>
        <c:gapWidth val="57"/>
        <c:axId val="191027840"/>
        <c:axId val="196674304"/>
      </c:barChart>
      <c:lineChart>
        <c:grouping val="standard"/>
        <c:varyColors val="0"/>
        <c:ser>
          <c:idx val="2"/>
          <c:order val="1"/>
          <c:tx>
            <c:strRef>
              <c:f>'Cancer - 62 Day'!$D$142</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Day'!$D$143:$D$155</c:f>
              <c:numCache>
                <c:formatCode>0.0%</c:formatCode>
                <c:ptCount val="13"/>
                <c:pt idx="0">
                  <c:v>0.46268656716417911</c:v>
                </c:pt>
                <c:pt idx="1">
                  <c:v>0.63752665245202556</c:v>
                </c:pt>
                <c:pt idx="2">
                  <c:v>0.73773987206823022</c:v>
                </c:pt>
                <c:pt idx="3">
                  <c:v>0.7974413646055436</c:v>
                </c:pt>
                <c:pt idx="4">
                  <c:v>0.85714285714285698</c:v>
                </c:pt>
                <c:pt idx="5">
                  <c:v>0.89765458422174826</c:v>
                </c:pt>
                <c:pt idx="6">
                  <c:v>0.93603411513859258</c:v>
                </c:pt>
                <c:pt idx="7">
                  <c:v>0.97014925373134309</c:v>
                </c:pt>
                <c:pt idx="8">
                  <c:v>0.98294243070362453</c:v>
                </c:pt>
                <c:pt idx="9">
                  <c:v>0.99147121535181215</c:v>
                </c:pt>
                <c:pt idx="10">
                  <c:v>0.99786780383795293</c:v>
                </c:pt>
                <c:pt idx="11">
                  <c:v>0.99999999999999989</c:v>
                </c:pt>
                <c:pt idx="12">
                  <c:v>0.99999999999999989</c:v>
                </c:pt>
              </c:numCache>
            </c:numRef>
          </c:val>
          <c:smooth val="0"/>
        </c:ser>
        <c:dLbls>
          <c:showLegendKey val="0"/>
          <c:showVal val="0"/>
          <c:showCatName val="0"/>
          <c:showSerName val="0"/>
          <c:showPercent val="0"/>
          <c:showBubbleSize val="0"/>
        </c:dLbls>
        <c:marker val="1"/>
        <c:smooth val="0"/>
        <c:axId val="196675840"/>
        <c:axId val="196689920"/>
      </c:lineChart>
      <c:catAx>
        <c:axId val="191027840"/>
        <c:scaling>
          <c:orientation val="minMax"/>
        </c:scaling>
        <c:delete val="0"/>
        <c:axPos val="b"/>
        <c:numFmt formatCode="General" sourceLinked="1"/>
        <c:majorTickMark val="out"/>
        <c:minorTickMark val="none"/>
        <c:tickLblPos val="nextTo"/>
        <c:crossAx val="196674304"/>
        <c:crosses val="autoZero"/>
        <c:auto val="1"/>
        <c:lblAlgn val="ctr"/>
        <c:lblOffset val="100"/>
        <c:noMultiLvlLbl val="0"/>
      </c:catAx>
      <c:valAx>
        <c:axId val="196674304"/>
        <c:scaling>
          <c:orientation val="minMax"/>
        </c:scaling>
        <c:delete val="0"/>
        <c:axPos val="l"/>
        <c:majorGridlines/>
        <c:numFmt formatCode="#,##0" sourceLinked="0"/>
        <c:majorTickMark val="out"/>
        <c:minorTickMark val="none"/>
        <c:tickLblPos val="nextTo"/>
        <c:crossAx val="191027840"/>
        <c:crosses val="autoZero"/>
        <c:crossBetween val="between"/>
      </c:valAx>
      <c:catAx>
        <c:axId val="196675840"/>
        <c:scaling>
          <c:orientation val="minMax"/>
        </c:scaling>
        <c:delete val="1"/>
        <c:axPos val="b"/>
        <c:majorTickMark val="out"/>
        <c:minorTickMark val="none"/>
        <c:tickLblPos val="none"/>
        <c:crossAx val="196689920"/>
        <c:crosses val="autoZero"/>
        <c:auto val="1"/>
        <c:lblAlgn val="ctr"/>
        <c:lblOffset val="100"/>
        <c:noMultiLvlLbl val="0"/>
      </c:catAx>
      <c:valAx>
        <c:axId val="196689920"/>
        <c:scaling>
          <c:orientation val="minMax"/>
          <c:max val="1"/>
        </c:scaling>
        <c:delete val="0"/>
        <c:axPos val="r"/>
        <c:numFmt formatCode="0%" sourceLinked="0"/>
        <c:majorTickMark val="out"/>
        <c:minorTickMark val="none"/>
        <c:tickLblPos val="nextTo"/>
        <c:crossAx val="196675840"/>
        <c:crosses val="max"/>
        <c:crossBetween val="between"/>
      </c:valAx>
    </c:plotArea>
    <c:legend>
      <c:legendPos val="b"/>
      <c:layout>
        <c:manualLayout>
          <c:xMode val="edge"/>
          <c:yMode val="edge"/>
          <c:x val="0.21626990740740937"/>
          <c:y val="0.93818249999999959"/>
          <c:w val="0.54502435558000661"/>
          <c:h val="4.573043493716863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513E-2"/>
          <c:y val="3.8805555555555642E-2"/>
          <c:w val="0.93472754629629662"/>
          <c:h val="0.77142833333333793"/>
        </c:manualLayout>
      </c:layout>
      <c:barChart>
        <c:barDir val="col"/>
        <c:grouping val="stacked"/>
        <c:varyColors val="0"/>
        <c:ser>
          <c:idx val="0"/>
          <c:order val="0"/>
          <c:tx>
            <c:strRef>
              <c:f>'Cancer - 62 Day'!$C$125</c:f>
              <c:strCache>
                <c:ptCount val="1"/>
                <c:pt idx="0">
                  <c:v>No. of eligible referrals who started treatment within 62 days</c:v>
                </c:pt>
              </c:strCache>
            </c:strRef>
          </c:tx>
          <c:invertIfNegative val="0"/>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ser>
          <c:idx val="1"/>
          <c:order val="1"/>
          <c:tx>
            <c:strRef>
              <c:f>'Cancer - 62 Day'!$D$125</c:f>
              <c:strCache>
                <c:ptCount val="1"/>
                <c:pt idx="0">
                  <c:v>No. of eligible referrals who did not start treatment within 62 days</c:v>
                </c:pt>
              </c:strCache>
            </c:strRef>
          </c:tx>
          <c:spPr>
            <a:solidFill>
              <a:srgbClr val="FF0000"/>
            </a:solidFill>
          </c:spPr>
          <c:invertIfNegative val="0"/>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Day'!$D$126:$D$138</c:f>
              <c:numCache>
                <c:formatCode>#,##0</c:formatCode>
                <c:ptCount val="13"/>
                <c:pt idx="0">
                  <c:v>3</c:v>
                </c:pt>
                <c:pt idx="1">
                  <c:v>4</c:v>
                </c:pt>
                <c:pt idx="2">
                  <c:v>217</c:v>
                </c:pt>
                <c:pt idx="3">
                  <c:v>16</c:v>
                </c:pt>
                <c:pt idx="4">
                  <c:v>82</c:v>
                </c:pt>
                <c:pt idx="5">
                  <c:v>28</c:v>
                </c:pt>
                <c:pt idx="6">
                  <c:v>19</c:v>
                </c:pt>
                <c:pt idx="7">
                  <c:v>18</c:v>
                </c:pt>
                <c:pt idx="8">
                  <c:v>28</c:v>
                </c:pt>
                <c:pt idx="9">
                  <c:v>47</c:v>
                </c:pt>
                <c:pt idx="10">
                  <c:v>6</c:v>
                </c:pt>
                <c:pt idx="11">
                  <c:v>0</c:v>
                </c:pt>
                <c:pt idx="12">
                  <c:v>1</c:v>
                </c:pt>
              </c:numCache>
            </c:numRef>
          </c:val>
        </c:ser>
        <c:dLbls>
          <c:showLegendKey val="0"/>
          <c:showVal val="0"/>
          <c:showCatName val="0"/>
          <c:showSerName val="0"/>
          <c:showPercent val="0"/>
          <c:showBubbleSize val="0"/>
        </c:dLbls>
        <c:gapWidth val="150"/>
        <c:overlap val="100"/>
        <c:axId val="196707840"/>
        <c:axId val="196709376"/>
      </c:barChart>
      <c:catAx>
        <c:axId val="196707840"/>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96709376"/>
        <c:crosses val="autoZero"/>
        <c:auto val="1"/>
        <c:lblAlgn val="ctr"/>
        <c:lblOffset val="100"/>
        <c:noMultiLvlLbl val="0"/>
      </c:catAx>
      <c:valAx>
        <c:axId val="196709376"/>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96707840"/>
        <c:crosses val="autoZero"/>
        <c:crossBetween val="between"/>
      </c:valAx>
    </c:plotArea>
    <c:legend>
      <c:legendPos val="b"/>
      <c:layout>
        <c:manualLayout>
          <c:xMode val="edge"/>
          <c:yMode val="edge"/>
          <c:x val="9.5526273148148266E-2"/>
          <c:y val="0.93704472222222224"/>
          <c:w val="0.80894733796296259"/>
          <c:h val="5.237194444444449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5532407407412E-2"/>
          <c:y val="7.545211874069406E-2"/>
          <c:w val="0.93414791666666674"/>
          <c:h val="0.70560722222222261"/>
        </c:manualLayout>
      </c:layout>
      <c:lineChart>
        <c:grouping val="standard"/>
        <c:varyColors val="0"/>
        <c:ser>
          <c:idx val="0"/>
          <c:order val="0"/>
          <c:tx>
            <c:strRef>
              <c:f>'Cardiac Arrest'!$D$11</c:f>
              <c:strCache>
                <c:ptCount val="1"/>
                <c:pt idx="0">
                  <c:v>Rate per 1,000 discharges</c:v>
                </c:pt>
              </c:strCache>
            </c:strRef>
          </c:tx>
          <c:spPr>
            <a:ln w="25400">
              <a:solidFill>
                <a:srgbClr val="0066CC"/>
              </a:solidFill>
              <a:prstDash val="solid"/>
            </a:ln>
          </c:spPr>
          <c:marker>
            <c:symbol val="circle"/>
            <c:size val="4"/>
            <c:spPr>
              <a:solidFill>
                <a:srgbClr val="0070C0"/>
              </a:solidFill>
              <a:ln>
                <a:solidFill>
                  <a:srgbClr val="0066CC"/>
                </a:solidFill>
                <a:prstDash val="solid"/>
              </a:ln>
            </c:spPr>
          </c:marker>
          <c:dPt>
            <c:idx val="97"/>
            <c:marker>
              <c:spPr>
                <a:solidFill>
                  <a:srgbClr val="0070C0"/>
                </a:solidFill>
              </c:spPr>
            </c:marker>
            <c:bubble3D val="0"/>
          </c:dPt>
          <c:dPt>
            <c:idx val="101"/>
            <c:bubble3D val="0"/>
            <c:spPr>
              <a:ln w="25400">
                <a:solidFill>
                  <a:srgbClr val="00B050"/>
                </a:solidFill>
                <a:prstDash val="solid"/>
              </a:ln>
            </c:spPr>
          </c:dPt>
          <c:dPt>
            <c:idx val="102"/>
            <c:bubble3D val="0"/>
            <c:spPr>
              <a:ln w="25400">
                <a:solidFill>
                  <a:srgbClr val="00B050"/>
                </a:solidFill>
                <a:prstDash val="solid"/>
              </a:ln>
            </c:spPr>
          </c:dPt>
          <c:dPt>
            <c:idx val="103"/>
            <c:bubble3D val="0"/>
            <c:spPr>
              <a:ln w="25400">
                <a:solidFill>
                  <a:srgbClr val="00B050"/>
                </a:solidFill>
                <a:prstDash val="solid"/>
              </a:ln>
            </c:spPr>
          </c:dPt>
          <c:dPt>
            <c:idx val="104"/>
            <c:bubble3D val="0"/>
            <c:spPr>
              <a:ln w="25400">
                <a:solidFill>
                  <a:srgbClr val="00B050"/>
                </a:solidFill>
                <a:prstDash val="solid"/>
              </a:ln>
            </c:spPr>
          </c:dPt>
          <c:dPt>
            <c:idx val="105"/>
            <c:bubble3D val="0"/>
            <c:spPr>
              <a:ln w="25400">
                <a:solidFill>
                  <a:srgbClr val="00B050"/>
                </a:solidFill>
                <a:prstDash val="solid"/>
              </a:ln>
            </c:spPr>
          </c:dPt>
          <c:dPt>
            <c:idx val="106"/>
            <c:bubble3D val="0"/>
            <c:spPr>
              <a:ln w="25400">
                <a:solidFill>
                  <a:srgbClr val="00B050"/>
                </a:solidFill>
                <a:prstDash val="solid"/>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Arrest'!$D$12:$D$134</c:f>
              <c:numCache>
                <c:formatCode>0.00</c:formatCode>
                <c:ptCount val="123"/>
                <c:pt idx="0">
                  <c:v>2.0253704295917281</c:v>
                </c:pt>
                <c:pt idx="1">
                  <c:v>1.4804691948525224</c:v>
                </c:pt>
                <c:pt idx="2">
                  <c:v>2.4732069249793898</c:v>
                </c:pt>
                <c:pt idx="3">
                  <c:v>1.175590467030031</c:v>
                </c:pt>
                <c:pt idx="4">
                  <c:v>1.3932054442181974</c:v>
                </c:pt>
                <c:pt idx="5">
                  <c:v>1.9476303830339754</c:v>
                </c:pt>
                <c:pt idx="6">
                  <c:v>1.291294522759066</c:v>
                </c:pt>
                <c:pt idx="7">
                  <c:v>1.5737410071942446</c:v>
                </c:pt>
                <c:pt idx="8">
                  <c:v>1.8992291364093397</c:v>
                </c:pt>
                <c:pt idx="9">
                  <c:v>1.9148936170212765</c:v>
                </c:pt>
                <c:pt idx="10">
                  <c:v>2.626770214709913</c:v>
                </c:pt>
                <c:pt idx="11">
                  <c:v>2.5177887246852766</c:v>
                </c:pt>
                <c:pt idx="12">
                  <c:v>2.325311010347634</c:v>
                </c:pt>
                <c:pt idx="13">
                  <c:v>2.630005977286312</c:v>
                </c:pt>
                <c:pt idx="14">
                  <c:v>0.96411355115158004</c:v>
                </c:pt>
                <c:pt idx="15">
                  <c:v>1.9348964261324835</c:v>
                </c:pt>
                <c:pt idx="16">
                  <c:v>2.995672916897814</c:v>
                </c:pt>
                <c:pt idx="17">
                  <c:v>1.5739179314221472</c:v>
                </c:pt>
                <c:pt idx="18">
                  <c:v>2.143260011280316</c:v>
                </c:pt>
                <c:pt idx="19">
                  <c:v>2.5131118881118879</c:v>
                </c:pt>
                <c:pt idx="20">
                  <c:v>1.6852039096730704</c:v>
                </c:pt>
                <c:pt idx="21">
                  <c:v>1.3975489142119972</c:v>
                </c:pt>
                <c:pt idx="22">
                  <c:v>1.3505908835115363</c:v>
                </c:pt>
                <c:pt idx="23">
                  <c:v>1.7156582408784169</c:v>
                </c:pt>
                <c:pt idx="24">
                  <c:v>1.4500836586726158</c:v>
                </c:pt>
                <c:pt idx="25">
                  <c:v>1.4992503748125936</c:v>
                </c:pt>
                <c:pt idx="26">
                  <c:v>1.6607847207805688</c:v>
                </c:pt>
                <c:pt idx="27">
                  <c:v>1.4449260864732689</c:v>
                </c:pt>
                <c:pt idx="28">
                  <c:v>2.3776072625094562</c:v>
                </c:pt>
                <c:pt idx="29">
                  <c:v>1.7446298113619017</c:v>
                </c:pt>
                <c:pt idx="30">
                  <c:v>0.78081427774679313</c:v>
                </c:pt>
                <c:pt idx="31">
                  <c:v>2.1626297577854672</c:v>
                </c:pt>
                <c:pt idx="32">
                  <c:v>1.6413174307911149</c:v>
                </c:pt>
                <c:pt idx="33">
                  <c:v>1.6177739430543572</c:v>
                </c:pt>
                <c:pt idx="34">
                  <c:v>0.75220287986245438</c:v>
                </c:pt>
                <c:pt idx="35">
                  <c:v>2.1645021645021645</c:v>
                </c:pt>
                <c:pt idx="36">
                  <c:v>1.1217049915872126</c:v>
                </c:pt>
                <c:pt idx="37">
                  <c:v>2.0637468470534284</c:v>
                </c:pt>
                <c:pt idx="38">
                  <c:v>1.1571638964864297</c:v>
                </c:pt>
                <c:pt idx="39">
                  <c:v>1.392434439545138</c:v>
                </c:pt>
                <c:pt idx="40">
                  <c:v>1.162422064884286</c:v>
                </c:pt>
                <c:pt idx="41">
                  <c:v>1.7323516673884798</c:v>
                </c:pt>
                <c:pt idx="42">
                  <c:v>1.7355461546805511</c:v>
                </c:pt>
                <c:pt idx="43">
                  <c:v>1.1500261369576581</c:v>
                </c:pt>
                <c:pt idx="44">
                  <c:v>0.77330976579761379</c:v>
                </c:pt>
                <c:pt idx="45">
                  <c:v>1.1227926916402979</c:v>
                </c:pt>
                <c:pt idx="46">
                  <c:v>2.1267545725223309</c:v>
                </c:pt>
                <c:pt idx="47">
                  <c:v>2.3732470334412081</c:v>
                </c:pt>
                <c:pt idx="48">
                  <c:v>1.8252093622503758</c:v>
                </c:pt>
                <c:pt idx="49">
                  <c:v>1.62526120269329</c:v>
                </c:pt>
                <c:pt idx="50">
                  <c:v>1.8416206261510129</c:v>
                </c:pt>
                <c:pt idx="51">
                  <c:v>1.4378940382701029</c:v>
                </c:pt>
                <c:pt idx="52">
                  <c:v>1.3464526152252718</c:v>
                </c:pt>
                <c:pt idx="53">
                  <c:v>1.0782833728703904</c:v>
                </c:pt>
                <c:pt idx="54">
                  <c:v>1.5864621893178212</c:v>
                </c:pt>
                <c:pt idx="55">
                  <c:v>1.4685828175810343</c:v>
                </c:pt>
                <c:pt idx="56">
                  <c:v>1.3464991023339319</c:v>
                </c:pt>
                <c:pt idx="57">
                  <c:v>1.5772870662460567</c:v>
                </c:pt>
                <c:pt idx="58">
                  <c:v>1.6235523325035177</c:v>
                </c:pt>
                <c:pt idx="59">
                  <c:v>2.0286141362374548</c:v>
                </c:pt>
                <c:pt idx="60">
                  <c:v>2.4091337592961137</c:v>
                </c:pt>
                <c:pt idx="61">
                  <c:v>1.6603940668585344</c:v>
                </c:pt>
                <c:pt idx="62">
                  <c:v>1.6374987207041245</c:v>
                </c:pt>
                <c:pt idx="63">
                  <c:v>1.7808506180599204</c:v>
                </c:pt>
                <c:pt idx="64">
                  <c:v>0.86330935251798568</c:v>
                </c:pt>
                <c:pt idx="65">
                  <c:v>1.6122531237404274</c:v>
                </c:pt>
                <c:pt idx="66">
                  <c:v>1.1004401760704283</c:v>
                </c:pt>
                <c:pt idx="67">
                  <c:v>1.7178658043654</c:v>
                </c:pt>
                <c:pt idx="68">
                  <c:v>1.836359926545603</c:v>
                </c:pt>
                <c:pt idx="69">
                  <c:v>1.0583028670386763</c:v>
                </c:pt>
                <c:pt idx="70">
                  <c:v>1.3032581453634084</c:v>
                </c:pt>
                <c:pt idx="71">
                  <c:v>2.2005357826253347</c:v>
                </c:pt>
                <c:pt idx="72">
                  <c:v>2.3677979479084454</c:v>
                </c:pt>
                <c:pt idx="73">
                  <c:v>1.9907795473595975</c:v>
                </c:pt>
                <c:pt idx="74">
                  <c:v>1.9184652278177459</c:v>
                </c:pt>
                <c:pt idx="75">
                  <c:v>1.9076305220883534</c:v>
                </c:pt>
                <c:pt idx="76">
                  <c:v>1.4064697609001406</c:v>
                </c:pt>
                <c:pt idx="77">
                  <c:v>1.691542288557214</c:v>
                </c:pt>
                <c:pt idx="78">
                  <c:v>1.8296401707664161</c:v>
                </c:pt>
                <c:pt idx="79">
                  <c:v>1.3474295190713101</c:v>
                </c:pt>
                <c:pt idx="80">
                  <c:v>1.9905709795704556</c:v>
                </c:pt>
                <c:pt idx="81">
                  <c:v>1.0898642623600514</c:v>
                </c:pt>
                <c:pt idx="82">
                  <c:v>1.1419080244991175</c:v>
                </c:pt>
                <c:pt idx="83">
                  <c:v>1.3187259078920672</c:v>
                </c:pt>
                <c:pt idx="84">
                  <c:v>2.1442275138246245</c:v>
                </c:pt>
                <c:pt idx="85">
                  <c:v>2.8080422329551835</c:v>
                </c:pt>
                <c:pt idx="86">
                  <c:v>2.124216063119563</c:v>
                </c:pt>
                <c:pt idx="87">
                  <c:v>1.2029746281714784</c:v>
                </c:pt>
                <c:pt idx="88">
                  <c:v>2.5580681469354345</c:v>
                </c:pt>
                <c:pt idx="89">
                  <c:v>1.5960842732496276</c:v>
                </c:pt>
                <c:pt idx="90">
                  <c:v>1.5921982286794705</c:v>
                </c:pt>
                <c:pt idx="91">
                  <c:v>1.8994301709487154</c:v>
                </c:pt>
                <c:pt idx="92">
                  <c:v>1.6338200755641785</c:v>
                </c:pt>
                <c:pt idx="93">
                  <c:v>1.7991004497751124</c:v>
                </c:pt>
                <c:pt idx="94">
                  <c:v>1.7152658662092624</c:v>
                </c:pt>
                <c:pt idx="95">
                  <c:v>2.3359739995937434</c:v>
                </c:pt>
                <c:pt idx="96">
                  <c:v>2.0137784843667199</c:v>
                </c:pt>
                <c:pt idx="97">
                  <c:v>2.9798035536916454</c:v>
                </c:pt>
                <c:pt idx="98">
                  <c:v>1.4571595103944044</c:v>
                </c:pt>
                <c:pt idx="99">
                  <c:v>1.3595482116711985</c:v>
                </c:pt>
                <c:pt idx="100">
                  <c:v>1.7175572519083968</c:v>
                </c:pt>
                <c:pt idx="101">
                  <c:v>1.2871287128712872</c:v>
                </c:pt>
                <c:pt idx="102">
                  <c:v>1.6498247061249742</c:v>
                </c:pt>
                <c:pt idx="103">
                  <c:v>1.1678832116788322</c:v>
                </c:pt>
                <c:pt idx="104">
                  <c:v>1.5556938394523958</c:v>
                </c:pt>
                <c:pt idx="105">
                  <c:v>0.68047049674346261</c:v>
                </c:pt>
                <c:pt idx="106">
                  <c:v>0.98029604940692094</c:v>
                </c:pt>
                <c:pt idx="107">
                  <c:v>2.5796209941462447</c:v>
                </c:pt>
              </c:numCache>
            </c:numRef>
          </c:val>
          <c:smooth val="0"/>
        </c:ser>
        <c:ser>
          <c:idx val="4"/>
          <c:order val="1"/>
          <c:tx>
            <c:strRef>
              <c:f>'Cardiac Arrest'!$K$11</c:f>
              <c:strCache>
                <c:ptCount val="1"/>
                <c:pt idx="0">
                  <c:v>Target Median (50% Reduction) to 0.95 (max)</c:v>
                </c:pt>
              </c:strCache>
            </c:strRef>
          </c:tx>
          <c:spPr>
            <a:ln w="25400">
              <a:solidFill>
                <a:srgbClr val="FF00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Arrest'!$K$12:$K$134</c:f>
              <c:numCache>
                <c:formatCode>0.00</c:formatCode>
                <c:ptCount val="123"/>
                <c:pt idx="12">
                  <c:v>0.95353068835765398</c:v>
                </c:pt>
                <c:pt idx="13">
                  <c:v>0.95353068835765398</c:v>
                </c:pt>
                <c:pt idx="14">
                  <c:v>0.95353068835765398</c:v>
                </c:pt>
                <c:pt idx="15">
                  <c:v>0.95353068835765398</c:v>
                </c:pt>
                <c:pt idx="16">
                  <c:v>0.95353068835765398</c:v>
                </c:pt>
                <c:pt idx="17">
                  <c:v>0.95353068835765398</c:v>
                </c:pt>
                <c:pt idx="18">
                  <c:v>0.95353068835765398</c:v>
                </c:pt>
                <c:pt idx="19">
                  <c:v>0.95353068835765398</c:v>
                </c:pt>
                <c:pt idx="20">
                  <c:v>0.95353068835765398</c:v>
                </c:pt>
                <c:pt idx="21">
                  <c:v>0.95353068835765398</c:v>
                </c:pt>
                <c:pt idx="22">
                  <c:v>0.95353068835765398</c:v>
                </c:pt>
                <c:pt idx="23">
                  <c:v>0.95353068835765398</c:v>
                </c:pt>
                <c:pt idx="24">
                  <c:v>0.95353068835765398</c:v>
                </c:pt>
                <c:pt idx="25">
                  <c:v>0.95353068835765398</c:v>
                </c:pt>
                <c:pt idx="26">
                  <c:v>0.95353068835765398</c:v>
                </c:pt>
                <c:pt idx="27">
                  <c:v>0.95353068835765398</c:v>
                </c:pt>
                <c:pt idx="28">
                  <c:v>0.95353068835765398</c:v>
                </c:pt>
                <c:pt idx="29">
                  <c:v>0.95353068835765398</c:v>
                </c:pt>
                <c:pt idx="30">
                  <c:v>0.95353068835765398</c:v>
                </c:pt>
                <c:pt idx="31">
                  <c:v>0.95353068835765398</c:v>
                </c:pt>
                <c:pt idx="32">
                  <c:v>0.95353068835765398</c:v>
                </c:pt>
                <c:pt idx="33">
                  <c:v>0.95353068835765398</c:v>
                </c:pt>
                <c:pt idx="34">
                  <c:v>0.95353068835765398</c:v>
                </c:pt>
                <c:pt idx="35">
                  <c:v>0.95353068835765398</c:v>
                </c:pt>
                <c:pt idx="36">
                  <c:v>0.95353068835765398</c:v>
                </c:pt>
                <c:pt idx="37">
                  <c:v>0.95353068835765398</c:v>
                </c:pt>
                <c:pt idx="38">
                  <c:v>0.95353068835765398</c:v>
                </c:pt>
                <c:pt idx="39">
                  <c:v>0.95353068835765398</c:v>
                </c:pt>
                <c:pt idx="40">
                  <c:v>0.95353068835765398</c:v>
                </c:pt>
                <c:pt idx="41">
                  <c:v>0.95353068835765398</c:v>
                </c:pt>
                <c:pt idx="42">
                  <c:v>0.95353068835765398</c:v>
                </c:pt>
                <c:pt idx="43">
                  <c:v>0.95353068835765398</c:v>
                </c:pt>
                <c:pt idx="44">
                  <c:v>0.95353068835765398</c:v>
                </c:pt>
                <c:pt idx="45">
                  <c:v>0.95353068835765398</c:v>
                </c:pt>
                <c:pt idx="46">
                  <c:v>0.95353068835765398</c:v>
                </c:pt>
                <c:pt idx="47">
                  <c:v>0.95353068835765398</c:v>
                </c:pt>
                <c:pt idx="48">
                  <c:v>0.95353068835765398</c:v>
                </c:pt>
                <c:pt idx="49">
                  <c:v>0.95353068835765398</c:v>
                </c:pt>
                <c:pt idx="50">
                  <c:v>0.95353068835765398</c:v>
                </c:pt>
                <c:pt idx="51">
                  <c:v>0.95353068835765398</c:v>
                </c:pt>
                <c:pt idx="52">
                  <c:v>0.95353068835765398</c:v>
                </c:pt>
                <c:pt idx="53">
                  <c:v>0.95353068835765398</c:v>
                </c:pt>
                <c:pt idx="54">
                  <c:v>0.95353068835765398</c:v>
                </c:pt>
                <c:pt idx="55">
                  <c:v>0.95353068835765398</c:v>
                </c:pt>
                <c:pt idx="56">
                  <c:v>0.95353068835765398</c:v>
                </c:pt>
                <c:pt idx="57">
                  <c:v>0.95353068835765398</c:v>
                </c:pt>
                <c:pt idx="58">
                  <c:v>0.95353068835765398</c:v>
                </c:pt>
                <c:pt idx="59">
                  <c:v>0.95353068835765398</c:v>
                </c:pt>
                <c:pt idx="60">
                  <c:v>0.95353068835765398</c:v>
                </c:pt>
                <c:pt idx="61">
                  <c:v>0.95353068835765398</c:v>
                </c:pt>
                <c:pt idx="62">
                  <c:v>0.95353068835765398</c:v>
                </c:pt>
                <c:pt idx="63">
                  <c:v>0.95353068835765398</c:v>
                </c:pt>
                <c:pt idx="64">
                  <c:v>0.95353068835765398</c:v>
                </c:pt>
                <c:pt idx="65">
                  <c:v>0.95353068835765398</c:v>
                </c:pt>
                <c:pt idx="66">
                  <c:v>0.95353068835765398</c:v>
                </c:pt>
                <c:pt idx="67">
                  <c:v>0.95353068835765398</c:v>
                </c:pt>
                <c:pt idx="68">
                  <c:v>0.95353068835765398</c:v>
                </c:pt>
                <c:pt idx="69">
                  <c:v>0.95353068835765398</c:v>
                </c:pt>
                <c:pt idx="70">
                  <c:v>0.95353068835765398</c:v>
                </c:pt>
                <c:pt idx="71">
                  <c:v>0.95353068835765398</c:v>
                </c:pt>
                <c:pt idx="72">
                  <c:v>0.95353068835765398</c:v>
                </c:pt>
                <c:pt idx="73">
                  <c:v>0.95353068835765398</c:v>
                </c:pt>
                <c:pt idx="74">
                  <c:v>0.95353068835765398</c:v>
                </c:pt>
                <c:pt idx="75">
                  <c:v>0.95353068835765398</c:v>
                </c:pt>
                <c:pt idx="76">
                  <c:v>0.95353068835765398</c:v>
                </c:pt>
                <c:pt idx="77">
                  <c:v>0.95353068835765398</c:v>
                </c:pt>
                <c:pt idx="78">
                  <c:v>0.95353068835765398</c:v>
                </c:pt>
                <c:pt idx="79">
                  <c:v>0.95353068835765398</c:v>
                </c:pt>
                <c:pt idx="80">
                  <c:v>0.95353068835765398</c:v>
                </c:pt>
                <c:pt idx="81">
                  <c:v>0.95353068835765398</c:v>
                </c:pt>
                <c:pt idx="82">
                  <c:v>0.95353068835765398</c:v>
                </c:pt>
                <c:pt idx="83">
                  <c:v>0.95353068835765398</c:v>
                </c:pt>
                <c:pt idx="84">
                  <c:v>0.95353068835765398</c:v>
                </c:pt>
                <c:pt idx="85">
                  <c:v>0.95353068835765398</c:v>
                </c:pt>
                <c:pt idx="86">
                  <c:v>0.95353068835765398</c:v>
                </c:pt>
                <c:pt idx="87">
                  <c:v>0.95353068835765398</c:v>
                </c:pt>
                <c:pt idx="88">
                  <c:v>0.95353068835765398</c:v>
                </c:pt>
                <c:pt idx="89">
                  <c:v>0.95353068835765398</c:v>
                </c:pt>
                <c:pt idx="90">
                  <c:v>0.95353068835765398</c:v>
                </c:pt>
                <c:pt idx="91">
                  <c:v>0.95353068835765398</c:v>
                </c:pt>
                <c:pt idx="92">
                  <c:v>0.95353068835765398</c:v>
                </c:pt>
                <c:pt idx="93">
                  <c:v>0.95353068835765398</c:v>
                </c:pt>
                <c:pt idx="94">
                  <c:v>0.95353068835765398</c:v>
                </c:pt>
                <c:pt idx="95">
                  <c:v>0.95353068835765398</c:v>
                </c:pt>
                <c:pt idx="96">
                  <c:v>0.95353068835765398</c:v>
                </c:pt>
                <c:pt idx="97">
                  <c:v>0.95353068835765398</c:v>
                </c:pt>
                <c:pt idx="98">
                  <c:v>0.95353068835765398</c:v>
                </c:pt>
                <c:pt idx="99">
                  <c:v>0.95353068835765398</c:v>
                </c:pt>
                <c:pt idx="100">
                  <c:v>0.95353068835765398</c:v>
                </c:pt>
                <c:pt idx="101">
                  <c:v>0.95353068835765398</c:v>
                </c:pt>
                <c:pt idx="102">
                  <c:v>0.95353068835765398</c:v>
                </c:pt>
                <c:pt idx="103">
                  <c:v>0.95353068835765398</c:v>
                </c:pt>
                <c:pt idx="104">
                  <c:v>0.95353068835765398</c:v>
                </c:pt>
                <c:pt idx="105">
                  <c:v>0.95353068835765398</c:v>
                </c:pt>
                <c:pt idx="106">
                  <c:v>0.95353068835765398</c:v>
                </c:pt>
                <c:pt idx="107">
                  <c:v>0.95353068835765398</c:v>
                </c:pt>
                <c:pt idx="108">
                  <c:v>0.95353068835765398</c:v>
                </c:pt>
                <c:pt idx="109">
                  <c:v>0.95353068835765398</c:v>
                </c:pt>
                <c:pt idx="110">
                  <c:v>0.95353068835765398</c:v>
                </c:pt>
                <c:pt idx="111">
                  <c:v>0.95353068835765398</c:v>
                </c:pt>
                <c:pt idx="112">
                  <c:v>0.95353068835765398</c:v>
                </c:pt>
                <c:pt idx="113">
                  <c:v>0.95353068835765398</c:v>
                </c:pt>
                <c:pt idx="114">
                  <c:v>0.95353068835765398</c:v>
                </c:pt>
                <c:pt idx="115">
                  <c:v>0.95353068835765398</c:v>
                </c:pt>
                <c:pt idx="116">
                  <c:v>0.95353068835765398</c:v>
                </c:pt>
                <c:pt idx="117">
                  <c:v>0.95353068835765398</c:v>
                </c:pt>
                <c:pt idx="118">
                  <c:v>0.95353068835765398</c:v>
                </c:pt>
                <c:pt idx="119">
                  <c:v>0.95353068835765398</c:v>
                </c:pt>
                <c:pt idx="120">
                  <c:v>0.95353068835765398</c:v>
                </c:pt>
                <c:pt idx="121">
                  <c:v>0.95353068835765398</c:v>
                </c:pt>
                <c:pt idx="122">
                  <c:v>0.95353068835765398</c:v>
                </c:pt>
              </c:numCache>
            </c:numRef>
          </c:val>
          <c:smooth val="0"/>
        </c:ser>
        <c:ser>
          <c:idx val="1"/>
          <c:order val="2"/>
          <c:tx>
            <c:strRef>
              <c:f>'Cardiac Arrest'!$E$11</c:f>
              <c:strCache>
                <c:ptCount val="1"/>
                <c:pt idx="0">
                  <c:v>Baseline Median - 2009 (1.91)</c:v>
                </c:pt>
              </c:strCache>
            </c:strRef>
          </c:tx>
          <c:spPr>
            <a:ln w="25400">
              <a:solidFill>
                <a:srgbClr val="0000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Arrest'!$E$12:$E$23</c:f>
              <c:numCache>
                <c:formatCode>0.00</c:formatCode>
                <c:ptCount val="12"/>
                <c:pt idx="0">
                  <c:v>1.907061376715308</c:v>
                </c:pt>
                <c:pt idx="1">
                  <c:v>1.907061376715308</c:v>
                </c:pt>
                <c:pt idx="2">
                  <c:v>1.907061376715308</c:v>
                </c:pt>
                <c:pt idx="3">
                  <c:v>1.907061376715308</c:v>
                </c:pt>
                <c:pt idx="4">
                  <c:v>1.907061376715308</c:v>
                </c:pt>
                <c:pt idx="5">
                  <c:v>1.907061376715308</c:v>
                </c:pt>
                <c:pt idx="6">
                  <c:v>1.907061376715308</c:v>
                </c:pt>
                <c:pt idx="7">
                  <c:v>1.907061376715308</c:v>
                </c:pt>
                <c:pt idx="8">
                  <c:v>1.907061376715308</c:v>
                </c:pt>
                <c:pt idx="9">
                  <c:v>1.907061376715308</c:v>
                </c:pt>
                <c:pt idx="10">
                  <c:v>1.907061376715308</c:v>
                </c:pt>
                <c:pt idx="11">
                  <c:v>1.907061376715308</c:v>
                </c:pt>
              </c:numCache>
            </c:numRef>
          </c:val>
          <c:smooth val="0"/>
        </c:ser>
        <c:ser>
          <c:idx val="2"/>
          <c:order val="3"/>
          <c:tx>
            <c:strRef>
              <c:f>'Cardiac Arrest'!$F$11</c:f>
              <c:strCache>
                <c:ptCount val="1"/>
                <c:pt idx="0">
                  <c:v>Extended Baseline Median</c:v>
                </c:pt>
              </c:strCache>
            </c:strRef>
          </c:tx>
          <c:spPr>
            <a:ln w="25400">
              <a:solidFill>
                <a:srgbClr val="000000"/>
              </a:solidFill>
              <a:prstDash val="lg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Arrest'!$F$12:$F$59</c:f>
              <c:numCache>
                <c:formatCode>0.00</c:formatCode>
                <c:ptCount val="48"/>
                <c:pt idx="12">
                  <c:v>1.907061376715308</c:v>
                </c:pt>
                <c:pt idx="13">
                  <c:v>1.907061376715308</c:v>
                </c:pt>
                <c:pt idx="14">
                  <c:v>1.907061376715308</c:v>
                </c:pt>
                <c:pt idx="15">
                  <c:v>1.907061376715308</c:v>
                </c:pt>
                <c:pt idx="16">
                  <c:v>1.907061376715308</c:v>
                </c:pt>
                <c:pt idx="17">
                  <c:v>1.907061376715308</c:v>
                </c:pt>
                <c:pt idx="18">
                  <c:v>1.907061376715308</c:v>
                </c:pt>
                <c:pt idx="19">
                  <c:v>1.907061376715308</c:v>
                </c:pt>
                <c:pt idx="20">
                  <c:v>1.907061376715308</c:v>
                </c:pt>
                <c:pt idx="21">
                  <c:v>1.907061376715308</c:v>
                </c:pt>
                <c:pt idx="22">
                  <c:v>1.907061376715308</c:v>
                </c:pt>
                <c:pt idx="23">
                  <c:v>1.907061376715308</c:v>
                </c:pt>
                <c:pt idx="24">
                  <c:v>1.907061376715308</c:v>
                </c:pt>
                <c:pt idx="25">
                  <c:v>1.907061376715308</c:v>
                </c:pt>
                <c:pt idx="26">
                  <c:v>1.907061376715308</c:v>
                </c:pt>
                <c:pt idx="27">
                  <c:v>1.907061376715308</c:v>
                </c:pt>
                <c:pt idx="28">
                  <c:v>1.907061376715308</c:v>
                </c:pt>
                <c:pt idx="29">
                  <c:v>1.907061376715308</c:v>
                </c:pt>
                <c:pt idx="30">
                  <c:v>1.907061376715308</c:v>
                </c:pt>
                <c:pt idx="31">
                  <c:v>1.907061376715308</c:v>
                </c:pt>
                <c:pt idx="32">
                  <c:v>1.907061376715308</c:v>
                </c:pt>
                <c:pt idx="33">
                  <c:v>1.907061376715308</c:v>
                </c:pt>
                <c:pt idx="34">
                  <c:v>1.907061376715308</c:v>
                </c:pt>
                <c:pt idx="35">
                  <c:v>1.907061376715308</c:v>
                </c:pt>
                <c:pt idx="36">
                  <c:v>1.907061376715308</c:v>
                </c:pt>
                <c:pt idx="37">
                  <c:v>1.907061376715308</c:v>
                </c:pt>
                <c:pt idx="38">
                  <c:v>1.907061376715308</c:v>
                </c:pt>
                <c:pt idx="39">
                  <c:v>1.907061376715308</c:v>
                </c:pt>
                <c:pt idx="40">
                  <c:v>1.907061376715308</c:v>
                </c:pt>
                <c:pt idx="41">
                  <c:v>1.907061376715308</c:v>
                </c:pt>
                <c:pt idx="42">
                  <c:v>1.907061376715308</c:v>
                </c:pt>
                <c:pt idx="43">
                  <c:v>1.907061376715308</c:v>
                </c:pt>
                <c:pt idx="44">
                  <c:v>1.907061376715308</c:v>
                </c:pt>
                <c:pt idx="45">
                  <c:v>1.907061376715308</c:v>
                </c:pt>
                <c:pt idx="46">
                  <c:v>1.907061376715308</c:v>
                </c:pt>
                <c:pt idx="47">
                  <c:v>1.907061376715308</c:v>
                </c:pt>
              </c:numCache>
            </c:numRef>
          </c:val>
          <c:smooth val="0"/>
        </c:ser>
        <c:ser>
          <c:idx val="3"/>
          <c:order val="4"/>
          <c:tx>
            <c:strRef>
              <c:f>'Cardiac Arrest'!$G$11</c:f>
              <c:strCache>
                <c:ptCount val="1"/>
                <c:pt idx="0">
                  <c:v>New Median </c:v>
                </c:pt>
              </c:strCache>
            </c:strRef>
          </c:tx>
          <c:spPr>
            <a:ln w="25400">
              <a:solidFill>
                <a:srgbClr val="E69F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Arrest'!$G$12:$G$71</c:f>
              <c:numCache>
                <c:formatCode>0.00</c:formatCode>
                <c:ptCount val="60"/>
                <c:pt idx="48">
                  <c:v>1.5818746277819389</c:v>
                </c:pt>
                <c:pt idx="49">
                  <c:v>1.5818746277819389</c:v>
                </c:pt>
                <c:pt idx="50">
                  <c:v>1.5818746277819389</c:v>
                </c:pt>
                <c:pt idx="51">
                  <c:v>1.5818746277819389</c:v>
                </c:pt>
                <c:pt idx="52">
                  <c:v>1.5818746277819389</c:v>
                </c:pt>
                <c:pt idx="53">
                  <c:v>1.5818746277819389</c:v>
                </c:pt>
                <c:pt idx="54">
                  <c:v>1.5818746277819389</c:v>
                </c:pt>
                <c:pt idx="55">
                  <c:v>1.5818746277819389</c:v>
                </c:pt>
                <c:pt idx="56">
                  <c:v>1.5818746277819389</c:v>
                </c:pt>
                <c:pt idx="57">
                  <c:v>1.5818746277819389</c:v>
                </c:pt>
                <c:pt idx="58">
                  <c:v>1.5818746277819389</c:v>
                </c:pt>
                <c:pt idx="59">
                  <c:v>1.5818746277819389</c:v>
                </c:pt>
              </c:numCache>
            </c:numRef>
          </c:val>
          <c:smooth val="0"/>
        </c:ser>
        <c:ser>
          <c:idx val="5"/>
          <c:order val="5"/>
          <c:tx>
            <c:strRef>
              <c:f>'Cardiac Arrest'!$H$11</c:f>
              <c:strCache>
                <c:ptCount val="1"/>
                <c:pt idx="0">
                  <c:v>Extended New Median </c:v>
                </c:pt>
              </c:strCache>
            </c:strRef>
          </c:tx>
          <c:spPr>
            <a:ln w="25400">
              <a:solidFill>
                <a:srgbClr val="E69F00"/>
              </a:solidFill>
              <a:prstDash val="dash"/>
            </a:ln>
          </c:spPr>
          <c:marker>
            <c:symbol val="none"/>
          </c:marker>
          <c:dPt>
            <c:idx val="89"/>
            <c:bubble3D val="0"/>
            <c:spPr>
              <a:ln w="25400">
                <a:noFill/>
                <a:prstDash val="dash"/>
              </a:ln>
            </c:spPr>
          </c:dPt>
          <c:dPt>
            <c:idx val="90"/>
            <c:bubble3D val="0"/>
            <c:spPr>
              <a:ln w="25400">
                <a:noFill/>
                <a:prstDash val="dash"/>
              </a:ln>
            </c:spPr>
          </c:dPt>
          <c:dPt>
            <c:idx val="91"/>
            <c:bubble3D val="0"/>
            <c:spPr>
              <a:ln w="25400">
                <a:noFill/>
                <a:prstDash val="dash"/>
              </a:ln>
            </c:spPr>
          </c:dPt>
          <c:dPt>
            <c:idx val="92"/>
            <c:bubble3D val="0"/>
            <c:spPr>
              <a:ln w="25400">
                <a:noFill/>
                <a:prstDash val="dash"/>
              </a:ln>
            </c:spPr>
          </c:dPt>
          <c:dPt>
            <c:idx val="93"/>
            <c:bubble3D val="0"/>
            <c:spPr>
              <a:ln w="25400">
                <a:noFill/>
                <a:prstDash val="dash"/>
              </a:ln>
            </c:spPr>
          </c:dPt>
          <c:dPt>
            <c:idx val="94"/>
            <c:bubble3D val="0"/>
            <c:spPr>
              <a:ln w="25400">
                <a:noFill/>
                <a:prstDash val="dash"/>
              </a:ln>
            </c:spPr>
          </c:dPt>
          <c:dPt>
            <c:idx val="95"/>
            <c:bubble3D val="0"/>
            <c:spPr>
              <a:ln w="25400">
                <a:noFill/>
                <a:prstDash val="dash"/>
              </a:ln>
            </c:spPr>
          </c:dPt>
          <c:dPt>
            <c:idx val="96"/>
            <c:bubble3D val="0"/>
            <c:spPr>
              <a:ln w="25400">
                <a:noFill/>
                <a:prstDash val="dash"/>
              </a:ln>
            </c:spPr>
          </c:dPt>
          <c:dPt>
            <c:idx val="97"/>
            <c:bubble3D val="0"/>
            <c:spPr>
              <a:ln w="25400">
                <a:noFill/>
                <a:prstDash val="dash"/>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Arrest'!$H$12:$H$100</c:f>
              <c:numCache>
                <c:formatCode>0.00</c:formatCode>
                <c:ptCount val="89"/>
                <c:pt idx="60">
                  <c:v>1.5818746277819389</c:v>
                </c:pt>
                <c:pt idx="61">
                  <c:v>1.5818746277819389</c:v>
                </c:pt>
                <c:pt idx="62">
                  <c:v>1.5818746277819389</c:v>
                </c:pt>
                <c:pt idx="63">
                  <c:v>1.5818746277819389</c:v>
                </c:pt>
                <c:pt idx="64">
                  <c:v>1.5818746277819389</c:v>
                </c:pt>
                <c:pt idx="65">
                  <c:v>1.5818746277819389</c:v>
                </c:pt>
                <c:pt idx="66">
                  <c:v>1.5818746277819389</c:v>
                </c:pt>
                <c:pt idx="67">
                  <c:v>1.5818746277819389</c:v>
                </c:pt>
                <c:pt idx="68">
                  <c:v>1.5818746277819389</c:v>
                </c:pt>
                <c:pt idx="69">
                  <c:v>1.5818746277819389</c:v>
                </c:pt>
                <c:pt idx="70">
                  <c:v>1.5818746277819389</c:v>
                </c:pt>
                <c:pt idx="71">
                  <c:v>1.5818746277819389</c:v>
                </c:pt>
                <c:pt idx="72">
                  <c:v>1.5818746277819389</c:v>
                </c:pt>
                <c:pt idx="73">
                  <c:v>1.5818746277819389</c:v>
                </c:pt>
                <c:pt idx="74">
                  <c:v>1.5818746277819389</c:v>
                </c:pt>
                <c:pt idx="75">
                  <c:v>1.5818746277819389</c:v>
                </c:pt>
                <c:pt idx="76">
                  <c:v>1.5818746277819389</c:v>
                </c:pt>
                <c:pt idx="77">
                  <c:v>1.5818746277819389</c:v>
                </c:pt>
                <c:pt idx="78">
                  <c:v>1.5818746277819389</c:v>
                </c:pt>
                <c:pt idx="79">
                  <c:v>1.5818746277819389</c:v>
                </c:pt>
                <c:pt idx="80">
                  <c:v>1.5818746277819389</c:v>
                </c:pt>
                <c:pt idx="81">
                  <c:v>1.5818746277819389</c:v>
                </c:pt>
                <c:pt idx="82">
                  <c:v>1.5818746277819389</c:v>
                </c:pt>
                <c:pt idx="83">
                  <c:v>1.5818746277819389</c:v>
                </c:pt>
                <c:pt idx="84">
                  <c:v>1.5818746277819389</c:v>
                </c:pt>
                <c:pt idx="85">
                  <c:v>1.5818746277819389</c:v>
                </c:pt>
                <c:pt idx="86">
                  <c:v>1.5818746277819389</c:v>
                </c:pt>
                <c:pt idx="87">
                  <c:v>1.5818746277819389</c:v>
                </c:pt>
                <c:pt idx="88">
                  <c:v>1.5818746277819389</c:v>
                </c:pt>
              </c:numCache>
            </c:numRef>
          </c:val>
          <c:smooth val="0"/>
        </c:ser>
        <c:ser>
          <c:idx val="6"/>
          <c:order val="6"/>
          <c:tx>
            <c:strRef>
              <c:f>'Cardiac Arrest'!$I$11</c:f>
              <c:strCache>
                <c:ptCount val="1"/>
                <c:pt idx="0">
                  <c:v>New Median 2</c:v>
                </c:pt>
              </c:strCache>
            </c:strRef>
          </c:tx>
          <c:spPr>
            <a:ln w="25400">
              <a:solidFill>
                <a:srgbClr val="E39F00"/>
              </a:solidFill>
            </a:ln>
          </c:spPr>
          <c:marker>
            <c:symbol val="none"/>
          </c:marker>
          <c:dPt>
            <c:idx val="100"/>
            <c:bubble3D val="0"/>
            <c:spPr>
              <a:ln w="25400">
                <a:noFill/>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Arrest'!$I$12:$I$134</c:f>
              <c:numCache>
                <c:formatCode>0.00</c:formatCode>
                <c:ptCount val="123"/>
                <c:pt idx="88">
                  <c:v>1.7571831579921873</c:v>
                </c:pt>
                <c:pt idx="89">
                  <c:v>1.7571831579921873</c:v>
                </c:pt>
                <c:pt idx="90">
                  <c:v>1.7571831579921873</c:v>
                </c:pt>
                <c:pt idx="91">
                  <c:v>1.7571831579921873</c:v>
                </c:pt>
                <c:pt idx="92">
                  <c:v>1.7571831579921873</c:v>
                </c:pt>
                <c:pt idx="93">
                  <c:v>1.7571831579921873</c:v>
                </c:pt>
                <c:pt idx="94">
                  <c:v>1.7571831579921873</c:v>
                </c:pt>
                <c:pt idx="95">
                  <c:v>1.7571831579921873</c:v>
                </c:pt>
                <c:pt idx="96">
                  <c:v>1.7571831579921873</c:v>
                </c:pt>
                <c:pt idx="97">
                  <c:v>1.7571831579921873</c:v>
                </c:pt>
                <c:pt idx="98">
                  <c:v>1.7571831579921873</c:v>
                </c:pt>
                <c:pt idx="99">
                  <c:v>1.7571831579921873</c:v>
                </c:pt>
                <c:pt idx="100">
                  <c:v>0</c:v>
                </c:pt>
              </c:numCache>
            </c:numRef>
          </c:val>
          <c:smooth val="0"/>
        </c:ser>
        <c:ser>
          <c:idx val="7"/>
          <c:order val="7"/>
          <c:tx>
            <c:strRef>
              <c:f>'Cardiac Arrest'!$J$11</c:f>
              <c:strCache>
                <c:ptCount val="1"/>
                <c:pt idx="0">
                  <c:v>Extended New Median 2</c:v>
                </c:pt>
              </c:strCache>
            </c:strRef>
          </c:tx>
          <c:spPr>
            <a:ln w="25400">
              <a:solidFill>
                <a:srgbClr val="E39F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numCache>
            </c:numRef>
          </c:cat>
          <c:val>
            <c:numRef>
              <c:f>'Cardiac Arrest'!$J$12:$J$134</c:f>
              <c:numCache>
                <c:formatCode>0.00</c:formatCode>
                <c:ptCount val="123"/>
                <c:pt idx="99">
                  <c:v>1.7571831579921873</c:v>
                </c:pt>
                <c:pt idx="100">
                  <c:v>1.7571831579921873</c:v>
                </c:pt>
                <c:pt idx="101">
                  <c:v>1.7571831579921873</c:v>
                </c:pt>
                <c:pt idx="102">
                  <c:v>1.7571831579921873</c:v>
                </c:pt>
                <c:pt idx="103">
                  <c:v>1.7571831579921873</c:v>
                </c:pt>
                <c:pt idx="104">
                  <c:v>1.7571831579921873</c:v>
                </c:pt>
                <c:pt idx="105">
                  <c:v>1.7571831579921873</c:v>
                </c:pt>
                <c:pt idx="106">
                  <c:v>1.7571831579921873</c:v>
                </c:pt>
                <c:pt idx="107">
                  <c:v>1.7571831579921873</c:v>
                </c:pt>
              </c:numCache>
            </c:numRef>
          </c:val>
          <c:smooth val="0"/>
        </c:ser>
        <c:dLbls>
          <c:showLegendKey val="0"/>
          <c:showVal val="0"/>
          <c:showCatName val="0"/>
          <c:showSerName val="0"/>
          <c:showPercent val="0"/>
          <c:showBubbleSize val="0"/>
        </c:dLbls>
        <c:marker val="1"/>
        <c:smooth val="0"/>
        <c:axId val="198555136"/>
        <c:axId val="198556672"/>
      </c:lineChart>
      <c:dateAx>
        <c:axId val="198555136"/>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98556672"/>
        <c:crosses val="autoZero"/>
        <c:auto val="1"/>
        <c:lblOffset val="100"/>
        <c:baseTimeUnit val="months"/>
        <c:majorUnit val="3"/>
        <c:majorTimeUnit val="months"/>
        <c:minorUnit val="1"/>
        <c:minorTimeUnit val="months"/>
      </c:dateAx>
      <c:valAx>
        <c:axId val="1985566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555136"/>
        <c:crosses val="autoZero"/>
        <c:crossBetween val="between"/>
      </c:valAx>
      <c:spPr>
        <a:noFill/>
        <a:ln w="25400">
          <a:noFill/>
        </a:ln>
      </c:spPr>
    </c:plotArea>
    <c:legend>
      <c:legendPos val="r"/>
      <c:layout>
        <c:manualLayout>
          <c:xMode val="edge"/>
          <c:yMode val="edge"/>
          <c:x val="3.495576834593582E-2"/>
          <c:y val="0.90474468469220004"/>
          <c:w val="0.92535838202143139"/>
          <c:h val="9.525531530781065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2031710323485E-2"/>
          <c:y val="3.7225042301184452E-2"/>
          <c:w val="0.92690082912568261"/>
          <c:h val="0.74089105613070305"/>
        </c:manualLayout>
      </c:layout>
      <c:lineChart>
        <c:grouping val="standard"/>
        <c:varyColors val="0"/>
        <c:ser>
          <c:idx val="0"/>
          <c:order val="0"/>
          <c:tx>
            <c:strRef>
              <c:f>Complaints!$D$13</c:f>
              <c:strCache>
                <c:ptCount val="1"/>
                <c:pt idx="0">
                  <c:v>Stage 1 - 5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pt idx="3">
                  <c:v>42917</c:v>
                </c:pt>
                <c:pt idx="4">
                  <c:v>42948</c:v>
                </c:pt>
                <c:pt idx="5">
                  <c:v>42979</c:v>
                </c:pt>
                <c:pt idx="6">
                  <c:v>43009</c:v>
                </c:pt>
                <c:pt idx="7">
                  <c:v>43040</c:v>
                </c:pt>
              </c:numCache>
            </c:numRef>
          </c:cat>
          <c:val>
            <c:numRef>
              <c:f>Complaints!$D$14:$D$61</c:f>
              <c:numCache>
                <c:formatCode>0.0%</c:formatCode>
                <c:ptCount val="48"/>
                <c:pt idx="0">
                  <c:v>0.58333333333333337</c:v>
                </c:pt>
                <c:pt idx="1">
                  <c:v>0.67460317460317465</c:v>
                </c:pt>
                <c:pt idx="2">
                  <c:v>0.58865248226950351</c:v>
                </c:pt>
                <c:pt idx="3">
                  <c:v>0.61194029850746268</c:v>
                </c:pt>
                <c:pt idx="4">
                  <c:v>0.61635220125786161</c:v>
                </c:pt>
                <c:pt idx="5">
                  <c:v>0.81690140845070425</c:v>
                </c:pt>
                <c:pt idx="6">
                  <c:v>0.73809523809523814</c:v>
                </c:pt>
                <c:pt idx="7">
                  <c:v>0.70796460176991149</c:v>
                </c:pt>
              </c:numCache>
            </c:numRef>
          </c:val>
          <c:smooth val="0"/>
        </c:ser>
        <c:ser>
          <c:idx val="1"/>
          <c:order val="1"/>
          <c:tx>
            <c:strRef>
              <c:f>Complaints!$E$13</c:f>
              <c:strCache>
                <c:ptCount val="1"/>
                <c:pt idx="0">
                  <c:v>Target (min)</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pt idx="3">
                  <c:v>42917</c:v>
                </c:pt>
                <c:pt idx="4">
                  <c:v>42948</c:v>
                </c:pt>
                <c:pt idx="5">
                  <c:v>42979</c:v>
                </c:pt>
                <c:pt idx="6">
                  <c:v>43009</c:v>
                </c:pt>
                <c:pt idx="7">
                  <c:v>43040</c:v>
                </c:pt>
              </c:numCache>
            </c:numRef>
          </c:cat>
          <c:val>
            <c:numRef>
              <c:f>Complaints!$E$14:$E$61</c:f>
              <c:numCache>
                <c:formatCode>0.0%</c:formatCode>
                <c:ptCount val="48"/>
              </c:numCache>
            </c:numRef>
          </c:val>
          <c:smooth val="0"/>
        </c:ser>
        <c:dLbls>
          <c:showLegendKey val="0"/>
          <c:showVal val="0"/>
          <c:showCatName val="0"/>
          <c:showSerName val="0"/>
          <c:showPercent val="0"/>
          <c:showBubbleSize val="0"/>
        </c:dLbls>
        <c:marker val="1"/>
        <c:smooth val="0"/>
        <c:axId val="195957504"/>
        <c:axId val="195959040"/>
      </c:lineChart>
      <c:dateAx>
        <c:axId val="1959575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5959040"/>
        <c:crosses val="autoZero"/>
        <c:auto val="1"/>
        <c:lblOffset val="100"/>
        <c:baseTimeUnit val="months"/>
      </c:dateAx>
      <c:valAx>
        <c:axId val="195959040"/>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5957504"/>
        <c:crosses val="autoZero"/>
        <c:crossBetween val="between"/>
      </c:valAx>
    </c:plotArea>
    <c:legend>
      <c:legendPos val="r"/>
      <c:layout>
        <c:manualLayout>
          <c:xMode val="edge"/>
          <c:yMode val="edge"/>
          <c:x val="0.29108485474597467"/>
          <c:y val="0.91624352511491558"/>
          <c:w val="0.45112779866132979"/>
          <c:h val="6.091377466705594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94431744420756E-2"/>
          <c:y val="3.6943744752309292E-2"/>
          <c:w val="0.93014116783789114"/>
          <c:h val="0.75180216049382764"/>
        </c:manualLayout>
      </c:layout>
      <c:lineChart>
        <c:grouping val="standard"/>
        <c:varyColors val="0"/>
        <c:ser>
          <c:idx val="0"/>
          <c:order val="0"/>
          <c:tx>
            <c:strRef>
              <c:f>Complaints!$H$13</c:f>
              <c:strCache>
                <c:ptCount val="1"/>
                <c:pt idx="0">
                  <c:v>Stage 2 - 20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pt idx="3">
                  <c:v>42917</c:v>
                </c:pt>
                <c:pt idx="4">
                  <c:v>42948</c:v>
                </c:pt>
                <c:pt idx="5">
                  <c:v>42979</c:v>
                </c:pt>
                <c:pt idx="6">
                  <c:v>43009</c:v>
                </c:pt>
                <c:pt idx="7">
                  <c:v>43040</c:v>
                </c:pt>
              </c:numCache>
            </c:numRef>
          </c:cat>
          <c:val>
            <c:numRef>
              <c:f>Complaints!$H$14:$H$61</c:f>
              <c:numCache>
                <c:formatCode>0.0%</c:formatCode>
                <c:ptCount val="48"/>
                <c:pt idx="0">
                  <c:v>0.52258064516129032</c:v>
                </c:pt>
                <c:pt idx="1">
                  <c:v>0.62643678160919536</c:v>
                </c:pt>
                <c:pt idx="2">
                  <c:v>0.69270833333333337</c:v>
                </c:pt>
                <c:pt idx="3">
                  <c:v>0.70813397129186606</c:v>
                </c:pt>
                <c:pt idx="4">
                  <c:v>0.63212435233160624</c:v>
                </c:pt>
                <c:pt idx="5">
                  <c:v>0.83647798742138368</c:v>
                </c:pt>
                <c:pt idx="6">
                  <c:v>0.74654377880184331</c:v>
                </c:pt>
                <c:pt idx="7">
                  <c:v>0.84541062801932365</c:v>
                </c:pt>
              </c:numCache>
            </c:numRef>
          </c:val>
          <c:smooth val="0"/>
        </c:ser>
        <c:ser>
          <c:idx val="1"/>
          <c:order val="1"/>
          <c:tx>
            <c:strRef>
              <c:f>Complaints!$I$13</c:f>
              <c:strCache>
                <c:ptCount val="1"/>
                <c:pt idx="0">
                  <c:v>Target (min)</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pt idx="3">
                  <c:v>42917</c:v>
                </c:pt>
                <c:pt idx="4">
                  <c:v>42948</c:v>
                </c:pt>
                <c:pt idx="5">
                  <c:v>42979</c:v>
                </c:pt>
                <c:pt idx="6">
                  <c:v>43009</c:v>
                </c:pt>
                <c:pt idx="7">
                  <c:v>43040</c:v>
                </c:pt>
              </c:numCache>
            </c:numRef>
          </c:cat>
          <c:val>
            <c:numRef>
              <c:f>Complaints!$I$14:$I$61</c:f>
              <c:numCache>
                <c:formatCode>0.0%</c:formatCode>
                <c:ptCount val="48"/>
              </c:numCache>
            </c:numRef>
          </c:val>
          <c:smooth val="0"/>
        </c:ser>
        <c:dLbls>
          <c:showLegendKey val="0"/>
          <c:showVal val="0"/>
          <c:showCatName val="0"/>
          <c:showSerName val="0"/>
          <c:showPercent val="0"/>
          <c:showBubbleSize val="0"/>
        </c:dLbls>
        <c:marker val="1"/>
        <c:smooth val="0"/>
        <c:axId val="195998464"/>
        <c:axId val="196000000"/>
      </c:lineChart>
      <c:dateAx>
        <c:axId val="1959984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6000000"/>
        <c:crosses val="autoZero"/>
        <c:auto val="1"/>
        <c:lblOffset val="100"/>
        <c:baseTimeUnit val="months"/>
      </c:dateAx>
      <c:valAx>
        <c:axId val="196000000"/>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5998464"/>
        <c:crosses val="autoZero"/>
        <c:crossBetween val="between"/>
      </c:valAx>
    </c:plotArea>
    <c:legend>
      <c:legendPos val="r"/>
      <c:layout>
        <c:manualLayout>
          <c:xMode val="edge"/>
          <c:yMode val="edge"/>
          <c:x val="0.30290010330848627"/>
          <c:y val="0.92079628935271951"/>
          <c:w val="0.43716431256457189"/>
          <c:h val="6.045327667374947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904"/>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numCache>
            </c:numRef>
          </c:val>
          <c:smooth val="0"/>
        </c:ser>
        <c:ser>
          <c:idx val="0"/>
          <c:order val="2"/>
          <c:tx>
            <c:strRef>
              <c:f>'Delayed Discharges'!$A$139</c:f>
              <c:strCache>
                <c:ptCount val="1"/>
                <c:pt idx="0">
                  <c:v>&gt;3 days (excl. Code 9s &amp; 100s) - post-definition change - Total incl. Other Local Authority Areas - City of Edinburgh</c:v>
                </c:pt>
              </c:strCache>
            </c:strRef>
          </c:tx>
          <c:spPr>
            <a:ln w="25400">
              <a:solidFill>
                <a:srgbClr val="0070C0"/>
              </a:solidFill>
              <a:prstDash val="sysDash"/>
            </a:ln>
          </c:spPr>
          <c:marker>
            <c:spPr>
              <a:solidFill>
                <a:srgbClr val="0070C0"/>
              </a:solidFill>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Discharges'!$H$139:$AW$139</c:f>
              <c:numCache>
                <c:formatCode>0</c:formatCode>
                <c:ptCount val="42"/>
                <c:pt idx="9">
                  <c:v>153</c:v>
                </c:pt>
                <c:pt idx="10">
                  <c:v>144</c:v>
                </c:pt>
                <c:pt idx="11">
                  <c:v>155</c:v>
                </c:pt>
                <c:pt idx="12">
                  <c:v>168</c:v>
                </c:pt>
                <c:pt idx="13">
                  <c:v>148</c:v>
                </c:pt>
                <c:pt idx="14">
                  <c:v>170</c:v>
                </c:pt>
                <c:pt idx="15">
                  <c:v>188</c:v>
                </c:pt>
                <c:pt idx="16">
                  <c:v>171</c:v>
                </c:pt>
                <c:pt idx="17">
                  <c:v>162</c:v>
                </c:pt>
                <c:pt idx="18">
                  <c:v>140</c:v>
                </c:pt>
                <c:pt idx="19">
                  <c:v>132</c:v>
                </c:pt>
                <c:pt idx="20">
                  <c:v>152</c:v>
                </c:pt>
                <c:pt idx="21">
                  <c:v>129</c:v>
                </c:pt>
                <c:pt idx="22">
                  <c:v>141</c:v>
                </c:pt>
                <c:pt idx="23">
                  <c:v>146</c:v>
                </c:pt>
                <c:pt idx="24">
                  <c:v>138</c:v>
                </c:pt>
                <c:pt idx="25">
                  <c:v>146</c:v>
                </c:pt>
                <c:pt idx="26">
                  <c:v>150</c:v>
                </c:pt>
              </c:numCache>
            </c:numRef>
          </c:val>
          <c:smooth val="0"/>
        </c:ser>
        <c:dLbls>
          <c:showLegendKey val="0"/>
          <c:showVal val="0"/>
          <c:showCatName val="0"/>
          <c:showSerName val="0"/>
          <c:showPercent val="0"/>
          <c:showBubbleSize val="0"/>
        </c:dLbls>
        <c:marker val="1"/>
        <c:smooth val="0"/>
        <c:axId val="196104192"/>
        <c:axId val="196105728"/>
      </c:lineChart>
      <c:dateAx>
        <c:axId val="196104192"/>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6105728"/>
        <c:crosses val="autoZero"/>
        <c:auto val="1"/>
        <c:lblOffset val="100"/>
        <c:baseTimeUnit val="months"/>
      </c:dateAx>
      <c:valAx>
        <c:axId val="196105728"/>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6104192"/>
        <c:crosses val="autoZero"/>
        <c:crossBetween val="between"/>
      </c:valAx>
    </c:plotArea>
    <c:legend>
      <c:legendPos val="r"/>
      <c:layout>
        <c:manualLayout>
          <c:xMode val="edge"/>
          <c:yMode val="edge"/>
          <c:x val="1.4084562472689808E-2"/>
          <c:y val="0.89690733102806597"/>
          <c:w val="0.97074755401991464"/>
          <c:h val="8.505159077337476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09432304714113E-2"/>
          <c:y val="5.1680945369303045E-2"/>
          <c:w val="0.92580371309822862"/>
          <c:h val="0.7211245990084576"/>
        </c:manualLayout>
      </c:layout>
      <c:lineChart>
        <c:grouping val="standard"/>
        <c:varyColors val="0"/>
        <c:ser>
          <c:idx val="0"/>
          <c:order val="0"/>
          <c:tx>
            <c:strRef>
              <c:f>'Delayed Discharges'!$A$136</c:f>
              <c:strCache>
                <c:ptCount val="1"/>
                <c:pt idx="0">
                  <c:v>Total Delayed Discharges (incl. Code 9s, excl. Code 100s)</c:v>
                </c:pt>
              </c:strCache>
            </c:strRef>
          </c:tx>
          <c:spPr>
            <a:ln w="19050">
              <a:solidFill>
                <a:srgbClr val="002060"/>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Discharges'!$H$136:$AW$136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c:v>287</c:v>
                </c:pt>
                <c:pt idx="20">
                  <c:v>274</c:v>
                </c:pt>
                <c:pt idx="21">
                  <c:v>245</c:v>
                </c:pt>
                <c:pt idx="22">
                  <c:v>259</c:v>
                </c:pt>
                <c:pt idx="23">
                  <c:v>316</c:v>
                </c:pt>
                <c:pt idx="24">
                  <c:v>315</c:v>
                </c:pt>
                <c:pt idx="25">
                  <c:v>305</c:v>
                </c:pt>
                <c:pt idx="26">
                  <c:v>268</c:v>
                </c:pt>
              </c:numCache>
            </c:numRef>
          </c:val>
          <c:smooth val="0"/>
        </c:ser>
        <c:ser>
          <c:idx val="1"/>
          <c:order val="1"/>
          <c:tx>
            <c:strRef>
              <c:f>'Delayed Discharges'!$A$142</c:f>
              <c:strCache>
                <c:ptCount val="1"/>
                <c:pt idx="0">
                  <c:v>&gt;3 days (excl. Code 9s &amp; 100s) - pre-definition change - Total incl. Other Local Authority Areas - NHS Lothian</c:v>
                </c:pt>
              </c:strCache>
            </c:strRef>
          </c:tx>
          <c:spPr>
            <a:ln w="19050">
              <a:solidFill>
                <a:srgbClr val="00A2F2"/>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Discharges'!$H$142:$Y$142</c:f>
              <c:numCache>
                <c:formatCode>0</c:formatCode>
                <c:ptCount val="18"/>
                <c:pt idx="0">
                  <c:v>169</c:v>
                </c:pt>
                <c:pt idx="1">
                  <c:v>181</c:v>
                </c:pt>
                <c:pt idx="2">
                  <c:v>167</c:v>
                </c:pt>
                <c:pt idx="3">
                  <c:v>131</c:v>
                </c:pt>
                <c:pt idx="4">
                  <c:v>147</c:v>
                </c:pt>
                <c:pt idx="5">
                  <c:v>124</c:v>
                </c:pt>
                <c:pt idx="6">
                  <c:v>82</c:v>
                </c:pt>
                <c:pt idx="7">
                  <c:v>113</c:v>
                </c:pt>
                <c:pt idx="8">
                  <c:v>147</c:v>
                </c:pt>
              </c:numCache>
            </c:numRef>
          </c:val>
          <c:smooth val="0"/>
        </c:ser>
        <c:ser>
          <c:idx val="2"/>
          <c:order val="2"/>
          <c:tx>
            <c:strRef>
              <c:f>'Delayed Discharges'!$A$137</c:f>
              <c:strCache>
                <c:ptCount val="1"/>
                <c:pt idx="0">
                  <c:v>&gt;3 days (excl. Code 9s &amp; 100s) - post-definition change - Total incl. Other Local Authority Areas - NHS Lothian</c:v>
                </c:pt>
              </c:strCache>
            </c:strRef>
          </c:tx>
          <c:spPr>
            <a:ln w="19050">
              <a:solidFill>
                <a:srgbClr val="0070C0"/>
              </a:solidFill>
            </a:ln>
          </c:spPr>
          <c:marker>
            <c:symbol val="none"/>
          </c:marker>
          <c:dLbls>
            <c:dLbl>
              <c:idx val="15"/>
              <c:delete val="1"/>
            </c:dLbl>
            <c:dLbl>
              <c:idx val="16"/>
              <c:delete val="1"/>
            </c:dLbl>
            <c:dLbl>
              <c:idx val="17"/>
              <c:delete val="1"/>
            </c:dLbl>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numCache>
            </c:numRef>
          </c:val>
          <c:smooth val="0"/>
        </c:ser>
        <c:dLbls>
          <c:showLegendKey val="0"/>
          <c:showVal val="0"/>
          <c:showCatName val="0"/>
          <c:showSerName val="0"/>
          <c:showPercent val="0"/>
          <c:showBubbleSize val="0"/>
        </c:dLbls>
        <c:marker val="1"/>
        <c:smooth val="0"/>
        <c:axId val="196142976"/>
        <c:axId val="196144512"/>
      </c:lineChart>
      <c:dateAx>
        <c:axId val="196142976"/>
        <c:scaling>
          <c:orientation val="minMax"/>
        </c:scaling>
        <c:delete val="0"/>
        <c:axPos val="b"/>
        <c:numFmt formatCode="mmm\ yy" sourceLinked="0"/>
        <c:majorTickMark val="none"/>
        <c:minorTickMark val="none"/>
        <c:tickLblPos val="nextTo"/>
        <c:txPr>
          <a:bodyPr rot="-5400000" vert="horz"/>
          <a:lstStyle/>
          <a:p>
            <a:pPr>
              <a:defRPr/>
            </a:pPr>
            <a:endParaRPr lang="en-US"/>
          </a:p>
        </c:txPr>
        <c:crossAx val="196144512"/>
        <c:crosses val="autoZero"/>
        <c:auto val="1"/>
        <c:lblOffset val="100"/>
        <c:baseTimeUnit val="months"/>
      </c:dateAx>
      <c:valAx>
        <c:axId val="196144512"/>
        <c:scaling>
          <c:orientation val="minMax"/>
        </c:scaling>
        <c:delete val="0"/>
        <c:axPos val="l"/>
        <c:numFmt formatCode="0" sourceLinked="1"/>
        <c:majorTickMark val="out"/>
        <c:minorTickMark val="none"/>
        <c:tickLblPos val="nextTo"/>
        <c:txPr>
          <a:bodyPr rot="0" vert="horz"/>
          <a:lstStyle/>
          <a:p>
            <a:pPr>
              <a:defRPr/>
            </a:pPr>
            <a:endParaRPr lang="en-US"/>
          </a:p>
        </c:txPr>
        <c:crossAx val="196142976"/>
        <c:crosses val="autoZero"/>
        <c:crossBetween val="between"/>
      </c:valAx>
    </c:plotArea>
    <c:legend>
      <c:legendPos val="r"/>
      <c:layout>
        <c:manualLayout>
          <c:xMode val="edge"/>
          <c:yMode val="edge"/>
          <c:x val="1.2643629581308187E-2"/>
          <c:y val="0.89387755102040811"/>
          <c:w val="0.97931035750052864"/>
          <c:h val="8.9795918367348765E-2"/>
        </c:manualLayout>
      </c:layout>
      <c:overlay val="0"/>
    </c:legend>
    <c:plotVisOnly val="1"/>
    <c:dispBlanksAs val="gap"/>
    <c:showDLblsOverMax val="0"/>
  </c:chart>
  <c:spPr>
    <a:ln>
      <a:noFill/>
    </a:ln>
  </c:spPr>
  <c:txPr>
    <a:bodyPr/>
    <a:lstStyle/>
    <a:p>
      <a:pPr>
        <a:defRPr sz="800" b="0" i="0" u="none" strike="noStrike" baseline="0">
          <a:solidFill>
            <a:sysClr val="windowText" lastClr="000000"/>
          </a:solidFill>
          <a:latin typeface="Arial" pitchFamily="34" charset="0"/>
          <a:ea typeface="Calibri"/>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029706014778E-2"/>
          <c:y val="3.3333325415772892E-2"/>
          <c:w val="0.86245697844254809"/>
          <c:h val="0.68179722222222261"/>
        </c:manualLayout>
      </c:layout>
      <c:lineChart>
        <c:grouping val="standard"/>
        <c:varyColors val="0"/>
        <c:ser>
          <c:idx val="0"/>
          <c:order val="0"/>
          <c:tx>
            <c:v>NHS Lothian Four Hour Performance</c:v>
          </c:tx>
          <c:spPr>
            <a:ln w="25400">
              <a:solidFill>
                <a:srgbClr val="0070C0"/>
              </a:solidFill>
              <a:prstDash val="solid"/>
            </a:ln>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WT'!$B$25:$AW$25</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pt idx="31">
                  <c:v>0.89300000000000002</c:v>
                </c:pt>
                <c:pt idx="32">
                  <c:v>0.75900000000000001</c:v>
                </c:pt>
              </c:numCache>
            </c:numRef>
          </c:val>
          <c:smooth val="0"/>
        </c:ser>
        <c:ser>
          <c:idx val="5"/>
          <c:order val="3"/>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4"/>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86058624"/>
        <c:axId val="186060160"/>
      </c:lineChart>
      <c:lineChart>
        <c:grouping val="standard"/>
        <c:varyColors val="0"/>
        <c:ser>
          <c:idx val="2"/>
          <c:order val="1"/>
          <c:tx>
            <c:strRef>
              <c:f>'Delayed Discharges'!$A$142</c:f>
              <c:strCache>
                <c:ptCount val="1"/>
                <c:pt idx="0">
                  <c:v>&gt;3 days (excl. Code 9s &amp; 100s) - pre-definition change - Total incl. Other Local Authority Areas - NHS Lothian</c:v>
                </c:pt>
              </c:strCache>
            </c:strRef>
          </c:tx>
          <c:spPr>
            <a:ln w="25400">
              <a:solidFill>
                <a:schemeClr val="bg1">
                  <a:lumMod val="65000"/>
                </a:schemeClr>
              </a:solidFill>
              <a:prstDash val="sysDot"/>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'Delayed Discharges'!$B$142:$P$142</c:f>
              <c:numCache>
                <c:formatCode>General</c:formatCode>
                <c:ptCount val="15"/>
                <c:pt idx="0">
                  <c:v>135</c:v>
                </c:pt>
                <c:pt idx="1">
                  <c:v>149</c:v>
                </c:pt>
                <c:pt idx="2">
                  <c:v>166</c:v>
                </c:pt>
                <c:pt idx="3">
                  <c:v>164</c:v>
                </c:pt>
                <c:pt idx="4">
                  <c:v>162</c:v>
                </c:pt>
                <c:pt idx="5">
                  <c:v>190</c:v>
                </c:pt>
                <c:pt idx="6" formatCode="0">
                  <c:v>169</c:v>
                </c:pt>
                <c:pt idx="7" formatCode="0">
                  <c:v>181</c:v>
                </c:pt>
                <c:pt idx="8" formatCode="0">
                  <c:v>167</c:v>
                </c:pt>
                <c:pt idx="9" formatCode="0">
                  <c:v>131</c:v>
                </c:pt>
                <c:pt idx="10" formatCode="0">
                  <c:v>147</c:v>
                </c:pt>
                <c:pt idx="11" formatCode="0">
                  <c:v>124</c:v>
                </c:pt>
                <c:pt idx="12" formatCode="0">
                  <c:v>82</c:v>
                </c:pt>
                <c:pt idx="13" formatCode="0">
                  <c:v>113</c:v>
                </c:pt>
                <c:pt idx="14" formatCode="0">
                  <c:v>147</c:v>
                </c:pt>
              </c:numCache>
            </c:numRef>
          </c:val>
          <c:smooth val="0"/>
        </c:ser>
        <c:ser>
          <c:idx val="1"/>
          <c:order val="2"/>
          <c:tx>
            <c:strRef>
              <c:f>'Delayed Discharges'!$A$137</c:f>
              <c:strCache>
                <c:ptCount val="1"/>
                <c:pt idx="0">
                  <c:v>&gt;3 days (excl. Code 9s &amp; 100s) - post-definition change - Total incl. Other Local Authority Areas - NHS Lothian</c:v>
                </c:pt>
              </c:strCache>
            </c:strRef>
          </c:tx>
          <c:spPr>
            <a:ln w="25400">
              <a:solidFill>
                <a:schemeClr val="bg1">
                  <a:lumMod val="65000"/>
                </a:schemeClr>
              </a:solidFill>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'Delayed Discharges'!$B$137:$AW$137</c:f>
              <c:numCache>
                <c:formatCode>General</c:formatCode>
                <c:ptCount val="48"/>
                <c:pt idx="15" formatCode="0">
                  <c:v>241</c:v>
                </c:pt>
                <c:pt idx="16" formatCode="0">
                  <c:v>232</c:v>
                </c:pt>
                <c:pt idx="17" formatCode="0">
                  <c:v>249</c:v>
                </c:pt>
                <c:pt idx="18" formatCode="0">
                  <c:v>236</c:v>
                </c:pt>
                <c:pt idx="19" formatCode="0">
                  <c:v>208</c:v>
                </c:pt>
                <c:pt idx="20" formatCode="0">
                  <c:v>240</c:v>
                </c:pt>
                <c:pt idx="21" formatCode="0">
                  <c:v>261</c:v>
                </c:pt>
                <c:pt idx="22" formatCode="0">
                  <c:v>230</c:v>
                </c:pt>
                <c:pt idx="23" formatCode="0">
                  <c:v>225</c:v>
                </c:pt>
                <c:pt idx="24" formatCode="0">
                  <c:v>204</c:v>
                </c:pt>
                <c:pt idx="25" formatCode="0">
                  <c:v>186</c:v>
                </c:pt>
                <c:pt idx="26" formatCode="0">
                  <c:v>213</c:v>
                </c:pt>
                <c:pt idx="27" formatCode="0">
                  <c:v>200</c:v>
                </c:pt>
                <c:pt idx="28" formatCode="0">
                  <c:v>218</c:v>
                </c:pt>
                <c:pt idx="29" formatCode="0">
                  <c:v>230</c:v>
                </c:pt>
                <c:pt idx="30" formatCode="0">
                  <c:v>239</c:v>
                </c:pt>
                <c:pt idx="31" formatCode="0">
                  <c:v>231</c:v>
                </c:pt>
                <c:pt idx="32" formatCode="0">
                  <c:v>224</c:v>
                </c:pt>
              </c:numCache>
            </c:numRef>
          </c:val>
          <c:smooth val="0"/>
        </c:ser>
        <c:dLbls>
          <c:showLegendKey val="0"/>
          <c:showVal val="0"/>
          <c:showCatName val="0"/>
          <c:showSerName val="0"/>
          <c:showPercent val="0"/>
          <c:showBubbleSize val="0"/>
        </c:dLbls>
        <c:marker val="1"/>
        <c:smooth val="0"/>
        <c:axId val="186066048"/>
        <c:axId val="186067584"/>
      </c:lineChart>
      <c:dateAx>
        <c:axId val="1860586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6060160"/>
        <c:crosses val="autoZero"/>
        <c:auto val="1"/>
        <c:lblOffset val="100"/>
        <c:baseTimeUnit val="months"/>
        <c:majorUnit val="1"/>
        <c:majorTimeUnit val="months"/>
      </c:dateAx>
      <c:valAx>
        <c:axId val="186060160"/>
        <c:scaling>
          <c:orientation val="minMax"/>
          <c:max val="1"/>
          <c:min val="0.70000000000000029"/>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6058624"/>
        <c:crosses val="autoZero"/>
        <c:crossBetween val="between"/>
        <c:majorUnit val="2.0000000000000011E-2"/>
      </c:valAx>
      <c:dateAx>
        <c:axId val="186066048"/>
        <c:scaling>
          <c:orientation val="minMax"/>
        </c:scaling>
        <c:delete val="1"/>
        <c:axPos val="b"/>
        <c:numFmt formatCode="mmm\ yy" sourceLinked="1"/>
        <c:majorTickMark val="out"/>
        <c:minorTickMark val="none"/>
        <c:tickLblPos val="none"/>
        <c:crossAx val="186067584"/>
        <c:crosses val="autoZero"/>
        <c:auto val="1"/>
        <c:lblOffset val="100"/>
        <c:baseTimeUnit val="months"/>
      </c:dateAx>
      <c:valAx>
        <c:axId val="186067584"/>
        <c:scaling>
          <c:orientation val="minMax"/>
        </c:scaling>
        <c:delete val="0"/>
        <c:axPos val="r"/>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6066048"/>
        <c:crosses val="max"/>
        <c:crossBetween val="between"/>
      </c:valAx>
    </c:plotArea>
    <c:legend>
      <c:legendPos val="b"/>
      <c:layout>
        <c:manualLayout>
          <c:xMode val="edge"/>
          <c:yMode val="edge"/>
          <c:x val="0"/>
          <c:y val="0.8400105555555557"/>
          <c:w val="1"/>
          <c:h val="0.1599894444444476"/>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71379141625164E-2"/>
          <c:y val="4.1971112637288845E-2"/>
          <c:w val="0.92580371309822862"/>
          <c:h val="0.70137510588954155"/>
        </c:manualLayout>
      </c:layout>
      <c:lineChart>
        <c:grouping val="standard"/>
        <c:varyColors val="0"/>
        <c:ser>
          <c:idx val="0"/>
          <c:order val="0"/>
          <c:tx>
            <c:strRef>
              <c:f>'Delayed Discharges'!$A$46</c:f>
              <c:strCache>
                <c:ptCount val="1"/>
                <c:pt idx="0">
                  <c:v>Total Delayed Discharges (incl. Code 9s, excl. Code 100s)</c:v>
                </c:pt>
              </c:strCache>
            </c:strRef>
          </c:tx>
          <c:spPr>
            <a:ln w="25400"/>
          </c:spPr>
          <c:marker>
            <c:symbol val="circle"/>
            <c:size val="5"/>
            <c:spPr>
              <a:ln w="25400"/>
            </c:spPr>
          </c:marker>
          <c:dPt>
            <c:idx val="0"/>
            <c:marker>
              <c:spPr>
                <a:solidFill>
                  <a:srgbClr val="0070C0"/>
                </a:solidFill>
                <a:ln w="25400"/>
              </c:spPr>
            </c:marker>
            <c:bubble3D val="0"/>
            <c:spPr>
              <a:ln w="25400">
                <a:solidFill>
                  <a:srgbClr val="0070C0"/>
                </a:solidFill>
              </a:ln>
            </c:spPr>
          </c:dPt>
          <c:dPt>
            <c:idx val="1"/>
            <c:marker>
              <c:spPr>
                <a:solidFill>
                  <a:srgbClr val="0070C0"/>
                </a:solidFill>
                <a:ln w="25400"/>
              </c:spPr>
            </c:marker>
            <c:bubble3D val="0"/>
            <c:spPr>
              <a:ln w="25400">
                <a:solidFill>
                  <a:srgbClr val="0070C0"/>
                </a:solidFill>
              </a:ln>
            </c:spPr>
          </c:dPt>
          <c:dPt>
            <c:idx val="2"/>
            <c:marker>
              <c:spPr>
                <a:solidFill>
                  <a:srgbClr val="0070C0"/>
                </a:solidFill>
                <a:ln w="25400"/>
              </c:spPr>
            </c:marker>
            <c:bubble3D val="0"/>
            <c:spPr>
              <a:ln w="25400">
                <a:solidFill>
                  <a:srgbClr val="0070C0"/>
                </a:solidFill>
              </a:ln>
            </c:spPr>
          </c:dPt>
          <c:dPt>
            <c:idx val="3"/>
            <c:marker>
              <c:spPr>
                <a:solidFill>
                  <a:srgbClr val="0070C0"/>
                </a:solidFill>
                <a:ln w="25400"/>
              </c:spPr>
            </c:marker>
            <c:bubble3D val="0"/>
            <c:spPr>
              <a:ln w="25400">
                <a:solidFill>
                  <a:srgbClr val="0070C0"/>
                </a:solidFill>
              </a:ln>
            </c:spPr>
          </c:dPt>
          <c:dPt>
            <c:idx val="4"/>
            <c:marker>
              <c:spPr>
                <a:solidFill>
                  <a:srgbClr val="0070C0"/>
                </a:solidFill>
                <a:ln w="25400"/>
              </c:spPr>
            </c:marker>
            <c:bubble3D val="0"/>
            <c:spPr>
              <a:ln w="25400">
                <a:solidFill>
                  <a:srgbClr val="0070C0"/>
                </a:solidFill>
              </a:ln>
            </c:spPr>
          </c:dPt>
          <c:dPt>
            <c:idx val="5"/>
            <c:marker>
              <c:spPr>
                <a:solidFill>
                  <a:srgbClr val="0070C0"/>
                </a:solidFill>
                <a:ln w="25400"/>
              </c:spPr>
            </c:marker>
            <c:bubble3D val="0"/>
            <c:spPr>
              <a:ln w="25400">
                <a:solidFill>
                  <a:srgbClr val="0070C0"/>
                </a:solidFill>
              </a:ln>
            </c:spPr>
          </c:dPt>
          <c:dPt>
            <c:idx val="6"/>
            <c:marker>
              <c:spPr>
                <a:solidFill>
                  <a:srgbClr val="0070C0"/>
                </a:solidFill>
                <a:ln w="25400"/>
              </c:spPr>
            </c:marker>
            <c:bubble3D val="0"/>
            <c:spPr>
              <a:ln w="25400">
                <a:solidFill>
                  <a:srgbClr val="0070C0"/>
                </a:solidFill>
              </a:ln>
            </c:spPr>
          </c:dPt>
          <c:dPt>
            <c:idx val="7"/>
            <c:marker>
              <c:spPr>
                <a:solidFill>
                  <a:srgbClr val="0070C0"/>
                </a:solidFill>
                <a:ln w="25400"/>
              </c:spPr>
            </c:marker>
            <c:bubble3D val="0"/>
            <c:spPr>
              <a:ln w="25400">
                <a:solidFill>
                  <a:srgbClr val="0070C0"/>
                </a:solidFill>
              </a:ln>
            </c:spPr>
          </c:dPt>
          <c:dPt>
            <c:idx val="8"/>
            <c:marker>
              <c:spPr>
                <a:solidFill>
                  <a:srgbClr val="0070C0"/>
                </a:solidFill>
                <a:ln w="25400"/>
              </c:spPr>
            </c:marker>
            <c:bubble3D val="0"/>
            <c:spPr>
              <a:ln w="25400">
                <a:solidFill>
                  <a:srgbClr val="0070C0"/>
                </a:solidFill>
              </a:ln>
            </c:spPr>
          </c:dPt>
          <c:dPt>
            <c:idx val="9"/>
            <c:marker>
              <c:spPr>
                <a:solidFill>
                  <a:srgbClr val="0070C0"/>
                </a:solidFill>
                <a:ln w="25400"/>
              </c:spPr>
            </c:marker>
            <c:bubble3D val="0"/>
            <c:spPr>
              <a:ln w="25400">
                <a:solidFill>
                  <a:srgbClr val="0070C0"/>
                </a:solidFill>
              </a:ln>
            </c:spPr>
          </c:dPt>
          <c:dPt>
            <c:idx val="10"/>
            <c:marker>
              <c:spPr>
                <a:solidFill>
                  <a:srgbClr val="0070C0"/>
                </a:solidFill>
                <a:ln w="25400"/>
              </c:spPr>
            </c:marker>
            <c:bubble3D val="0"/>
            <c:spPr>
              <a:ln w="25400">
                <a:solidFill>
                  <a:srgbClr val="0070C0"/>
                </a:solidFill>
              </a:ln>
            </c:spPr>
          </c:dPt>
          <c:dPt>
            <c:idx val="11"/>
            <c:marker>
              <c:spPr>
                <a:solidFill>
                  <a:srgbClr val="0070C0"/>
                </a:solidFill>
                <a:ln w="25400"/>
              </c:spPr>
            </c:marker>
            <c:bubble3D val="0"/>
            <c:spPr>
              <a:ln w="25400">
                <a:solidFill>
                  <a:srgbClr val="0070C0"/>
                </a:solidFill>
              </a:ln>
            </c:spPr>
          </c:dPt>
          <c:dPt>
            <c:idx val="12"/>
            <c:marker>
              <c:spPr>
                <a:solidFill>
                  <a:srgbClr val="0070C0"/>
                </a:solidFill>
                <a:ln w="25400"/>
              </c:spPr>
            </c:marker>
            <c:bubble3D val="0"/>
            <c:spPr>
              <a:ln w="25400">
                <a:solidFill>
                  <a:srgbClr val="0070C0"/>
                </a:solidFill>
              </a:ln>
            </c:spPr>
          </c:dPt>
          <c:dPt>
            <c:idx val="13"/>
            <c:marker>
              <c:spPr>
                <a:solidFill>
                  <a:srgbClr val="0070C0"/>
                </a:solidFill>
                <a:ln w="25400"/>
              </c:spPr>
            </c:marker>
            <c:bubble3D val="0"/>
            <c:spPr>
              <a:ln w="25400">
                <a:solidFill>
                  <a:srgbClr val="0070C0"/>
                </a:solidFill>
              </a:ln>
            </c:spPr>
          </c:dPt>
          <c:dPt>
            <c:idx val="14"/>
            <c:marker>
              <c:spPr>
                <a:solidFill>
                  <a:srgbClr val="0070C0"/>
                </a:solidFill>
                <a:ln w="25400"/>
              </c:spPr>
            </c:marker>
            <c:bubble3D val="0"/>
            <c:spPr>
              <a:ln w="25400">
                <a:solidFill>
                  <a:srgbClr val="0070C0"/>
                </a:solidFill>
              </a:ln>
            </c:spPr>
          </c:dPt>
          <c:dPt>
            <c:idx val="15"/>
            <c:marker>
              <c:spPr>
                <a:solidFill>
                  <a:srgbClr val="0070C0"/>
                </a:solidFill>
                <a:ln w="25400"/>
              </c:spPr>
            </c:marker>
            <c:bubble3D val="0"/>
            <c:spPr>
              <a:ln w="25400">
                <a:solidFill>
                  <a:srgbClr val="0070C0"/>
                </a:solidFill>
              </a:ln>
            </c:spPr>
          </c:dPt>
          <c:dPt>
            <c:idx val="16"/>
            <c:marker>
              <c:spPr>
                <a:solidFill>
                  <a:srgbClr val="0070C0"/>
                </a:solidFill>
                <a:ln w="25400"/>
              </c:spPr>
            </c:marker>
            <c:bubble3D val="0"/>
            <c:spPr>
              <a:ln w="25400">
                <a:solidFill>
                  <a:srgbClr val="0070C0"/>
                </a:solidFill>
              </a:ln>
            </c:spPr>
          </c:dPt>
          <c:dPt>
            <c:idx val="17"/>
            <c:marker>
              <c:spPr>
                <a:solidFill>
                  <a:srgbClr val="0070C0"/>
                </a:solidFill>
                <a:ln w="25400"/>
              </c:spPr>
            </c:marker>
            <c:bubble3D val="0"/>
            <c:spPr>
              <a:ln w="25400">
                <a:solidFill>
                  <a:srgbClr val="0070C0"/>
                </a:solidFill>
              </a:ln>
            </c:spPr>
          </c:dPt>
          <c:dPt>
            <c:idx val="18"/>
            <c:marker>
              <c:spPr>
                <a:solidFill>
                  <a:srgbClr val="0070C0"/>
                </a:solidFill>
                <a:ln w="25400"/>
              </c:spPr>
            </c:marker>
            <c:bubble3D val="0"/>
            <c:spPr>
              <a:ln w="25400">
                <a:solidFill>
                  <a:srgbClr val="0070C0"/>
                </a:solidFill>
              </a:ln>
            </c:spPr>
          </c:dPt>
          <c:dPt>
            <c:idx val="19"/>
            <c:marker>
              <c:spPr>
                <a:solidFill>
                  <a:srgbClr val="0070C0"/>
                </a:solidFill>
                <a:ln w="25400"/>
              </c:spPr>
            </c:marker>
            <c:bubble3D val="0"/>
            <c:spPr>
              <a:ln w="25400">
                <a:solidFill>
                  <a:srgbClr val="0070C0"/>
                </a:solidFill>
              </a:ln>
            </c:spPr>
          </c:dPt>
          <c:dPt>
            <c:idx val="20"/>
            <c:marker>
              <c:spPr>
                <a:solidFill>
                  <a:srgbClr val="0070C0"/>
                </a:solidFill>
                <a:ln w="25400"/>
              </c:spPr>
            </c:marker>
            <c:bubble3D val="0"/>
            <c:spPr>
              <a:ln w="25400">
                <a:solidFill>
                  <a:srgbClr val="0070C0"/>
                </a:solidFill>
              </a:ln>
            </c:spPr>
          </c:dPt>
          <c:dPt>
            <c:idx val="21"/>
            <c:marker>
              <c:spPr>
                <a:solidFill>
                  <a:srgbClr val="0070C0"/>
                </a:solidFill>
                <a:ln w="25400"/>
              </c:spPr>
            </c:marker>
            <c:bubble3D val="0"/>
            <c:spPr>
              <a:ln w="25400">
                <a:solidFill>
                  <a:srgbClr val="0070C0"/>
                </a:solidFill>
              </a:ln>
            </c:spPr>
          </c:dPt>
          <c:dPt>
            <c:idx val="22"/>
            <c:marker>
              <c:spPr>
                <a:solidFill>
                  <a:srgbClr val="0070C0"/>
                </a:solidFill>
                <a:ln w="25400"/>
              </c:spPr>
            </c:marker>
            <c:bubble3D val="0"/>
            <c:spPr>
              <a:ln w="25400">
                <a:solidFill>
                  <a:srgbClr val="0070C0"/>
                </a:solidFill>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Discharges'!$B$46:$AQ$46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formatCode="#,##0">
                  <c:v>287</c:v>
                </c:pt>
                <c:pt idx="20" formatCode="#,##0">
                  <c:v>274</c:v>
                </c:pt>
                <c:pt idx="21" formatCode="#,##0">
                  <c:v>245</c:v>
                </c:pt>
                <c:pt idx="22" formatCode="#,##0">
                  <c:v>259</c:v>
                </c:pt>
                <c:pt idx="23" formatCode="#,##0">
                  <c:v>316</c:v>
                </c:pt>
                <c:pt idx="24" formatCode="#,##0">
                  <c:v>315</c:v>
                </c:pt>
                <c:pt idx="25" formatCode="#,##0">
                  <c:v>305</c:v>
                </c:pt>
                <c:pt idx="26" formatCode="#,##0">
                  <c:v>268</c:v>
                </c:pt>
              </c:numCache>
            </c:numRef>
          </c:val>
          <c:smooth val="0"/>
        </c:ser>
        <c:ser>
          <c:idx val="1"/>
          <c:order val="1"/>
          <c:tx>
            <c:strRef>
              <c:f>'Delayed Discharges'!$A$47</c:f>
              <c:strCache>
                <c:ptCount val="1"/>
                <c:pt idx="0">
                  <c:v>Baseline Median </c:v>
                </c:pt>
              </c:strCache>
            </c:strRef>
          </c:tx>
          <c:spPr>
            <a:ln w="25400">
              <a:solidFill>
                <a:schemeClr val="tx1"/>
              </a:solidFill>
              <a:prstDash val="solid"/>
            </a:ln>
          </c:spPr>
          <c:marker>
            <c:symbol val="none"/>
          </c:marker>
          <c:dPt>
            <c:idx val="12"/>
            <c:bubble3D val="0"/>
            <c:spPr>
              <a:ln w="25400">
                <a:noFill/>
                <a:prstDash val="solid"/>
              </a:ln>
            </c:spPr>
          </c:dPt>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Discharges'!$B$47:$N$47</c:f>
              <c:numCache>
                <c:formatCode>0</c:formatCode>
                <c:ptCount val="13"/>
                <c:pt idx="0">
                  <c:v>265.5</c:v>
                </c:pt>
                <c:pt idx="1">
                  <c:v>265.5</c:v>
                </c:pt>
                <c:pt idx="2">
                  <c:v>265.5</c:v>
                </c:pt>
                <c:pt idx="3">
                  <c:v>265.5</c:v>
                </c:pt>
                <c:pt idx="4">
                  <c:v>265.5</c:v>
                </c:pt>
                <c:pt idx="5">
                  <c:v>265.5</c:v>
                </c:pt>
                <c:pt idx="6">
                  <c:v>265.5</c:v>
                </c:pt>
                <c:pt idx="7">
                  <c:v>265.5</c:v>
                </c:pt>
                <c:pt idx="8">
                  <c:v>265.5</c:v>
                </c:pt>
                <c:pt idx="9">
                  <c:v>265.5</c:v>
                </c:pt>
                <c:pt idx="10">
                  <c:v>265.5</c:v>
                </c:pt>
                <c:pt idx="11">
                  <c:v>265.5</c:v>
                </c:pt>
                <c:pt idx="12">
                  <c:v>265.5</c:v>
                </c:pt>
              </c:numCache>
            </c:numRef>
          </c:val>
          <c:smooth val="0"/>
        </c:ser>
        <c:ser>
          <c:idx val="2"/>
          <c:order val="2"/>
          <c:tx>
            <c:strRef>
              <c:f>'Delayed Discharges'!$A$48</c:f>
              <c:strCache>
                <c:ptCount val="1"/>
                <c:pt idx="0">
                  <c:v>New Median</c:v>
                </c:pt>
              </c:strCache>
            </c:strRef>
          </c:tx>
          <c:spPr>
            <a:ln w="25400">
              <a:solidFill>
                <a:srgbClr val="E69F00"/>
              </a:solidFill>
              <a:prstDash val="solid"/>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Discharges'!$B$48:$AQ$48</c:f>
              <c:numCache>
                <c:formatCode>0</c:formatCode>
                <c:ptCount val="42"/>
                <c:pt idx="12">
                  <c:v>293</c:v>
                </c:pt>
                <c:pt idx="13">
                  <c:v>293</c:v>
                </c:pt>
                <c:pt idx="14">
                  <c:v>293</c:v>
                </c:pt>
                <c:pt idx="15">
                  <c:v>293</c:v>
                </c:pt>
                <c:pt idx="16">
                  <c:v>293</c:v>
                </c:pt>
                <c:pt idx="17">
                  <c:v>293</c:v>
                </c:pt>
                <c:pt idx="18">
                  <c:v>293</c:v>
                </c:pt>
                <c:pt idx="19">
                  <c:v>293</c:v>
                </c:pt>
                <c:pt idx="20">
                  <c:v>293</c:v>
                </c:pt>
                <c:pt idx="21">
                  <c:v>293</c:v>
                </c:pt>
                <c:pt idx="22">
                  <c:v>293</c:v>
                </c:pt>
                <c:pt idx="23">
                  <c:v>293</c:v>
                </c:pt>
                <c:pt idx="24">
                  <c:v>293</c:v>
                </c:pt>
              </c:numCache>
            </c:numRef>
          </c:val>
          <c:smooth val="0"/>
        </c:ser>
        <c:ser>
          <c:idx val="3"/>
          <c:order val="3"/>
          <c:tx>
            <c:strRef>
              <c:f>'Delayed Discharges'!$A$49</c:f>
              <c:strCache>
                <c:ptCount val="1"/>
                <c:pt idx="0">
                  <c:v>Extended New Median</c:v>
                </c:pt>
              </c:strCache>
            </c:strRef>
          </c:tx>
          <c:spPr>
            <a:ln w="25400">
              <a:solidFill>
                <a:srgbClr val="E69F00"/>
              </a:solidFill>
              <a:prstDash val="dash"/>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Discharges'!$B$49:$AQ$49</c:f>
              <c:numCache>
                <c:formatCode>0</c:formatCode>
                <c:ptCount val="42"/>
                <c:pt idx="24">
                  <c:v>293</c:v>
                </c:pt>
                <c:pt idx="25">
                  <c:v>293</c:v>
                </c:pt>
                <c:pt idx="26">
                  <c:v>293</c:v>
                </c:pt>
              </c:numCache>
            </c:numRef>
          </c:val>
          <c:smooth val="0"/>
        </c:ser>
        <c:dLbls>
          <c:showLegendKey val="0"/>
          <c:showVal val="0"/>
          <c:showCatName val="0"/>
          <c:showSerName val="0"/>
          <c:showPercent val="0"/>
          <c:showBubbleSize val="0"/>
        </c:dLbls>
        <c:marker val="1"/>
        <c:smooth val="0"/>
        <c:axId val="199131520"/>
        <c:axId val="199133056"/>
      </c:lineChart>
      <c:dateAx>
        <c:axId val="199131520"/>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9133056"/>
        <c:crosses val="autoZero"/>
        <c:auto val="1"/>
        <c:lblOffset val="100"/>
        <c:baseTimeUnit val="months"/>
      </c:dateAx>
      <c:valAx>
        <c:axId val="199133056"/>
        <c:scaling>
          <c:orientation val="minMax"/>
          <c:min val="2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9131520"/>
        <c:crosses val="autoZero"/>
        <c:crossBetween val="between"/>
      </c:valAx>
    </c:plotArea>
    <c:legend>
      <c:legendPos val="r"/>
      <c:layout>
        <c:manualLayout>
          <c:xMode val="edge"/>
          <c:yMode val="edge"/>
          <c:x val="1.3733371531425165E-2"/>
          <c:y val="0.89417989417989896"/>
          <c:w val="0.97903850772787893"/>
          <c:h val="0.10229276895943624"/>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926"/>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numCache>
            </c:numRef>
          </c:val>
          <c:smooth val="0"/>
        </c:ser>
        <c:ser>
          <c:idx val="0"/>
          <c:order val="2"/>
          <c:tx>
            <c:strRef>
              <c:f>'Delayed Discharges'!$A$138</c:f>
              <c:strCache>
                <c:ptCount val="1"/>
                <c:pt idx="0">
                  <c:v>&gt;3 days (excl. Code 9s &amp; 100s) - post-definition change - Total incl. Other Local Authority Areas - East Lothian</c:v>
                </c:pt>
              </c:strCache>
            </c:strRef>
          </c:tx>
          <c:spPr>
            <a:ln w="25400">
              <a:solidFill>
                <a:srgbClr val="0070C0"/>
              </a:solidFill>
              <a:prstDash val="sysDash"/>
            </a:ln>
          </c:spPr>
          <c:marker>
            <c:spPr>
              <a:solidFill>
                <a:srgbClr val="0070C0"/>
              </a:solidFill>
            </c:spPr>
          </c:marker>
          <c:dLbls>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Discharges'!$H$138:$AW$138</c:f>
              <c:numCache>
                <c:formatCode>0</c:formatCode>
                <c:ptCount val="42"/>
                <c:pt idx="9">
                  <c:v>35</c:v>
                </c:pt>
                <c:pt idx="10">
                  <c:v>47</c:v>
                </c:pt>
                <c:pt idx="11">
                  <c:v>44</c:v>
                </c:pt>
                <c:pt idx="12">
                  <c:v>31</c:v>
                </c:pt>
                <c:pt idx="13">
                  <c:v>21</c:v>
                </c:pt>
                <c:pt idx="14">
                  <c:v>35</c:v>
                </c:pt>
                <c:pt idx="15">
                  <c:v>28</c:v>
                </c:pt>
                <c:pt idx="16">
                  <c:v>24</c:v>
                </c:pt>
                <c:pt idx="17">
                  <c:v>15</c:v>
                </c:pt>
                <c:pt idx="18">
                  <c:v>17</c:v>
                </c:pt>
                <c:pt idx="19">
                  <c:v>8</c:v>
                </c:pt>
                <c:pt idx="20">
                  <c:v>11</c:v>
                </c:pt>
                <c:pt idx="21">
                  <c:v>12</c:v>
                </c:pt>
                <c:pt idx="22">
                  <c:v>17</c:v>
                </c:pt>
                <c:pt idx="23">
                  <c:v>23</c:v>
                </c:pt>
                <c:pt idx="24">
                  <c:v>24</c:v>
                </c:pt>
                <c:pt idx="25">
                  <c:v>15</c:v>
                </c:pt>
                <c:pt idx="26">
                  <c:v>14</c:v>
                </c:pt>
              </c:numCache>
            </c:numRef>
          </c:val>
          <c:smooth val="0"/>
        </c:ser>
        <c:dLbls>
          <c:showLegendKey val="0"/>
          <c:showVal val="0"/>
          <c:showCatName val="0"/>
          <c:showSerName val="0"/>
          <c:showPercent val="0"/>
          <c:showBubbleSize val="0"/>
        </c:dLbls>
        <c:marker val="1"/>
        <c:smooth val="0"/>
        <c:axId val="199174400"/>
        <c:axId val="199188480"/>
      </c:lineChart>
      <c:dateAx>
        <c:axId val="199174400"/>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9188480"/>
        <c:crosses val="autoZero"/>
        <c:auto val="1"/>
        <c:lblOffset val="100"/>
        <c:baseTimeUnit val="months"/>
      </c:dateAx>
      <c:valAx>
        <c:axId val="199188480"/>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9174400"/>
        <c:crosses val="autoZero"/>
        <c:crossBetween val="between"/>
      </c:valAx>
    </c:plotArea>
    <c:legend>
      <c:legendPos val="r"/>
      <c:layout>
        <c:manualLayout>
          <c:xMode val="edge"/>
          <c:yMode val="edge"/>
          <c:x val="2.8230241892310392E-2"/>
          <c:y val="0.89876543209878756"/>
          <c:w val="0.92616725555391566"/>
          <c:h val="9.3827160493828971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937556825004824E-2"/>
          <c:y val="4.0618711723534574E-2"/>
          <c:w val="0.91999393866616364"/>
          <c:h val="0.72411608705161856"/>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numCache>
            </c:numRef>
          </c:val>
          <c:smooth val="0"/>
        </c:ser>
        <c:ser>
          <c:idx val="0"/>
          <c:order val="2"/>
          <c:tx>
            <c:strRef>
              <c:f>'Delayed Discharges'!$A$140</c:f>
              <c:strCache>
                <c:ptCount val="1"/>
                <c:pt idx="0">
                  <c:v>&gt;3 days (excl. Code 9s &amp; 100s) - post-definition change - Total incl. Other Local Authority Areas - Midlothian</c:v>
                </c:pt>
              </c:strCache>
            </c:strRef>
          </c:tx>
          <c:spPr>
            <a:ln w="25400">
              <a:solidFill>
                <a:srgbClr val="0070C0"/>
              </a:solidFill>
              <a:prstDash val="sysDash"/>
            </a:ln>
          </c:spPr>
          <c:marker>
            <c:spPr>
              <a:solidFill>
                <a:srgbClr val="0070C0"/>
              </a:solidFill>
            </c:spPr>
          </c:marker>
          <c:dLbls>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Discharges'!$H$140:$AW$140</c:f>
              <c:numCache>
                <c:formatCode>0</c:formatCode>
                <c:ptCount val="42"/>
                <c:pt idx="9">
                  <c:v>15</c:v>
                </c:pt>
                <c:pt idx="10">
                  <c:v>13</c:v>
                </c:pt>
                <c:pt idx="11">
                  <c:v>25</c:v>
                </c:pt>
                <c:pt idx="12">
                  <c:v>12</c:v>
                </c:pt>
                <c:pt idx="13">
                  <c:v>13</c:v>
                </c:pt>
                <c:pt idx="14">
                  <c:v>17</c:v>
                </c:pt>
                <c:pt idx="15">
                  <c:v>9</c:v>
                </c:pt>
                <c:pt idx="16">
                  <c:v>10</c:v>
                </c:pt>
                <c:pt idx="17">
                  <c:v>20</c:v>
                </c:pt>
                <c:pt idx="18">
                  <c:v>22</c:v>
                </c:pt>
                <c:pt idx="19">
                  <c:v>29</c:v>
                </c:pt>
                <c:pt idx="20">
                  <c:v>24</c:v>
                </c:pt>
                <c:pt idx="21">
                  <c:v>24</c:v>
                </c:pt>
                <c:pt idx="22">
                  <c:v>17</c:v>
                </c:pt>
                <c:pt idx="23">
                  <c:v>22</c:v>
                </c:pt>
                <c:pt idx="24">
                  <c:v>20</c:v>
                </c:pt>
                <c:pt idx="25">
                  <c:v>27</c:v>
                </c:pt>
                <c:pt idx="26">
                  <c:v>26</c:v>
                </c:pt>
              </c:numCache>
            </c:numRef>
          </c:val>
          <c:smooth val="0"/>
        </c:ser>
        <c:dLbls>
          <c:showLegendKey val="0"/>
          <c:showVal val="0"/>
          <c:showCatName val="0"/>
          <c:showSerName val="0"/>
          <c:showPercent val="0"/>
          <c:showBubbleSize val="0"/>
        </c:dLbls>
        <c:marker val="1"/>
        <c:smooth val="0"/>
        <c:axId val="199226112"/>
        <c:axId val="199227648"/>
      </c:lineChart>
      <c:dateAx>
        <c:axId val="199226112"/>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9227648"/>
        <c:crosses val="autoZero"/>
        <c:auto val="1"/>
        <c:lblOffset val="100"/>
        <c:baseTimeUnit val="months"/>
      </c:dateAx>
      <c:valAx>
        <c:axId val="199227648"/>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9226112"/>
        <c:crosses val="autoZero"/>
        <c:crossBetween val="between"/>
      </c:valAx>
    </c:plotArea>
    <c:legend>
      <c:legendPos val="r"/>
      <c:layout>
        <c:manualLayout>
          <c:xMode val="edge"/>
          <c:yMode val="edge"/>
          <c:x val="1.3071850031976445E-2"/>
          <c:y val="0.87239595050620589"/>
          <c:w val="0.96187367428024162"/>
          <c:h val="0.11979169270507529"/>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24290198049114E-2"/>
          <c:y val="4.0618805002315878E-2"/>
          <c:w val="0.91260240984728358"/>
          <c:h val="0.72761550260762864"/>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pt idx="25">
                  <c:v>231</c:v>
                </c:pt>
                <c:pt idx="26">
                  <c:v>224</c:v>
                </c:pt>
              </c:numCache>
            </c:numRef>
          </c:val>
          <c:smooth val="0"/>
        </c:ser>
        <c:ser>
          <c:idx val="0"/>
          <c:order val="2"/>
          <c:tx>
            <c:strRef>
              <c:f>'Delayed Discharges'!$A$141</c:f>
              <c:strCache>
                <c:ptCount val="1"/>
                <c:pt idx="0">
                  <c:v>&gt;3 days (excl. Code 9s &amp; 100s) - post-definition change - Total incl. Other Local Authority Areas - West Lothian</c:v>
                </c:pt>
              </c:strCache>
            </c:strRef>
          </c:tx>
          <c:spPr>
            <a:ln w="25400">
              <a:solidFill>
                <a:srgbClr val="0070C0"/>
              </a:solidFill>
              <a:prstDash val="sysDash"/>
            </a:ln>
          </c:spPr>
          <c:marker>
            <c:spPr>
              <a:solidFill>
                <a:srgbClr val="0070C0"/>
              </a:solidFill>
            </c:spPr>
          </c:marker>
          <c:dLbls>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numCache>
            </c:numRef>
          </c:cat>
          <c:val>
            <c:numRef>
              <c:f>'Delayed Discharges'!$H$141:$AW$141</c:f>
              <c:numCache>
                <c:formatCode>0</c:formatCode>
                <c:ptCount val="42"/>
                <c:pt idx="9">
                  <c:v>33</c:v>
                </c:pt>
                <c:pt idx="10">
                  <c:v>23</c:v>
                </c:pt>
                <c:pt idx="11">
                  <c:v>23</c:v>
                </c:pt>
                <c:pt idx="12">
                  <c:v>23</c:v>
                </c:pt>
                <c:pt idx="13">
                  <c:v>26</c:v>
                </c:pt>
                <c:pt idx="14">
                  <c:v>17</c:v>
                </c:pt>
                <c:pt idx="15">
                  <c:v>36</c:v>
                </c:pt>
                <c:pt idx="16">
                  <c:v>24</c:v>
                </c:pt>
                <c:pt idx="17">
                  <c:v>27</c:v>
                </c:pt>
                <c:pt idx="18">
                  <c:v>24</c:v>
                </c:pt>
                <c:pt idx="19">
                  <c:v>16</c:v>
                </c:pt>
                <c:pt idx="20">
                  <c:v>24</c:v>
                </c:pt>
                <c:pt idx="21">
                  <c:v>30</c:v>
                </c:pt>
                <c:pt idx="22">
                  <c:v>40</c:v>
                </c:pt>
                <c:pt idx="23">
                  <c:v>36</c:v>
                </c:pt>
                <c:pt idx="24">
                  <c:v>52</c:v>
                </c:pt>
                <c:pt idx="25">
                  <c:v>40</c:v>
                </c:pt>
                <c:pt idx="26">
                  <c:v>30</c:v>
                </c:pt>
              </c:numCache>
            </c:numRef>
          </c:val>
          <c:smooth val="0"/>
        </c:ser>
        <c:dLbls>
          <c:showLegendKey val="0"/>
          <c:showVal val="0"/>
          <c:showCatName val="0"/>
          <c:showSerName val="0"/>
          <c:showPercent val="0"/>
          <c:showBubbleSize val="0"/>
        </c:dLbls>
        <c:marker val="1"/>
        <c:smooth val="0"/>
        <c:axId val="203991680"/>
        <c:axId val="204001664"/>
      </c:lineChart>
      <c:dateAx>
        <c:axId val="203991680"/>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4001664"/>
        <c:crosses val="autoZero"/>
        <c:auto val="1"/>
        <c:lblOffset val="100"/>
        <c:baseTimeUnit val="months"/>
      </c:dateAx>
      <c:valAx>
        <c:axId val="204001664"/>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3991680"/>
        <c:crosses val="autoZero"/>
        <c:crossBetween val="between"/>
      </c:valAx>
    </c:plotArea>
    <c:legend>
      <c:legendPos val="r"/>
      <c:layout>
        <c:manualLayout>
          <c:xMode val="edge"/>
          <c:yMode val="edge"/>
          <c:x val="5.5005252237626924E-3"/>
          <c:y val="0.88516907608771123"/>
          <c:w val="0.9427943061692966"/>
          <c:h val="0.1070388423669266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7355"/>
        </c:manualLayout>
      </c:layout>
      <c:lineChart>
        <c:grouping val="standard"/>
        <c:varyColors val="0"/>
        <c:ser>
          <c:idx val="1"/>
          <c:order val="0"/>
          <c:tx>
            <c:strRef>
              <c:f>Dementia!$A$11</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Dementia!$B$11:$AW$11</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2"/>
          <c:order val="1"/>
          <c:tx>
            <c:strRef>
              <c:f>Dementia!$A$12</c:f>
              <c:strCache>
                <c:ptCount val="1"/>
                <c:pt idx="0">
                  <c:v>East Lothian IJB</c:v>
                </c:pt>
              </c:strCache>
            </c:strRef>
          </c:tx>
          <c:spPr>
            <a:ln w="25400">
              <a:solidFill>
                <a:srgbClr val="0070C0"/>
              </a:solidFill>
              <a:prstDash val="sysDash"/>
            </a:ln>
          </c:spPr>
          <c:marker>
            <c:symbol val="none"/>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4.8413021166172854</c:v>
                </c:pt>
                <c:pt idx="1">
                  <c:v>7.7460833865876566</c:v>
                </c:pt>
                <c:pt idx="2">
                  <c:v>14.523906349851856</c:v>
                </c:pt>
                <c:pt idx="3">
                  <c:v>5.8095625399407425</c:v>
                </c:pt>
                <c:pt idx="4">
                  <c:v>7.7460833865876566</c:v>
                </c:pt>
                <c:pt idx="5">
                  <c:v>7.7460833865876566</c:v>
                </c:pt>
                <c:pt idx="6">
                  <c:v>18.396948043145684</c:v>
                </c:pt>
                <c:pt idx="7">
                  <c:v>18.396948043145684</c:v>
                </c:pt>
                <c:pt idx="8">
                  <c:v>14.523906349851856</c:v>
                </c:pt>
                <c:pt idx="9">
                  <c:v>13.555645926528397</c:v>
                </c:pt>
                <c:pt idx="10">
                  <c:v>25.174771006409884</c:v>
                </c:pt>
                <c:pt idx="11">
                  <c:v>20.333468889792599</c:v>
                </c:pt>
                <c:pt idx="12">
                  <c:v>10.563211216209726</c:v>
                </c:pt>
                <c:pt idx="13">
                  <c:v>18.24554664618044</c:v>
                </c:pt>
                <c:pt idx="14">
                  <c:v>11.523503144956067</c:v>
                </c:pt>
                <c:pt idx="15">
                  <c:v>11.523503144956067</c:v>
                </c:pt>
                <c:pt idx="16">
                  <c:v>12.483795073702407</c:v>
                </c:pt>
                <c:pt idx="17">
                  <c:v>10.563211216209726</c:v>
                </c:pt>
                <c:pt idx="18">
                  <c:v>7.6823354299707107</c:v>
                </c:pt>
                <c:pt idx="19">
                  <c:v>17.2852547174341</c:v>
                </c:pt>
              </c:numCache>
            </c:numRef>
          </c:val>
          <c:smooth val="0"/>
        </c:ser>
        <c:dLbls>
          <c:showLegendKey val="0"/>
          <c:showVal val="0"/>
          <c:showCatName val="0"/>
          <c:showSerName val="0"/>
          <c:showPercent val="0"/>
          <c:showBubbleSize val="0"/>
        </c:dLbls>
        <c:marker val="1"/>
        <c:smooth val="0"/>
        <c:axId val="185527680"/>
        <c:axId val="195900544"/>
      </c:lineChart>
      <c:dateAx>
        <c:axId val="18552768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5900544"/>
        <c:crosses val="autoZero"/>
        <c:auto val="1"/>
        <c:lblOffset val="100"/>
        <c:baseTimeUnit val="months"/>
      </c:dateAx>
      <c:valAx>
        <c:axId val="19590054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527680"/>
        <c:crosses val="autoZero"/>
        <c:crossBetween val="between"/>
      </c:valAx>
    </c:plotArea>
    <c:legend>
      <c:legendPos val="r"/>
      <c:layout>
        <c:manualLayout>
          <c:xMode val="edge"/>
          <c:yMode val="edge"/>
          <c:x val="0.11184210526315792"/>
          <c:y val="0.93121693121691629"/>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7355"/>
        </c:manualLayout>
      </c:layout>
      <c:lineChart>
        <c:grouping val="standard"/>
        <c:varyColors val="0"/>
        <c:ser>
          <c:idx val="1"/>
          <c:order val="0"/>
          <c:tx>
            <c:strRef>
              <c:f>Dementia!$A$11</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Dementia!$B$11:$AW$11</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4"/>
          <c:order val="1"/>
          <c:tx>
            <c:strRef>
              <c:f>Dementia!$A$14</c:f>
              <c:strCache>
                <c:ptCount val="1"/>
                <c:pt idx="0">
                  <c:v>Midlothian IJB</c:v>
                </c:pt>
              </c:strCache>
            </c:strRef>
          </c:tx>
          <c:spPr>
            <a:ln w="25400">
              <a:solidFill>
                <a:srgbClr val="0070C0"/>
              </a:solidFill>
              <a:prstDash val="lgDashDot"/>
            </a:ln>
          </c:spPr>
          <c:marker>
            <c:symbol val="none"/>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Dementia!$B$14:$AW$14</c:f>
              <c:numCache>
                <c:formatCode>0.0</c:formatCode>
                <c:ptCount val="48"/>
                <c:pt idx="0">
                  <c:v>13.98960106320968</c:v>
                </c:pt>
                <c:pt idx="1">
                  <c:v>13.98960106320968</c:v>
                </c:pt>
                <c:pt idx="2">
                  <c:v>20.984401594814521</c:v>
                </c:pt>
                <c:pt idx="3">
                  <c:v>12.823800974608872</c:v>
                </c:pt>
                <c:pt idx="4">
                  <c:v>11.658000886008068</c:v>
                </c:pt>
                <c:pt idx="5">
                  <c:v>12.823800974608872</c:v>
                </c:pt>
                <c:pt idx="6">
                  <c:v>12.823800974608872</c:v>
                </c:pt>
                <c:pt idx="7">
                  <c:v>18.65280141761291</c:v>
                </c:pt>
                <c:pt idx="8">
                  <c:v>17.487001329012102</c:v>
                </c:pt>
                <c:pt idx="9">
                  <c:v>5.8290004430040341</c:v>
                </c:pt>
                <c:pt idx="10">
                  <c:v>11.658000886008068</c:v>
                </c:pt>
                <c:pt idx="11">
                  <c:v>16.321201240411295</c:v>
                </c:pt>
                <c:pt idx="12">
                  <c:v>4.6309159951838481</c:v>
                </c:pt>
                <c:pt idx="13">
                  <c:v>9.2618319903676962</c:v>
                </c:pt>
                <c:pt idx="14">
                  <c:v>11.577289987959619</c:v>
                </c:pt>
                <c:pt idx="15">
                  <c:v>5.7886449939798093</c:v>
                </c:pt>
                <c:pt idx="16">
                  <c:v>12.735018986755579</c:v>
                </c:pt>
                <c:pt idx="17">
                  <c:v>6.9463739927757704</c:v>
                </c:pt>
                <c:pt idx="18">
                  <c:v>9.2618319903676962</c:v>
                </c:pt>
                <c:pt idx="19">
                  <c:v>11.577289987959619</c:v>
                </c:pt>
              </c:numCache>
            </c:numRef>
          </c:val>
          <c:smooth val="0"/>
        </c:ser>
        <c:dLbls>
          <c:showLegendKey val="0"/>
          <c:showVal val="0"/>
          <c:showCatName val="0"/>
          <c:showSerName val="0"/>
          <c:showPercent val="0"/>
          <c:showBubbleSize val="0"/>
        </c:dLbls>
        <c:marker val="1"/>
        <c:smooth val="0"/>
        <c:axId val="198450176"/>
        <c:axId val="198451968"/>
      </c:lineChart>
      <c:dateAx>
        <c:axId val="19845017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8451968"/>
        <c:crosses val="autoZero"/>
        <c:auto val="1"/>
        <c:lblOffset val="100"/>
        <c:baseTimeUnit val="months"/>
      </c:dateAx>
      <c:valAx>
        <c:axId val="19845196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8450176"/>
        <c:crosses val="autoZero"/>
        <c:crossBetween val="between"/>
      </c:valAx>
    </c:plotArea>
    <c:legend>
      <c:legendPos val="r"/>
      <c:layout>
        <c:manualLayout>
          <c:xMode val="edge"/>
          <c:yMode val="edge"/>
          <c:x val="0.11184210526315792"/>
          <c:y val="0.93121693121691629"/>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7355"/>
        </c:manualLayout>
      </c:layout>
      <c:lineChart>
        <c:grouping val="standard"/>
        <c:varyColors val="0"/>
        <c:ser>
          <c:idx val="1"/>
          <c:order val="0"/>
          <c:tx>
            <c:strRef>
              <c:f>Dementia!$A$11</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Dementia!$B$11:$AW$11</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5"/>
          <c:order val="1"/>
          <c:tx>
            <c:strRef>
              <c:f>Dementia!$A$15</c:f>
              <c:strCache>
                <c:ptCount val="1"/>
                <c:pt idx="0">
                  <c:v>West Lothian IJB</c:v>
                </c:pt>
              </c:strCache>
            </c:strRef>
          </c:tx>
          <c:spPr>
            <a:ln w="25400">
              <a:solidFill>
                <a:srgbClr val="0070C0"/>
              </a:solidFill>
              <a:prstDash val="lgDashDotDot"/>
            </a:ln>
          </c:spPr>
          <c:marker>
            <c:symbol val="none"/>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Dementia!$B$15:$AW$15</c:f>
              <c:numCache>
                <c:formatCode>0.0</c:formatCode>
                <c:ptCount val="48"/>
                <c:pt idx="0">
                  <c:v>6.7222371605270235</c:v>
                </c:pt>
                <c:pt idx="1">
                  <c:v>8.40279645065878</c:v>
                </c:pt>
                <c:pt idx="2">
                  <c:v>6.7222371605270235</c:v>
                </c:pt>
                <c:pt idx="3">
                  <c:v>3.9213050103074303</c:v>
                </c:pt>
                <c:pt idx="4">
                  <c:v>6.7222371605270235</c:v>
                </c:pt>
                <c:pt idx="5">
                  <c:v>10.083355740790536</c:v>
                </c:pt>
                <c:pt idx="6">
                  <c:v>8.9629828807026968</c:v>
                </c:pt>
                <c:pt idx="7">
                  <c:v>5.6018643004391864</c:v>
                </c:pt>
                <c:pt idx="8">
                  <c:v>6.7222371605270235</c:v>
                </c:pt>
                <c:pt idx="9">
                  <c:v>8.9629828807026968</c:v>
                </c:pt>
                <c:pt idx="10">
                  <c:v>4.4814914403513484</c:v>
                </c:pt>
                <c:pt idx="11">
                  <c:v>8.40279645065878</c:v>
                </c:pt>
                <c:pt idx="12">
                  <c:v>9.4770877466830203</c:v>
                </c:pt>
                <c:pt idx="13">
                  <c:v>5.574757498048835</c:v>
                </c:pt>
                <c:pt idx="14">
                  <c:v>11.14951499609767</c:v>
                </c:pt>
                <c:pt idx="15">
                  <c:v>4.4598059984390677</c:v>
                </c:pt>
                <c:pt idx="16">
                  <c:v>6.6897089976586015</c:v>
                </c:pt>
                <c:pt idx="17">
                  <c:v>5.574757498048835</c:v>
                </c:pt>
                <c:pt idx="18">
                  <c:v>6.6897089976586015</c:v>
                </c:pt>
                <c:pt idx="19">
                  <c:v>5.0172817482439518</c:v>
                </c:pt>
              </c:numCache>
            </c:numRef>
          </c:val>
          <c:smooth val="0"/>
        </c:ser>
        <c:dLbls>
          <c:showLegendKey val="0"/>
          <c:showVal val="0"/>
          <c:showCatName val="0"/>
          <c:showSerName val="0"/>
          <c:showPercent val="0"/>
          <c:showBubbleSize val="0"/>
        </c:dLbls>
        <c:marker val="1"/>
        <c:smooth val="0"/>
        <c:axId val="198478464"/>
        <c:axId val="198484352"/>
      </c:lineChart>
      <c:dateAx>
        <c:axId val="1984784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98484352"/>
        <c:crosses val="autoZero"/>
        <c:auto val="1"/>
        <c:lblOffset val="100"/>
        <c:baseTimeUnit val="months"/>
      </c:dateAx>
      <c:valAx>
        <c:axId val="1984843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98478464"/>
        <c:crosses val="autoZero"/>
        <c:crossBetween val="between"/>
      </c:valAx>
    </c:plotArea>
    <c:legend>
      <c:legendPos val="r"/>
      <c:layout>
        <c:manualLayout>
          <c:xMode val="edge"/>
          <c:yMode val="edge"/>
          <c:x val="0.11184210526315792"/>
          <c:y val="0.93121693121691629"/>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7355"/>
        </c:manualLayout>
      </c:layout>
      <c:lineChart>
        <c:grouping val="standard"/>
        <c:varyColors val="0"/>
        <c:ser>
          <c:idx val="1"/>
          <c:order val="0"/>
          <c:tx>
            <c:strRef>
              <c:f>Dementia!$A$11</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Dementia!$B$11:$AW$11</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3"/>
          <c:order val="1"/>
          <c:tx>
            <c:strRef>
              <c:f>Dementia!$A$13</c:f>
              <c:strCache>
                <c:ptCount val="1"/>
                <c:pt idx="0">
                  <c:v>Edinburgh IJB</c:v>
                </c:pt>
              </c:strCache>
            </c:strRef>
          </c:tx>
          <c:spPr>
            <a:ln w="25400">
              <a:solidFill>
                <a:srgbClr val="0070C0"/>
              </a:solidFill>
              <a:prstDash val="sysDot"/>
            </a:ln>
          </c:spPr>
          <c:marker>
            <c:symbol val="none"/>
          </c:marker>
          <c:cat>
            <c:numRef>
              <c:f>Dementia!$B$10:$AW$10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Dementia!$B$13:$AW$13</c:f>
              <c:numCache>
                <c:formatCode>0.0</c:formatCode>
                <c:ptCount val="48"/>
                <c:pt idx="0">
                  <c:v>6.0327942696498162</c:v>
                </c:pt>
                <c:pt idx="1">
                  <c:v>6.6360736966147984</c:v>
                </c:pt>
                <c:pt idx="2">
                  <c:v>7.6415394082231005</c:v>
                </c:pt>
                <c:pt idx="3">
                  <c:v>9.4513776891180452</c:v>
                </c:pt>
                <c:pt idx="4">
                  <c:v>8.2448188351880827</c:v>
                </c:pt>
                <c:pt idx="5">
                  <c:v>7.8426325505447609</c:v>
                </c:pt>
                <c:pt idx="6">
                  <c:v>9.4513776891180452</c:v>
                </c:pt>
                <c:pt idx="7">
                  <c:v>10.255750258404687</c:v>
                </c:pt>
                <c:pt idx="8">
                  <c:v>10.054657116083026</c:v>
                </c:pt>
                <c:pt idx="9">
                  <c:v>10.65793654304801</c:v>
                </c:pt>
                <c:pt idx="10">
                  <c:v>9.2502845467963866</c:v>
                </c:pt>
                <c:pt idx="11">
                  <c:v>10.85902968536967</c:v>
                </c:pt>
                <c:pt idx="12">
                  <c:v>12.932363737652079</c:v>
                </c:pt>
                <c:pt idx="13">
                  <c:v>10.942769316474838</c:v>
                </c:pt>
                <c:pt idx="14">
                  <c:v>10.544850432239388</c:v>
                </c:pt>
                <c:pt idx="15">
                  <c:v>8.9531748952975931</c:v>
                </c:pt>
                <c:pt idx="16">
                  <c:v>9.9479721058862154</c:v>
                </c:pt>
                <c:pt idx="17">
                  <c:v>7.3614993583557986</c:v>
                </c:pt>
                <c:pt idx="18">
                  <c:v>8.9531748952975931</c:v>
                </c:pt>
                <c:pt idx="19">
                  <c:v>8.3562965689444209</c:v>
                </c:pt>
              </c:numCache>
            </c:numRef>
          </c:val>
          <c:smooth val="0"/>
        </c:ser>
        <c:dLbls>
          <c:showLegendKey val="0"/>
          <c:showVal val="0"/>
          <c:showCatName val="0"/>
          <c:showSerName val="0"/>
          <c:showPercent val="0"/>
          <c:showBubbleSize val="0"/>
        </c:dLbls>
        <c:marker val="1"/>
        <c:smooth val="0"/>
        <c:axId val="205592832"/>
        <c:axId val="205606912"/>
      </c:lineChart>
      <c:dateAx>
        <c:axId val="205592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5606912"/>
        <c:crosses val="autoZero"/>
        <c:auto val="1"/>
        <c:lblOffset val="100"/>
        <c:baseTimeUnit val="months"/>
      </c:dateAx>
      <c:valAx>
        <c:axId val="20560691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5592832"/>
        <c:crosses val="autoZero"/>
        <c:crossBetween val="between"/>
      </c:valAx>
    </c:plotArea>
    <c:legend>
      <c:legendPos val="r"/>
      <c:layout>
        <c:manualLayout>
          <c:xMode val="edge"/>
          <c:yMode val="edge"/>
          <c:x val="0.11184210526315792"/>
          <c:y val="0.93121693121691629"/>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DCE!$A$13</c:f>
              <c:strCache>
                <c:ptCount val="1"/>
                <c:pt idx="0">
                  <c:v>NHS Scotland</c:v>
                </c:pt>
              </c:strCache>
            </c:strRef>
          </c:tx>
          <c:spPr>
            <a:solidFill>
              <a:srgbClr val="00A2F2"/>
            </a:solidFill>
            <a:ln w="25400"/>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DCE!$B$13:$G$13</c:f>
              <c:numCache>
                <c:formatCode>0.0%</c:formatCode>
                <c:ptCount val="6"/>
                <c:pt idx="0">
                  <c:v>0.23300000000000001</c:v>
                </c:pt>
                <c:pt idx="1">
                  <c:v>0.24199999999999999</c:v>
                </c:pt>
                <c:pt idx="2">
                  <c:v>0.246</c:v>
                </c:pt>
                <c:pt idx="3">
                  <c:v>0.25</c:v>
                </c:pt>
                <c:pt idx="4">
                  <c:v>0.253</c:v>
                </c:pt>
                <c:pt idx="5">
                  <c:v>0.255</c:v>
                </c:pt>
              </c:numCache>
            </c:numRef>
          </c:val>
        </c:ser>
        <c:ser>
          <c:idx val="1"/>
          <c:order val="1"/>
          <c:tx>
            <c:strRef>
              <c:f>DCE!$A$14</c:f>
              <c:strCache>
                <c:ptCount val="1"/>
                <c:pt idx="0">
                  <c:v>NHS Lothian</c:v>
                </c:pt>
              </c:strCache>
            </c:strRef>
          </c:tx>
          <c:spPr>
            <a:solidFill>
              <a:srgbClr val="0070C0"/>
            </a:solidFill>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DCE!$B$14:$G$14</c:f>
              <c:numCache>
                <c:formatCode>0.0%</c:formatCode>
                <c:ptCount val="6"/>
                <c:pt idx="0">
                  <c:v>0.22700000000000001</c:v>
                </c:pt>
                <c:pt idx="1">
                  <c:v>0.249</c:v>
                </c:pt>
                <c:pt idx="2">
                  <c:v>0.25800000000000001</c:v>
                </c:pt>
                <c:pt idx="3">
                  <c:v>0.26200000000000001</c:v>
                </c:pt>
                <c:pt idx="4">
                  <c:v>0.27100000000000002</c:v>
                </c:pt>
                <c:pt idx="5">
                  <c:v>0.26900000000000002</c:v>
                </c:pt>
              </c:numCache>
            </c:numRef>
          </c:val>
        </c:ser>
        <c:dLbls>
          <c:showLegendKey val="0"/>
          <c:showVal val="0"/>
          <c:showCatName val="0"/>
          <c:showSerName val="0"/>
          <c:showPercent val="0"/>
          <c:showBubbleSize val="0"/>
        </c:dLbls>
        <c:gapWidth val="150"/>
        <c:axId val="205299072"/>
        <c:axId val="205300864"/>
      </c:barChart>
      <c:lineChart>
        <c:grouping val="standard"/>
        <c:varyColors val="0"/>
        <c:ser>
          <c:idx val="2"/>
          <c:order val="2"/>
          <c:tx>
            <c:strRef>
              <c:f>DCE!$A$15</c:f>
              <c:strCache>
                <c:ptCount val="1"/>
                <c:pt idx="0">
                  <c:v>Target (min)</c:v>
                </c:pt>
              </c:strCache>
            </c:strRef>
          </c:tx>
          <c:spPr>
            <a:ln w="25400">
              <a:solidFill>
                <a:srgbClr val="FF0000"/>
              </a:solidFill>
              <a:prstDash val="dash"/>
            </a:ln>
          </c:spPr>
          <c:marker>
            <c:symbol val="none"/>
          </c:marke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DCE!$B$15:$G$15</c:f>
              <c:numCache>
                <c:formatCode>0.0%</c:formatCode>
                <c:ptCount val="6"/>
                <c:pt idx="0">
                  <c:v>0.28999999999999998</c:v>
                </c:pt>
                <c:pt idx="1">
                  <c:v>0.28999999999999998</c:v>
                </c:pt>
                <c:pt idx="2">
                  <c:v>0.28999999999999998</c:v>
                </c:pt>
                <c:pt idx="3">
                  <c:v>0.28999999999999998</c:v>
                </c:pt>
                <c:pt idx="4">
                  <c:v>0.28999999999999998</c:v>
                </c:pt>
                <c:pt idx="5">
                  <c:v>0.28999999999999998</c:v>
                </c:pt>
              </c:numCache>
            </c:numRef>
          </c:val>
          <c:smooth val="0"/>
        </c:ser>
        <c:dLbls>
          <c:showLegendKey val="0"/>
          <c:showVal val="0"/>
          <c:showCatName val="0"/>
          <c:showSerName val="0"/>
          <c:showPercent val="0"/>
          <c:showBubbleSize val="0"/>
        </c:dLbls>
        <c:marker val="1"/>
        <c:smooth val="0"/>
        <c:axId val="205302784"/>
        <c:axId val="205304576"/>
      </c:lineChart>
      <c:catAx>
        <c:axId val="20529907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5300864"/>
        <c:crosses val="autoZero"/>
        <c:auto val="1"/>
        <c:lblAlgn val="ctr"/>
        <c:lblOffset val="100"/>
        <c:noMultiLvlLbl val="0"/>
      </c:catAx>
      <c:valAx>
        <c:axId val="205300864"/>
        <c:scaling>
          <c:orientation val="minMax"/>
          <c:max val="0.30000000000000032"/>
          <c:min val="0.2"/>
        </c:scaling>
        <c:delete val="0"/>
        <c:axPos val="l"/>
        <c:majorGridlines/>
        <c:title>
          <c:tx>
            <c:rich>
              <a:bodyPr/>
              <a:lstStyle/>
              <a:p>
                <a:pPr>
                  <a:defRPr sz="800" b="0" i="0" u="none" strike="noStrike" baseline="0">
                    <a:solidFill>
                      <a:srgbClr val="000000"/>
                    </a:solidFill>
                    <a:latin typeface="Arial"/>
                    <a:ea typeface="Arial"/>
                    <a:cs typeface="Arial"/>
                  </a:defRPr>
                </a:pPr>
                <a:r>
                  <a:rPr lang="en-GB"/>
                  <a:t>Proportion of Cancers Diagnosed at Stage 1</a:t>
                </a:r>
              </a:p>
            </c:rich>
          </c:tx>
          <c:layout>
            <c:manualLayout>
              <c:xMode val="edge"/>
              <c:yMode val="edge"/>
              <c:x val="4.3451429164109703E-3"/>
              <c:y val="0.22621588968045694"/>
            </c:manualLayout>
          </c:layout>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5299072"/>
        <c:crosses val="autoZero"/>
        <c:crossBetween val="between"/>
        <c:majorUnit val="1.0000000000000005E-2"/>
      </c:valAx>
      <c:catAx>
        <c:axId val="205302784"/>
        <c:scaling>
          <c:orientation val="minMax"/>
        </c:scaling>
        <c:delete val="1"/>
        <c:axPos val="b"/>
        <c:majorTickMark val="out"/>
        <c:minorTickMark val="none"/>
        <c:tickLblPos val="none"/>
        <c:crossAx val="205304576"/>
        <c:crosses val="autoZero"/>
        <c:auto val="1"/>
        <c:lblAlgn val="ctr"/>
        <c:lblOffset val="100"/>
        <c:noMultiLvlLbl val="0"/>
      </c:catAx>
      <c:valAx>
        <c:axId val="205304576"/>
        <c:scaling>
          <c:orientation val="minMax"/>
        </c:scaling>
        <c:delete val="1"/>
        <c:axPos val="r"/>
        <c:numFmt formatCode="0.0%" sourceLinked="1"/>
        <c:majorTickMark val="out"/>
        <c:minorTickMark val="none"/>
        <c:tickLblPos val="none"/>
        <c:crossAx val="205302784"/>
        <c:crosses val="max"/>
        <c:crossBetween val="between"/>
      </c:valAx>
    </c:plotArea>
    <c:legend>
      <c:legendPos val="r"/>
      <c:layout>
        <c:manualLayout>
          <c:xMode val="edge"/>
          <c:yMode val="edge"/>
          <c:x val="0.88254665203073568"/>
          <c:y val="0.33333333333333331"/>
          <c:w val="0.10647639956092182"/>
          <c:h val="0.2671957671957678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02664786989"/>
          <c:h val="0.74034690108180923"/>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numCache>
            </c:numRef>
          </c:val>
          <c:smooth val="0"/>
        </c:ser>
        <c:ser>
          <c:idx val="0"/>
          <c:order val="1"/>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5377536"/>
        <c:axId val="205379072"/>
      </c:lineChart>
      <c:dateAx>
        <c:axId val="2053775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5379072"/>
        <c:crosses val="autoZero"/>
        <c:auto val="1"/>
        <c:lblOffset val="100"/>
        <c:baseTimeUnit val="months"/>
        <c:majorUnit val="1"/>
        <c:majorTimeUnit val="months"/>
      </c:dateAx>
      <c:valAx>
        <c:axId val="205379072"/>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5377536"/>
        <c:crosses val="autoZero"/>
        <c:crossBetween val="between"/>
        <c:majorUnit val="250"/>
      </c:valAx>
    </c:plotArea>
    <c:legend>
      <c:legendPos val="r"/>
      <c:layout>
        <c:manualLayout>
          <c:xMode val="edge"/>
          <c:yMode val="edge"/>
          <c:x val="5.4824561403508934E-3"/>
          <c:y val="0.91887125220460086"/>
          <c:w val="0.98409849969627161"/>
          <c:h val="6.525573192239893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5238095238121E-2"/>
          <c:y val="3.333333333333334E-2"/>
          <c:w val="0.91190476190475656"/>
          <c:h val="0.74105110876888891"/>
        </c:manualLayout>
      </c:layout>
      <c:lineChart>
        <c:grouping val="standard"/>
        <c:varyColors val="0"/>
        <c:ser>
          <c:idx val="4"/>
          <c:order val="0"/>
          <c:tx>
            <c:strRef>
              <c:f>'A&amp;E WT'!$A$10</c:f>
              <c:strCache>
                <c:ptCount val="1"/>
                <c:pt idx="0">
                  <c:v>RIE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WT'!$B$10:$AW$10</c:f>
              <c:numCache>
                <c:formatCode>0.0%</c:formatCode>
                <c:ptCount val="48"/>
                <c:pt idx="0">
                  <c:v>0.93634823130692646</c:v>
                </c:pt>
                <c:pt idx="1">
                  <c:v>0.947903694479037</c:v>
                </c:pt>
                <c:pt idx="2">
                  <c:v>0.94420918907474061</c:v>
                </c:pt>
                <c:pt idx="3">
                  <c:v>0.94160432252701576</c:v>
                </c:pt>
                <c:pt idx="4">
                  <c:v>0.93950211366838887</c:v>
                </c:pt>
                <c:pt idx="5">
                  <c:v>0.94714714714714709</c:v>
                </c:pt>
                <c:pt idx="6">
                  <c:v>0.95478537994223678</c:v>
                </c:pt>
                <c:pt idx="7">
                  <c:v>0.94</c:v>
                </c:pt>
                <c:pt idx="8">
                  <c:v>0.91494154242196712</c:v>
                </c:pt>
                <c:pt idx="9">
                  <c:v>0.8672001620745543</c:v>
                </c:pt>
                <c:pt idx="10">
                  <c:v>0.84599999999999997</c:v>
                </c:pt>
                <c:pt idx="11">
                  <c:v>0.92656461925983336</c:v>
                </c:pt>
                <c:pt idx="12">
                  <c:v>0.9433237271853987</c:v>
                </c:pt>
                <c:pt idx="13">
                  <c:v>0.91297695323706607</c:v>
                </c:pt>
                <c:pt idx="14">
                  <c:v>0.94420000000000004</c:v>
                </c:pt>
                <c:pt idx="15">
                  <c:v>0.97212366953877349</c:v>
                </c:pt>
                <c:pt idx="16">
                  <c:v>0.94399999999999995</c:v>
                </c:pt>
                <c:pt idx="17">
                  <c:v>0.92100000000000004</c:v>
                </c:pt>
                <c:pt idx="18">
                  <c:v>0.9226454089164452</c:v>
                </c:pt>
                <c:pt idx="19">
                  <c:v>0.94399999999999995</c:v>
                </c:pt>
                <c:pt idx="20">
                  <c:v>0.91400000000000003</c:v>
                </c:pt>
                <c:pt idx="21">
                  <c:v>0.93200000000000005</c:v>
                </c:pt>
                <c:pt idx="22">
                  <c:v>0.94230000000000003</c:v>
                </c:pt>
                <c:pt idx="23">
                  <c:v>0.95899999999999996</c:v>
                </c:pt>
                <c:pt idx="24">
                  <c:v>0.94599999999999995</c:v>
                </c:pt>
                <c:pt idx="25">
                  <c:v>0.94199999999999995</c:v>
                </c:pt>
                <c:pt idx="26">
                  <c:v>0.96099999999999997</c:v>
                </c:pt>
                <c:pt idx="27">
                  <c:v>0.95299999999999996</c:v>
                </c:pt>
                <c:pt idx="28">
                  <c:v>0.93600000000000005</c:v>
                </c:pt>
                <c:pt idx="29">
                  <c:v>0.93400000000000005</c:v>
                </c:pt>
                <c:pt idx="30">
                  <c:v>0.91600000000000004</c:v>
                </c:pt>
                <c:pt idx="31">
                  <c:v>0.83899999999999997</c:v>
                </c:pt>
                <c:pt idx="32">
                  <c:v>0.63900000000000001</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WT'!$A$11</c:f>
              <c:strCache>
                <c:ptCount val="1"/>
                <c:pt idx="0">
                  <c:v>Baseline Median</c:v>
                </c:pt>
              </c:strCache>
            </c:strRef>
          </c:tx>
          <c:spPr>
            <a:ln w="25400">
              <a:solidFill>
                <a:sysClr val="windowText" lastClr="0000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WT'!$B$11:$G$11</c:f>
              <c:numCache>
                <c:formatCode>0.0%</c:formatCode>
                <c:ptCount val="6"/>
                <c:pt idx="0">
                  <c:v>0.94290675580087813</c:v>
                </c:pt>
                <c:pt idx="1">
                  <c:v>0.94290675580087813</c:v>
                </c:pt>
                <c:pt idx="2">
                  <c:v>0.94290675580087813</c:v>
                </c:pt>
                <c:pt idx="3">
                  <c:v>0.94290675580087813</c:v>
                </c:pt>
                <c:pt idx="4">
                  <c:v>0.94290675580087813</c:v>
                </c:pt>
                <c:pt idx="5">
                  <c:v>0.94290675580087813</c:v>
                </c:pt>
              </c:numCache>
            </c:numRef>
          </c:val>
          <c:smooth val="0"/>
        </c:ser>
        <c:ser>
          <c:idx val="1"/>
          <c:order val="4"/>
          <c:tx>
            <c:strRef>
              <c:f>'A&amp;E WT'!$A$12</c:f>
              <c:strCache>
                <c:ptCount val="1"/>
                <c:pt idx="0">
                  <c:v>Extended Baseline Median</c:v>
                </c:pt>
              </c:strCache>
            </c:strRef>
          </c:tx>
          <c:spPr>
            <a:ln w="25400">
              <a:solidFill>
                <a:sysClr val="windowText" lastClr="00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WT'!$B$12:$AW$12</c:f>
              <c:numCache>
                <c:formatCode>General</c:formatCode>
                <c:ptCount val="48"/>
                <c:pt idx="5" formatCode="0.0%">
                  <c:v>0.94290675580087813</c:v>
                </c:pt>
                <c:pt idx="6" formatCode="0.0%">
                  <c:v>0.94290675580087813</c:v>
                </c:pt>
                <c:pt idx="7" formatCode="0.0%">
                  <c:v>0.94290675580087813</c:v>
                </c:pt>
                <c:pt idx="8" formatCode="0.0%">
                  <c:v>0.94290675580087813</c:v>
                </c:pt>
                <c:pt idx="9" formatCode="0.0%">
                  <c:v>0.94290675580087813</c:v>
                </c:pt>
                <c:pt idx="10" formatCode="0.0%">
                  <c:v>0.94290675580087813</c:v>
                </c:pt>
                <c:pt idx="11" formatCode="0.0%">
                  <c:v>0.94290675580087813</c:v>
                </c:pt>
                <c:pt idx="12" formatCode="0.0%">
                  <c:v>0.94290675580087813</c:v>
                </c:pt>
                <c:pt idx="13" formatCode="0.0%">
                  <c:v>0.94290675580087813</c:v>
                </c:pt>
                <c:pt idx="14" formatCode="0.0%">
                  <c:v>0.94290675580087813</c:v>
                </c:pt>
                <c:pt idx="15" formatCode="0.0%">
                  <c:v>0.94290675580087813</c:v>
                </c:pt>
                <c:pt idx="16" formatCode="0.0%">
                  <c:v>0.94290675580087813</c:v>
                </c:pt>
                <c:pt idx="17" formatCode="0.0%">
                  <c:v>0.94290675580087813</c:v>
                </c:pt>
                <c:pt idx="18" formatCode="0.0%">
                  <c:v>0.94290675580087813</c:v>
                </c:pt>
                <c:pt idx="19" formatCode="0.0%">
                  <c:v>0.94290675580087813</c:v>
                </c:pt>
                <c:pt idx="20" formatCode="0.0%">
                  <c:v>0.94290675580087813</c:v>
                </c:pt>
                <c:pt idx="21" formatCode="0.0%">
                  <c:v>0.94290675580087813</c:v>
                </c:pt>
                <c:pt idx="22" formatCode="0.0%">
                  <c:v>0.94290675580087813</c:v>
                </c:pt>
                <c:pt idx="23" formatCode="0.0%">
                  <c:v>0.94290675580087813</c:v>
                </c:pt>
                <c:pt idx="24" formatCode="0.0%">
                  <c:v>0.94290675580087813</c:v>
                </c:pt>
                <c:pt idx="25" formatCode="0.0%">
                  <c:v>0.94290675580087813</c:v>
                </c:pt>
                <c:pt idx="26" formatCode="0.0%">
                  <c:v>0.94290675580087813</c:v>
                </c:pt>
                <c:pt idx="27" formatCode="0.0%">
                  <c:v>0.94290675580087813</c:v>
                </c:pt>
                <c:pt idx="28" formatCode="0.0%">
                  <c:v>0.94290675580087813</c:v>
                </c:pt>
                <c:pt idx="29" formatCode="0.0%">
                  <c:v>0.94290675580087813</c:v>
                </c:pt>
                <c:pt idx="30" formatCode="0.0%">
                  <c:v>0.94290675580087813</c:v>
                </c:pt>
                <c:pt idx="31" formatCode="0.0%">
                  <c:v>0.94290675580087813</c:v>
                </c:pt>
                <c:pt idx="32" formatCode="0.0%">
                  <c:v>0.94290675580087813</c:v>
                </c:pt>
                <c:pt idx="33" formatCode="0.0%">
                  <c:v>0.94290675580087813</c:v>
                </c:pt>
                <c:pt idx="34" formatCode="0.0%">
                  <c:v>0.94290675580087813</c:v>
                </c:pt>
                <c:pt idx="35" formatCode="0.0%">
                  <c:v>0.94290675580087813</c:v>
                </c:pt>
                <c:pt idx="36" formatCode="0.0%">
                  <c:v>0.94290675580087813</c:v>
                </c:pt>
                <c:pt idx="37" formatCode="0.0%">
                  <c:v>0.94290675580087813</c:v>
                </c:pt>
                <c:pt idx="38" formatCode="0.0%">
                  <c:v>0.94290675580087813</c:v>
                </c:pt>
                <c:pt idx="39" formatCode="0.0%">
                  <c:v>0.94290675580087813</c:v>
                </c:pt>
                <c:pt idx="40" formatCode="0.0%">
                  <c:v>0.94290675580087813</c:v>
                </c:pt>
                <c:pt idx="41" formatCode="0.0%">
                  <c:v>0.94290675580087813</c:v>
                </c:pt>
                <c:pt idx="42" formatCode="0.0%">
                  <c:v>0.94290675580087813</c:v>
                </c:pt>
                <c:pt idx="43" formatCode="0.0%">
                  <c:v>0.94290675580087813</c:v>
                </c:pt>
                <c:pt idx="44" formatCode="0.0%">
                  <c:v>0.94290675580087813</c:v>
                </c:pt>
                <c:pt idx="45" formatCode="0.0%">
                  <c:v>0.94290675580087813</c:v>
                </c:pt>
                <c:pt idx="46" formatCode="0.0%">
                  <c:v>0.94290675580087813</c:v>
                </c:pt>
                <c:pt idx="47" formatCode="0.0%">
                  <c:v>0.94290675580087813</c:v>
                </c:pt>
              </c:numCache>
            </c:numRef>
          </c:val>
          <c:smooth val="0"/>
        </c:ser>
        <c:dLbls>
          <c:showLegendKey val="0"/>
          <c:showVal val="0"/>
          <c:showCatName val="0"/>
          <c:showSerName val="0"/>
          <c:showPercent val="0"/>
          <c:showBubbleSize val="0"/>
        </c:dLbls>
        <c:marker val="1"/>
        <c:smooth val="0"/>
        <c:axId val="186389632"/>
        <c:axId val="186391168"/>
      </c:lineChart>
      <c:dateAx>
        <c:axId val="1863896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6391168"/>
        <c:crosses val="autoZero"/>
        <c:auto val="1"/>
        <c:lblOffset val="100"/>
        <c:baseTimeUnit val="months"/>
        <c:majorUnit val="1"/>
        <c:majorTimeUnit val="months"/>
      </c:dateAx>
      <c:valAx>
        <c:axId val="186391168"/>
        <c:scaling>
          <c:orientation val="minMax"/>
          <c:max val="1"/>
          <c:min val="0.60000000000000031"/>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6389632"/>
        <c:crosses val="autoZero"/>
        <c:crossBetween val="between"/>
        <c:majorUnit val="2.0000000000000011E-2"/>
      </c:valAx>
    </c:plotArea>
    <c:legend>
      <c:legendPos val="r"/>
      <c:layout>
        <c:manualLayout>
          <c:xMode val="edge"/>
          <c:yMode val="edge"/>
          <c:x val="1.4986111111111235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789"/>
          <c:h val="0.7509289116638318"/>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numCache>
            </c:numRef>
          </c:val>
          <c:smooth val="0"/>
        </c:ser>
        <c:ser>
          <c:idx val="1"/>
          <c:order val="1"/>
          <c:tx>
            <c:strRef>
              <c:f>Diagnostics!$A$300</c:f>
              <c:strCache>
                <c:ptCount val="1"/>
                <c:pt idx="0">
                  <c:v>Total Gastroenterology/ Urology Diagnostics Patients Over 6 Week Standard</c:v>
                </c:pt>
              </c:strCache>
            </c:strRef>
          </c:tx>
          <c:spPr>
            <a:ln w="25400">
              <a:solidFill>
                <a:srgbClr val="0070C0"/>
              </a:solidFill>
              <a:prstDash val="lgDashDot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pt idx="31">
                  <c:v>3427</c:v>
                </c:pt>
                <c:pt idx="32">
                  <c:v>3588</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6796288"/>
        <c:axId val="206797824"/>
      </c:lineChart>
      <c:dateAx>
        <c:axId val="2067962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6797824"/>
        <c:crosses val="autoZero"/>
        <c:auto val="1"/>
        <c:lblOffset val="100"/>
        <c:baseTimeUnit val="months"/>
        <c:majorUnit val="1"/>
        <c:majorTimeUnit val="months"/>
      </c:dateAx>
      <c:valAx>
        <c:axId val="206797824"/>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6796288"/>
        <c:crosses val="autoZero"/>
        <c:crossBetween val="between"/>
        <c:majorUnit val="250"/>
      </c:valAx>
    </c:plotArea>
    <c:legend>
      <c:legendPos val="r"/>
      <c:layout>
        <c:manualLayout>
          <c:xMode val="edge"/>
          <c:yMode val="edge"/>
          <c:x val="5.4824561403508934E-3"/>
          <c:y val="0.91534391534391535"/>
          <c:w val="0.98428362573098616"/>
          <c:h val="6.87830687830687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900010315304461"/>
          <c:h val="0.74387423794248886"/>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numCache>
            </c:numRef>
          </c:val>
          <c:smooth val="0"/>
        </c:ser>
        <c:ser>
          <c:idx val="2"/>
          <c:order val="1"/>
          <c:tx>
            <c:strRef>
              <c:f>Diagnostics!$A$363</c:f>
              <c:strCache>
                <c:ptCount val="1"/>
                <c:pt idx="0">
                  <c:v>Total Radiology Patients Over 6 Week Standard excl. Vascular Labs</c:v>
                </c:pt>
              </c:strCache>
            </c:strRef>
          </c:tx>
          <c:spPr>
            <a:ln w="25400">
              <a:solidFill>
                <a:srgbClr val="0070C0"/>
              </a:solidFill>
              <a:prstDash val="dash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pt idx="31">
                  <c:v>97</c:v>
                </c:pt>
                <c:pt idx="32">
                  <c:v>102</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6834304"/>
        <c:axId val="206840192"/>
      </c:lineChart>
      <c:dateAx>
        <c:axId val="2068343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6840192"/>
        <c:crosses val="autoZero"/>
        <c:auto val="1"/>
        <c:lblOffset val="100"/>
        <c:baseTimeUnit val="months"/>
        <c:majorUnit val="1"/>
        <c:majorTimeUnit val="months"/>
      </c:dateAx>
      <c:valAx>
        <c:axId val="206840192"/>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6834304"/>
        <c:crosses val="autoZero"/>
        <c:crossBetween val="between"/>
        <c:majorUnit val="250"/>
      </c:valAx>
    </c:plotArea>
    <c:legend>
      <c:legendPos val="r"/>
      <c:layout>
        <c:manualLayout>
          <c:xMode val="edge"/>
          <c:yMode val="edge"/>
          <c:x val="5.4824561403508934E-3"/>
          <c:y val="0.90828924162257563"/>
          <c:w val="0.98264289562058704"/>
          <c:h val="7.58377425044091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789"/>
          <c:h val="0.7509289116638318"/>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numCache>
            </c:numRef>
          </c:val>
          <c:smooth val="0"/>
        </c:ser>
        <c:ser>
          <c:idx val="3"/>
          <c:order val="1"/>
          <c:tx>
            <c:strRef>
              <c:f>Diagnostics!$A$423</c:f>
              <c:strCache>
                <c:ptCount val="1"/>
                <c:pt idx="0">
                  <c:v>Total Vascular Labs Patients Over 6 Weeks Standard </c:v>
                </c:pt>
              </c:strCache>
            </c:strRef>
          </c:tx>
          <c:spPr>
            <a:ln w="25400">
              <a:solidFill>
                <a:srgbClr val="0070C0"/>
              </a:solidFill>
              <a:prstDash val="sys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pt idx="31">
                  <c:v>34</c:v>
                </c:pt>
                <c:pt idx="32">
                  <c:v>109</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6864384"/>
        <c:axId val="206865920"/>
      </c:lineChart>
      <c:dateAx>
        <c:axId val="2068643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6865920"/>
        <c:crosses val="autoZero"/>
        <c:auto val="1"/>
        <c:lblOffset val="100"/>
        <c:baseTimeUnit val="months"/>
        <c:majorUnit val="1"/>
        <c:majorTimeUnit val="months"/>
      </c:dateAx>
      <c:valAx>
        <c:axId val="20686592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6864384"/>
        <c:crosses val="autoZero"/>
        <c:crossBetween val="between"/>
        <c:majorUnit val="250"/>
      </c:valAx>
    </c:plotArea>
    <c:legend>
      <c:legendPos val="r"/>
      <c:layout>
        <c:manualLayout>
          <c:xMode val="edge"/>
          <c:yMode val="edge"/>
          <c:x val="5.4824561403508934E-3"/>
          <c:y val="0.91181657848324449"/>
          <c:w val="0.98428362573098616"/>
          <c:h val="7.231040564373951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317768685027913"/>
          <c:h val="0.74387423794248886"/>
        </c:manualLayout>
      </c:layout>
      <c:lineChart>
        <c:grouping val="standard"/>
        <c:varyColors val="0"/>
        <c:ser>
          <c:idx val="4"/>
          <c:order val="0"/>
          <c:tx>
            <c:strRef>
              <c:f>Diagnostics!$A$296</c:f>
              <c:strCache>
                <c:ptCount val="1"/>
                <c:pt idx="0">
                  <c:v>Upper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no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24"/>
            <c:marker>
              <c:spPr>
                <a:solidFill>
                  <a:srgbClr val="00B0F0"/>
                </a:solidFill>
                <a:ln w="25400">
                  <a:solidFill>
                    <a:srgbClr val="0070C0"/>
                  </a:solidFill>
                </a:ln>
              </c:spPr>
            </c:marker>
            <c:bubble3D val="0"/>
          </c:dPt>
          <c:dPt>
            <c:idx val="26"/>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Diagnostics!$B$296:$AW$296</c:f>
              <c:numCache>
                <c:formatCode>#,##0</c:formatCode>
                <c:ptCount val="48"/>
                <c:pt idx="0">
                  <c:v>654</c:v>
                </c:pt>
                <c:pt idx="1">
                  <c:v>761</c:v>
                </c:pt>
                <c:pt idx="2">
                  <c:v>841</c:v>
                </c:pt>
                <c:pt idx="3">
                  <c:v>978</c:v>
                </c:pt>
                <c:pt idx="4">
                  <c:v>846</c:v>
                </c:pt>
                <c:pt idx="5">
                  <c:v>778</c:v>
                </c:pt>
                <c:pt idx="6">
                  <c:v>850</c:v>
                </c:pt>
                <c:pt idx="7">
                  <c:v>592</c:v>
                </c:pt>
                <c:pt idx="8">
                  <c:v>497</c:v>
                </c:pt>
                <c:pt idx="9">
                  <c:v>504</c:v>
                </c:pt>
                <c:pt idx="10">
                  <c:v>389</c:v>
                </c:pt>
                <c:pt idx="11">
                  <c:v>433</c:v>
                </c:pt>
                <c:pt idx="12">
                  <c:v>552</c:v>
                </c:pt>
                <c:pt idx="13">
                  <c:v>567</c:v>
                </c:pt>
                <c:pt idx="14">
                  <c:v>620</c:v>
                </c:pt>
                <c:pt idx="15">
                  <c:v>730</c:v>
                </c:pt>
                <c:pt idx="16">
                  <c:v>710</c:v>
                </c:pt>
                <c:pt idx="17">
                  <c:v>792</c:v>
                </c:pt>
                <c:pt idx="18">
                  <c:v>922</c:v>
                </c:pt>
                <c:pt idx="19">
                  <c:v>873</c:v>
                </c:pt>
                <c:pt idx="20">
                  <c:v>786</c:v>
                </c:pt>
                <c:pt idx="21">
                  <c:v>807</c:v>
                </c:pt>
                <c:pt idx="22">
                  <c:v>758</c:v>
                </c:pt>
                <c:pt idx="23">
                  <c:v>668</c:v>
                </c:pt>
                <c:pt idx="24">
                  <c:v>774</c:v>
                </c:pt>
                <c:pt idx="25">
                  <c:v>871</c:v>
                </c:pt>
                <c:pt idx="26">
                  <c:v>992</c:v>
                </c:pt>
                <c:pt idx="27">
                  <c:v>1120</c:v>
                </c:pt>
                <c:pt idx="28">
                  <c:v>1225</c:v>
                </c:pt>
                <c:pt idx="29">
                  <c:v>1224</c:v>
                </c:pt>
                <c:pt idx="30">
                  <c:v>1209</c:v>
                </c:pt>
                <c:pt idx="31">
                  <c:v>1189</c:v>
                </c:pt>
                <c:pt idx="32">
                  <c:v>1209</c:v>
                </c:pt>
              </c:numCache>
            </c:numRef>
          </c:val>
          <c:smooth val="0"/>
        </c:ser>
        <c:ser>
          <c:idx val="3"/>
          <c:order val="1"/>
          <c:tx>
            <c:strRef>
              <c:f>Diagnostics!$A$306</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Diagnostics!$B$306:$AW$306</c:f>
              <c:numCache>
                <c:formatCode>#,##0</c:formatCode>
                <c:ptCount val="48"/>
                <c:pt idx="0">
                  <c:v>809.72727272727275</c:v>
                </c:pt>
                <c:pt idx="1">
                  <c:v>809.72727272727275</c:v>
                </c:pt>
                <c:pt idx="2">
                  <c:v>809.72727272727275</c:v>
                </c:pt>
                <c:pt idx="3">
                  <c:v>809.72727272727275</c:v>
                </c:pt>
                <c:pt idx="4">
                  <c:v>809.72727272727275</c:v>
                </c:pt>
                <c:pt idx="5">
                  <c:v>809.72727272727275</c:v>
                </c:pt>
                <c:pt idx="6">
                  <c:v>809.72727272727275</c:v>
                </c:pt>
                <c:pt idx="7">
                  <c:v>809.72727272727275</c:v>
                </c:pt>
                <c:pt idx="8">
                  <c:v>809.72727272727275</c:v>
                </c:pt>
                <c:pt idx="9">
                  <c:v>809.72727272727275</c:v>
                </c:pt>
                <c:pt idx="10">
                  <c:v>809.72727272727275</c:v>
                </c:pt>
                <c:pt idx="11">
                  <c:v>809.72727272727275</c:v>
                </c:pt>
                <c:pt idx="12">
                  <c:v>809.72727272727275</c:v>
                </c:pt>
                <c:pt idx="13">
                  <c:v>809.72727272727275</c:v>
                </c:pt>
                <c:pt idx="14">
                  <c:v>809.72727272727275</c:v>
                </c:pt>
                <c:pt idx="15">
                  <c:v>809.72727272727275</c:v>
                </c:pt>
                <c:pt idx="16">
                  <c:v>809.72727272727275</c:v>
                </c:pt>
                <c:pt idx="17">
                  <c:v>809.72727272727275</c:v>
                </c:pt>
                <c:pt idx="18">
                  <c:v>809.72727272727275</c:v>
                </c:pt>
                <c:pt idx="19">
                  <c:v>809.72727272727275</c:v>
                </c:pt>
                <c:pt idx="20">
                  <c:v>809.72727272727275</c:v>
                </c:pt>
                <c:pt idx="21">
                  <c:v>809.72727272727275</c:v>
                </c:pt>
                <c:pt idx="22">
                  <c:v>809.72727272727275</c:v>
                </c:pt>
                <c:pt idx="23">
                  <c:v>809.72727272727275</c:v>
                </c:pt>
                <c:pt idx="24">
                  <c:v>809.72727272727275</c:v>
                </c:pt>
                <c:pt idx="25">
                  <c:v>809.72727272727275</c:v>
                </c:pt>
                <c:pt idx="26">
                  <c:v>809.72727272727275</c:v>
                </c:pt>
                <c:pt idx="27">
                  <c:v>809.72727272727275</c:v>
                </c:pt>
                <c:pt idx="28">
                  <c:v>809.72727272727275</c:v>
                </c:pt>
                <c:pt idx="29">
                  <c:v>809.72727272727275</c:v>
                </c:pt>
                <c:pt idx="30">
                  <c:v>809.72727272727275</c:v>
                </c:pt>
                <c:pt idx="31">
                  <c:v>809.72727272727275</c:v>
                </c:pt>
                <c:pt idx="32">
                  <c:v>809.72727272727275</c:v>
                </c:pt>
                <c:pt idx="33">
                  <c:v>809.72727272727275</c:v>
                </c:pt>
                <c:pt idx="34">
                  <c:v>809.72727272727275</c:v>
                </c:pt>
                <c:pt idx="35">
                  <c:v>809.72727272727275</c:v>
                </c:pt>
                <c:pt idx="36">
                  <c:v>809.72727272727275</c:v>
                </c:pt>
                <c:pt idx="37">
                  <c:v>809.72727272727275</c:v>
                </c:pt>
                <c:pt idx="38">
                  <c:v>809.72727272727275</c:v>
                </c:pt>
                <c:pt idx="39">
                  <c:v>809.72727272727275</c:v>
                </c:pt>
                <c:pt idx="40">
                  <c:v>809.72727272727275</c:v>
                </c:pt>
                <c:pt idx="41">
                  <c:v>809.72727272727275</c:v>
                </c:pt>
                <c:pt idx="42">
                  <c:v>809.72727272727275</c:v>
                </c:pt>
                <c:pt idx="43">
                  <c:v>809.72727272727275</c:v>
                </c:pt>
                <c:pt idx="44">
                  <c:v>809.72727272727275</c:v>
                </c:pt>
                <c:pt idx="45">
                  <c:v>809.72727272727275</c:v>
                </c:pt>
                <c:pt idx="46">
                  <c:v>809.72727272727275</c:v>
                </c:pt>
                <c:pt idx="47">
                  <c:v>809.72727272727275</c:v>
                </c:pt>
              </c:numCache>
            </c:numRef>
          </c:val>
          <c:smooth val="0"/>
        </c:ser>
        <c:ser>
          <c:idx val="1"/>
          <c:order val="2"/>
          <c:tx>
            <c:strRef>
              <c:f>Diagnostics!$A$309</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Diagnostics!$B$309:$AW$309</c:f>
              <c:numCache>
                <c:formatCode>#,##0</c:formatCode>
                <c:ptCount val="48"/>
                <c:pt idx="0">
                  <c:v>1021.9114482591876</c:v>
                </c:pt>
                <c:pt idx="1">
                  <c:v>1021.9114482591876</c:v>
                </c:pt>
                <c:pt idx="2">
                  <c:v>1021.9114482591876</c:v>
                </c:pt>
                <c:pt idx="3">
                  <c:v>1021.9114482591876</c:v>
                </c:pt>
                <c:pt idx="4">
                  <c:v>1021.9114482591876</c:v>
                </c:pt>
                <c:pt idx="5">
                  <c:v>1021.9114482591876</c:v>
                </c:pt>
                <c:pt idx="6">
                  <c:v>1021.9114482591876</c:v>
                </c:pt>
                <c:pt idx="7">
                  <c:v>1021.9114482591876</c:v>
                </c:pt>
                <c:pt idx="8">
                  <c:v>1021.9114482591876</c:v>
                </c:pt>
                <c:pt idx="9">
                  <c:v>1021.9114482591876</c:v>
                </c:pt>
                <c:pt idx="10">
                  <c:v>1021.9114482591876</c:v>
                </c:pt>
                <c:pt idx="11">
                  <c:v>1021.9114482591876</c:v>
                </c:pt>
                <c:pt idx="12">
                  <c:v>1021.9114482591876</c:v>
                </c:pt>
                <c:pt idx="13">
                  <c:v>1021.9114482591876</c:v>
                </c:pt>
                <c:pt idx="14">
                  <c:v>1021.9114482591876</c:v>
                </c:pt>
                <c:pt idx="15">
                  <c:v>1021.9114482591876</c:v>
                </c:pt>
                <c:pt idx="16">
                  <c:v>1021.9114482591876</c:v>
                </c:pt>
                <c:pt idx="17">
                  <c:v>1021.9114482591876</c:v>
                </c:pt>
                <c:pt idx="18">
                  <c:v>1021.9114482591876</c:v>
                </c:pt>
                <c:pt idx="19">
                  <c:v>1021.9114482591876</c:v>
                </c:pt>
                <c:pt idx="20">
                  <c:v>1021.9114482591876</c:v>
                </c:pt>
                <c:pt idx="21">
                  <c:v>1021.9114482591876</c:v>
                </c:pt>
                <c:pt idx="22">
                  <c:v>1021.9114482591876</c:v>
                </c:pt>
                <c:pt idx="23">
                  <c:v>1021.9114482591876</c:v>
                </c:pt>
                <c:pt idx="24">
                  <c:v>1021.9114482591876</c:v>
                </c:pt>
                <c:pt idx="25">
                  <c:v>1021.9114482591876</c:v>
                </c:pt>
                <c:pt idx="26">
                  <c:v>1021.9114482591876</c:v>
                </c:pt>
                <c:pt idx="27">
                  <c:v>1021.9114482591876</c:v>
                </c:pt>
                <c:pt idx="28">
                  <c:v>1021.9114482591876</c:v>
                </c:pt>
                <c:pt idx="29">
                  <c:v>1021.9114482591876</c:v>
                </c:pt>
                <c:pt idx="30">
                  <c:v>1021.9114482591876</c:v>
                </c:pt>
                <c:pt idx="31">
                  <c:v>1021.9114482591876</c:v>
                </c:pt>
                <c:pt idx="32">
                  <c:v>1021.9114482591876</c:v>
                </c:pt>
                <c:pt idx="33">
                  <c:v>1021.9114482591876</c:v>
                </c:pt>
                <c:pt idx="34">
                  <c:v>1021.9114482591876</c:v>
                </c:pt>
                <c:pt idx="35">
                  <c:v>1021.9114482591876</c:v>
                </c:pt>
                <c:pt idx="36">
                  <c:v>1021.9114482591876</c:v>
                </c:pt>
                <c:pt idx="37">
                  <c:v>1021.9114482591876</c:v>
                </c:pt>
                <c:pt idx="38">
                  <c:v>1021.9114482591876</c:v>
                </c:pt>
                <c:pt idx="39">
                  <c:v>1021.9114482591876</c:v>
                </c:pt>
                <c:pt idx="40">
                  <c:v>1021.9114482591876</c:v>
                </c:pt>
                <c:pt idx="41">
                  <c:v>1021.9114482591876</c:v>
                </c:pt>
                <c:pt idx="42">
                  <c:v>1021.9114482591876</c:v>
                </c:pt>
                <c:pt idx="43">
                  <c:v>1021.9114482591876</c:v>
                </c:pt>
                <c:pt idx="44">
                  <c:v>1021.9114482591876</c:v>
                </c:pt>
                <c:pt idx="45">
                  <c:v>1021.9114482591876</c:v>
                </c:pt>
                <c:pt idx="46">
                  <c:v>1021.9114482591876</c:v>
                </c:pt>
                <c:pt idx="47">
                  <c:v>1021.9114482591876</c:v>
                </c:pt>
              </c:numCache>
            </c:numRef>
          </c:val>
          <c:smooth val="0"/>
        </c:ser>
        <c:ser>
          <c:idx val="2"/>
          <c:order val="3"/>
          <c:tx>
            <c:strRef>
              <c:f>Diagnostics!$A$310</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Diagnostics!$B$310:$AW$310</c:f>
              <c:numCache>
                <c:formatCode>#,##0</c:formatCode>
                <c:ptCount val="48"/>
                <c:pt idx="0">
                  <c:v>597.54309719535786</c:v>
                </c:pt>
                <c:pt idx="1">
                  <c:v>597.54309719535786</c:v>
                </c:pt>
                <c:pt idx="2">
                  <c:v>597.54309719535786</c:v>
                </c:pt>
                <c:pt idx="3">
                  <c:v>597.54309719535786</c:v>
                </c:pt>
                <c:pt idx="4">
                  <c:v>597.54309719535786</c:v>
                </c:pt>
                <c:pt idx="5">
                  <c:v>597.54309719535786</c:v>
                </c:pt>
                <c:pt idx="6">
                  <c:v>597.54309719535786</c:v>
                </c:pt>
                <c:pt idx="7">
                  <c:v>597.54309719535786</c:v>
                </c:pt>
                <c:pt idx="8">
                  <c:v>597.54309719535786</c:v>
                </c:pt>
                <c:pt idx="9">
                  <c:v>597.54309719535786</c:v>
                </c:pt>
                <c:pt idx="10">
                  <c:v>597.54309719535786</c:v>
                </c:pt>
                <c:pt idx="11">
                  <c:v>597.54309719535786</c:v>
                </c:pt>
                <c:pt idx="12">
                  <c:v>597.54309719535786</c:v>
                </c:pt>
                <c:pt idx="13">
                  <c:v>597.54309719535786</c:v>
                </c:pt>
                <c:pt idx="14">
                  <c:v>597.54309719535786</c:v>
                </c:pt>
                <c:pt idx="15">
                  <c:v>597.54309719535786</c:v>
                </c:pt>
                <c:pt idx="16">
                  <c:v>597.54309719535786</c:v>
                </c:pt>
                <c:pt idx="17">
                  <c:v>597.54309719535786</c:v>
                </c:pt>
                <c:pt idx="18">
                  <c:v>597.54309719535786</c:v>
                </c:pt>
                <c:pt idx="19">
                  <c:v>597.54309719535786</c:v>
                </c:pt>
                <c:pt idx="20">
                  <c:v>597.54309719535786</c:v>
                </c:pt>
                <c:pt idx="21">
                  <c:v>597.54309719535786</c:v>
                </c:pt>
                <c:pt idx="22">
                  <c:v>597.54309719535786</c:v>
                </c:pt>
                <c:pt idx="23">
                  <c:v>597.54309719535786</c:v>
                </c:pt>
                <c:pt idx="24">
                  <c:v>597.54309719535786</c:v>
                </c:pt>
                <c:pt idx="25">
                  <c:v>597.54309719535786</c:v>
                </c:pt>
                <c:pt idx="26">
                  <c:v>597.54309719535786</c:v>
                </c:pt>
                <c:pt idx="27">
                  <c:v>597.54309719535786</c:v>
                </c:pt>
                <c:pt idx="28">
                  <c:v>597.54309719535786</c:v>
                </c:pt>
                <c:pt idx="29">
                  <c:v>597.54309719535786</c:v>
                </c:pt>
                <c:pt idx="30">
                  <c:v>597.54309719535786</c:v>
                </c:pt>
                <c:pt idx="31">
                  <c:v>597.54309719535786</c:v>
                </c:pt>
                <c:pt idx="32">
                  <c:v>597.54309719535786</c:v>
                </c:pt>
                <c:pt idx="33">
                  <c:v>597.54309719535786</c:v>
                </c:pt>
                <c:pt idx="34">
                  <c:v>597.54309719535786</c:v>
                </c:pt>
                <c:pt idx="35">
                  <c:v>597.54309719535786</c:v>
                </c:pt>
                <c:pt idx="36">
                  <c:v>597.54309719535786</c:v>
                </c:pt>
                <c:pt idx="37">
                  <c:v>597.54309719535786</c:v>
                </c:pt>
                <c:pt idx="38">
                  <c:v>597.54309719535786</c:v>
                </c:pt>
                <c:pt idx="39">
                  <c:v>597.54309719535786</c:v>
                </c:pt>
                <c:pt idx="40">
                  <c:v>597.54309719535786</c:v>
                </c:pt>
                <c:pt idx="41">
                  <c:v>597.54309719535786</c:v>
                </c:pt>
                <c:pt idx="42">
                  <c:v>597.54309719535786</c:v>
                </c:pt>
                <c:pt idx="43">
                  <c:v>597.54309719535786</c:v>
                </c:pt>
                <c:pt idx="44">
                  <c:v>597.54309719535786</c:v>
                </c:pt>
                <c:pt idx="45">
                  <c:v>597.54309719535786</c:v>
                </c:pt>
                <c:pt idx="46">
                  <c:v>597.54309719535786</c:v>
                </c:pt>
                <c:pt idx="47">
                  <c:v>597.54309719535786</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6957568"/>
        <c:axId val="209322752"/>
      </c:lineChart>
      <c:dateAx>
        <c:axId val="2069575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9322752"/>
        <c:crosses val="autoZero"/>
        <c:auto val="1"/>
        <c:lblOffset val="100"/>
        <c:baseTimeUnit val="months"/>
        <c:majorUnit val="1"/>
        <c:majorTimeUnit val="months"/>
      </c:dateAx>
      <c:valAx>
        <c:axId val="2093227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6957568"/>
        <c:crosses val="autoZero"/>
        <c:crossBetween val="between"/>
      </c:valAx>
    </c:plotArea>
    <c:legend>
      <c:legendPos val="r"/>
      <c:layout>
        <c:manualLayout>
          <c:xMode val="edge"/>
          <c:yMode val="edge"/>
          <c:x val="5.4824561403508934E-3"/>
          <c:y val="0.91181657848324449"/>
          <c:w val="0.98372015725108664"/>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789"/>
          <c:h val="0.75445624852449578"/>
        </c:manualLayout>
      </c:layout>
      <c:lineChart>
        <c:grouping val="standard"/>
        <c:varyColors val="0"/>
        <c:ser>
          <c:idx val="4"/>
          <c:order val="0"/>
          <c:tx>
            <c:strRef>
              <c:f>Diagnostics!$A$297</c:f>
              <c:strCache>
                <c:ptCount val="1"/>
                <c:pt idx="0">
                  <c:v>Colonoscopy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1"/>
            <c:marker>
              <c:spPr>
                <a:solidFill>
                  <a:schemeClr val="bg1"/>
                </a:solidFill>
                <a:ln w="25400">
                  <a:solidFill>
                    <a:srgbClr val="0070C0"/>
                  </a:solidFill>
                </a:ln>
              </c:spPr>
            </c:marker>
            <c:bubble3D val="0"/>
          </c:dPt>
          <c:dPt>
            <c:idx val="2"/>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Diagnostics!$B$297:$AW$297</c:f>
              <c:numCache>
                <c:formatCode>#,##0</c:formatCode>
                <c:ptCount val="48"/>
                <c:pt idx="0">
                  <c:v>285</c:v>
                </c:pt>
                <c:pt idx="1">
                  <c:v>303</c:v>
                </c:pt>
                <c:pt idx="2">
                  <c:v>421</c:v>
                </c:pt>
                <c:pt idx="3">
                  <c:v>654</c:v>
                </c:pt>
                <c:pt idx="4">
                  <c:v>674</c:v>
                </c:pt>
                <c:pt idx="5">
                  <c:v>680</c:v>
                </c:pt>
                <c:pt idx="6">
                  <c:v>639</c:v>
                </c:pt>
                <c:pt idx="7">
                  <c:v>406</c:v>
                </c:pt>
                <c:pt idx="8">
                  <c:v>457</c:v>
                </c:pt>
                <c:pt idx="9">
                  <c:v>418</c:v>
                </c:pt>
                <c:pt idx="10">
                  <c:v>210</c:v>
                </c:pt>
                <c:pt idx="11">
                  <c:v>229</c:v>
                </c:pt>
                <c:pt idx="12">
                  <c:v>448</c:v>
                </c:pt>
                <c:pt idx="13">
                  <c:v>507</c:v>
                </c:pt>
                <c:pt idx="14">
                  <c:v>568</c:v>
                </c:pt>
                <c:pt idx="15">
                  <c:v>682</c:v>
                </c:pt>
                <c:pt idx="16">
                  <c:v>716</c:v>
                </c:pt>
                <c:pt idx="17">
                  <c:v>742</c:v>
                </c:pt>
                <c:pt idx="18">
                  <c:v>767</c:v>
                </c:pt>
                <c:pt idx="19">
                  <c:v>780</c:v>
                </c:pt>
                <c:pt idx="20">
                  <c:v>746</c:v>
                </c:pt>
                <c:pt idx="21">
                  <c:v>728</c:v>
                </c:pt>
                <c:pt idx="22">
                  <c:v>660</c:v>
                </c:pt>
                <c:pt idx="23">
                  <c:v>669</c:v>
                </c:pt>
                <c:pt idx="24">
                  <c:v>762</c:v>
                </c:pt>
                <c:pt idx="25">
                  <c:v>835</c:v>
                </c:pt>
                <c:pt idx="26">
                  <c:v>846</c:v>
                </c:pt>
                <c:pt idx="27">
                  <c:v>961</c:v>
                </c:pt>
                <c:pt idx="28">
                  <c:v>1065</c:v>
                </c:pt>
                <c:pt idx="29">
                  <c:v>1076</c:v>
                </c:pt>
                <c:pt idx="30">
                  <c:v>1050</c:v>
                </c:pt>
                <c:pt idx="31">
                  <c:v>986</c:v>
                </c:pt>
                <c:pt idx="32">
                  <c:v>1122</c:v>
                </c:pt>
              </c:numCache>
            </c:numRef>
          </c:val>
          <c:smooth val="0"/>
        </c:ser>
        <c:ser>
          <c:idx val="3"/>
          <c:order val="1"/>
          <c:tx>
            <c:strRef>
              <c:f>Diagnostics!$A$317</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Diagnostics!$B$317:$AW$317</c:f>
              <c:numCache>
                <c:formatCode>#,##0</c:formatCode>
                <c:ptCount val="48"/>
                <c:pt idx="0">
                  <c:v>669.4545454545455</c:v>
                </c:pt>
                <c:pt idx="1">
                  <c:v>669.4545454545455</c:v>
                </c:pt>
                <c:pt idx="2">
                  <c:v>669.4545454545455</c:v>
                </c:pt>
                <c:pt idx="3">
                  <c:v>669.4545454545455</c:v>
                </c:pt>
                <c:pt idx="4">
                  <c:v>669.4545454545455</c:v>
                </c:pt>
                <c:pt idx="5">
                  <c:v>669.4545454545455</c:v>
                </c:pt>
                <c:pt idx="6">
                  <c:v>669.4545454545455</c:v>
                </c:pt>
                <c:pt idx="7">
                  <c:v>669.4545454545455</c:v>
                </c:pt>
                <c:pt idx="8">
                  <c:v>669.4545454545455</c:v>
                </c:pt>
                <c:pt idx="9">
                  <c:v>669.4545454545455</c:v>
                </c:pt>
                <c:pt idx="10">
                  <c:v>669.4545454545455</c:v>
                </c:pt>
                <c:pt idx="11">
                  <c:v>669.4545454545455</c:v>
                </c:pt>
                <c:pt idx="12">
                  <c:v>669.4545454545455</c:v>
                </c:pt>
                <c:pt idx="13">
                  <c:v>669.4545454545455</c:v>
                </c:pt>
                <c:pt idx="14">
                  <c:v>669.4545454545455</c:v>
                </c:pt>
                <c:pt idx="15">
                  <c:v>669.4545454545455</c:v>
                </c:pt>
                <c:pt idx="16">
                  <c:v>669.4545454545455</c:v>
                </c:pt>
                <c:pt idx="17">
                  <c:v>669.4545454545455</c:v>
                </c:pt>
                <c:pt idx="18">
                  <c:v>669.4545454545455</c:v>
                </c:pt>
                <c:pt idx="19">
                  <c:v>669.4545454545455</c:v>
                </c:pt>
                <c:pt idx="20">
                  <c:v>669.4545454545455</c:v>
                </c:pt>
                <c:pt idx="21">
                  <c:v>669.4545454545455</c:v>
                </c:pt>
                <c:pt idx="22">
                  <c:v>669.4545454545455</c:v>
                </c:pt>
                <c:pt idx="23">
                  <c:v>669.4545454545455</c:v>
                </c:pt>
                <c:pt idx="24">
                  <c:v>669.4545454545455</c:v>
                </c:pt>
                <c:pt idx="25">
                  <c:v>669.4545454545455</c:v>
                </c:pt>
                <c:pt idx="26">
                  <c:v>669.4545454545455</c:v>
                </c:pt>
                <c:pt idx="27">
                  <c:v>669.4545454545455</c:v>
                </c:pt>
                <c:pt idx="28">
                  <c:v>669.4545454545455</c:v>
                </c:pt>
                <c:pt idx="29">
                  <c:v>669.4545454545455</c:v>
                </c:pt>
                <c:pt idx="30">
                  <c:v>669.4545454545455</c:v>
                </c:pt>
                <c:pt idx="31">
                  <c:v>669.4545454545455</c:v>
                </c:pt>
                <c:pt idx="32">
                  <c:v>669.4545454545455</c:v>
                </c:pt>
                <c:pt idx="33">
                  <c:v>669.4545454545455</c:v>
                </c:pt>
                <c:pt idx="34">
                  <c:v>669.4545454545455</c:v>
                </c:pt>
                <c:pt idx="35">
                  <c:v>669.4545454545455</c:v>
                </c:pt>
                <c:pt idx="36">
                  <c:v>669.4545454545455</c:v>
                </c:pt>
                <c:pt idx="37">
                  <c:v>669.4545454545455</c:v>
                </c:pt>
                <c:pt idx="38">
                  <c:v>669.4545454545455</c:v>
                </c:pt>
                <c:pt idx="39">
                  <c:v>669.4545454545455</c:v>
                </c:pt>
                <c:pt idx="40">
                  <c:v>669.4545454545455</c:v>
                </c:pt>
                <c:pt idx="41">
                  <c:v>669.4545454545455</c:v>
                </c:pt>
                <c:pt idx="42">
                  <c:v>669.4545454545455</c:v>
                </c:pt>
                <c:pt idx="43">
                  <c:v>669.4545454545455</c:v>
                </c:pt>
                <c:pt idx="44">
                  <c:v>669.4545454545455</c:v>
                </c:pt>
                <c:pt idx="45">
                  <c:v>669.4545454545455</c:v>
                </c:pt>
                <c:pt idx="46">
                  <c:v>669.4545454545455</c:v>
                </c:pt>
                <c:pt idx="47">
                  <c:v>669.4545454545455</c:v>
                </c:pt>
              </c:numCache>
            </c:numRef>
          </c:val>
          <c:smooth val="0"/>
        </c:ser>
        <c:ser>
          <c:idx val="1"/>
          <c:order val="2"/>
          <c:tx>
            <c:strRef>
              <c:f>Diagnostics!$A$320</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Diagnostics!$B$320:$AW$320</c:f>
              <c:numCache>
                <c:formatCode>#,##0</c:formatCode>
                <c:ptCount val="48"/>
                <c:pt idx="0">
                  <c:v>860.52834864603483</c:v>
                </c:pt>
                <c:pt idx="1">
                  <c:v>860.52834864603483</c:v>
                </c:pt>
                <c:pt idx="2">
                  <c:v>860.52834864603483</c:v>
                </c:pt>
                <c:pt idx="3">
                  <c:v>860.52834864603483</c:v>
                </c:pt>
                <c:pt idx="4">
                  <c:v>860.52834864603483</c:v>
                </c:pt>
                <c:pt idx="5">
                  <c:v>860.52834864603483</c:v>
                </c:pt>
                <c:pt idx="6">
                  <c:v>860.52834864603483</c:v>
                </c:pt>
                <c:pt idx="7">
                  <c:v>860.52834864603483</c:v>
                </c:pt>
                <c:pt idx="8">
                  <c:v>860.52834864603483</c:v>
                </c:pt>
                <c:pt idx="9">
                  <c:v>860.52834864603483</c:v>
                </c:pt>
                <c:pt idx="10">
                  <c:v>860.52834864603483</c:v>
                </c:pt>
                <c:pt idx="11">
                  <c:v>860.52834864603483</c:v>
                </c:pt>
                <c:pt idx="12">
                  <c:v>860.52834864603483</c:v>
                </c:pt>
                <c:pt idx="13">
                  <c:v>860.52834864603483</c:v>
                </c:pt>
                <c:pt idx="14">
                  <c:v>860.52834864603483</c:v>
                </c:pt>
                <c:pt idx="15">
                  <c:v>860.52834864603483</c:v>
                </c:pt>
                <c:pt idx="16">
                  <c:v>860.52834864603483</c:v>
                </c:pt>
                <c:pt idx="17">
                  <c:v>860.52834864603483</c:v>
                </c:pt>
                <c:pt idx="18">
                  <c:v>860.52834864603483</c:v>
                </c:pt>
                <c:pt idx="19">
                  <c:v>860.52834864603483</c:v>
                </c:pt>
                <c:pt idx="20">
                  <c:v>860.52834864603483</c:v>
                </c:pt>
                <c:pt idx="21">
                  <c:v>860.52834864603483</c:v>
                </c:pt>
                <c:pt idx="22">
                  <c:v>860.52834864603483</c:v>
                </c:pt>
                <c:pt idx="23">
                  <c:v>860.52834864603483</c:v>
                </c:pt>
                <c:pt idx="24">
                  <c:v>860.52834864603483</c:v>
                </c:pt>
                <c:pt idx="25">
                  <c:v>860.52834864603483</c:v>
                </c:pt>
                <c:pt idx="26">
                  <c:v>860.52834864603483</c:v>
                </c:pt>
                <c:pt idx="27">
                  <c:v>860.52834864603483</c:v>
                </c:pt>
                <c:pt idx="28">
                  <c:v>860.52834864603483</c:v>
                </c:pt>
                <c:pt idx="29">
                  <c:v>860.52834864603483</c:v>
                </c:pt>
                <c:pt idx="30">
                  <c:v>860.52834864603483</c:v>
                </c:pt>
                <c:pt idx="31">
                  <c:v>860.52834864603483</c:v>
                </c:pt>
                <c:pt idx="32">
                  <c:v>860.52834864603483</c:v>
                </c:pt>
                <c:pt idx="33">
                  <c:v>860.52834864603483</c:v>
                </c:pt>
                <c:pt idx="34">
                  <c:v>860.52834864603483</c:v>
                </c:pt>
                <c:pt idx="35">
                  <c:v>860.52834864603483</c:v>
                </c:pt>
                <c:pt idx="36">
                  <c:v>860.52834864603483</c:v>
                </c:pt>
                <c:pt idx="37">
                  <c:v>860.52834864603483</c:v>
                </c:pt>
                <c:pt idx="38">
                  <c:v>860.52834864603483</c:v>
                </c:pt>
                <c:pt idx="39">
                  <c:v>860.52834864603483</c:v>
                </c:pt>
                <c:pt idx="40">
                  <c:v>860.52834864603483</c:v>
                </c:pt>
                <c:pt idx="41">
                  <c:v>860.52834864603483</c:v>
                </c:pt>
                <c:pt idx="42">
                  <c:v>860.52834864603483</c:v>
                </c:pt>
                <c:pt idx="43">
                  <c:v>860.52834864603483</c:v>
                </c:pt>
                <c:pt idx="44">
                  <c:v>860.52834864603483</c:v>
                </c:pt>
                <c:pt idx="45">
                  <c:v>860.52834864603483</c:v>
                </c:pt>
                <c:pt idx="46">
                  <c:v>860.52834864603483</c:v>
                </c:pt>
                <c:pt idx="47">
                  <c:v>860.52834864603483</c:v>
                </c:pt>
              </c:numCache>
            </c:numRef>
          </c:val>
          <c:smooth val="0"/>
        </c:ser>
        <c:ser>
          <c:idx val="2"/>
          <c:order val="3"/>
          <c:tx>
            <c:strRef>
              <c:f>Diagnostics!$A$321</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Diagnostics!$B$321:$AW$321</c:f>
              <c:numCache>
                <c:formatCode>#,##0</c:formatCode>
                <c:ptCount val="48"/>
                <c:pt idx="0">
                  <c:v>478.38074226305611</c:v>
                </c:pt>
                <c:pt idx="1">
                  <c:v>478.38074226305611</c:v>
                </c:pt>
                <c:pt idx="2">
                  <c:v>478.38074226305611</c:v>
                </c:pt>
                <c:pt idx="3">
                  <c:v>478.38074226305611</c:v>
                </c:pt>
                <c:pt idx="4">
                  <c:v>478.38074226305611</c:v>
                </c:pt>
                <c:pt idx="5">
                  <c:v>478.38074226305611</c:v>
                </c:pt>
                <c:pt idx="6">
                  <c:v>478.38074226305611</c:v>
                </c:pt>
                <c:pt idx="7">
                  <c:v>478.38074226305611</c:v>
                </c:pt>
                <c:pt idx="8">
                  <c:v>478.38074226305611</c:v>
                </c:pt>
                <c:pt idx="9">
                  <c:v>478.38074226305611</c:v>
                </c:pt>
                <c:pt idx="10">
                  <c:v>478.38074226305611</c:v>
                </c:pt>
                <c:pt idx="11">
                  <c:v>478.38074226305611</c:v>
                </c:pt>
                <c:pt idx="12">
                  <c:v>478.38074226305611</c:v>
                </c:pt>
                <c:pt idx="13">
                  <c:v>478.38074226305611</c:v>
                </c:pt>
                <c:pt idx="14">
                  <c:v>478.38074226305611</c:v>
                </c:pt>
                <c:pt idx="15">
                  <c:v>478.38074226305611</c:v>
                </c:pt>
                <c:pt idx="16">
                  <c:v>478.38074226305611</c:v>
                </c:pt>
                <c:pt idx="17">
                  <c:v>478.38074226305611</c:v>
                </c:pt>
                <c:pt idx="18">
                  <c:v>478.38074226305611</c:v>
                </c:pt>
                <c:pt idx="19">
                  <c:v>478.38074226305611</c:v>
                </c:pt>
                <c:pt idx="20">
                  <c:v>478.38074226305611</c:v>
                </c:pt>
                <c:pt idx="21">
                  <c:v>478.38074226305611</c:v>
                </c:pt>
                <c:pt idx="22">
                  <c:v>478.38074226305611</c:v>
                </c:pt>
                <c:pt idx="23">
                  <c:v>478.38074226305611</c:v>
                </c:pt>
                <c:pt idx="24">
                  <c:v>478.38074226305611</c:v>
                </c:pt>
                <c:pt idx="25">
                  <c:v>478.38074226305611</c:v>
                </c:pt>
                <c:pt idx="26">
                  <c:v>478.38074226305611</c:v>
                </c:pt>
                <c:pt idx="27">
                  <c:v>478.38074226305611</c:v>
                </c:pt>
                <c:pt idx="28">
                  <c:v>478.38074226305611</c:v>
                </c:pt>
                <c:pt idx="29">
                  <c:v>478.38074226305611</c:v>
                </c:pt>
                <c:pt idx="30">
                  <c:v>478.38074226305611</c:v>
                </c:pt>
                <c:pt idx="31">
                  <c:v>478.38074226305611</c:v>
                </c:pt>
                <c:pt idx="32">
                  <c:v>478.38074226305611</c:v>
                </c:pt>
                <c:pt idx="33">
                  <c:v>478.38074226305611</c:v>
                </c:pt>
                <c:pt idx="34">
                  <c:v>478.38074226305611</c:v>
                </c:pt>
                <c:pt idx="35">
                  <c:v>478.38074226305611</c:v>
                </c:pt>
                <c:pt idx="36">
                  <c:v>478.38074226305611</c:v>
                </c:pt>
                <c:pt idx="37">
                  <c:v>478.38074226305611</c:v>
                </c:pt>
                <c:pt idx="38">
                  <c:v>478.38074226305611</c:v>
                </c:pt>
                <c:pt idx="39">
                  <c:v>478.38074226305611</c:v>
                </c:pt>
                <c:pt idx="40">
                  <c:v>478.38074226305611</c:v>
                </c:pt>
                <c:pt idx="41">
                  <c:v>478.38074226305611</c:v>
                </c:pt>
                <c:pt idx="42">
                  <c:v>478.38074226305611</c:v>
                </c:pt>
                <c:pt idx="43">
                  <c:v>478.38074226305611</c:v>
                </c:pt>
                <c:pt idx="44">
                  <c:v>478.38074226305611</c:v>
                </c:pt>
                <c:pt idx="45">
                  <c:v>478.38074226305611</c:v>
                </c:pt>
                <c:pt idx="46">
                  <c:v>478.38074226305611</c:v>
                </c:pt>
                <c:pt idx="47">
                  <c:v>478.38074226305611</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09411072"/>
        <c:axId val="209425152"/>
      </c:lineChart>
      <c:dateAx>
        <c:axId val="2094110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09425152"/>
        <c:crosses val="autoZero"/>
        <c:auto val="1"/>
        <c:lblOffset val="100"/>
        <c:baseTimeUnit val="months"/>
        <c:majorUnit val="1"/>
        <c:majorTimeUnit val="months"/>
      </c:dateAx>
      <c:valAx>
        <c:axId val="2094251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9411072"/>
        <c:crosses val="autoZero"/>
        <c:crossBetween val="between"/>
      </c:valAx>
      <c:spPr>
        <a:noFill/>
        <a:ln w="25400">
          <a:noFill/>
        </a:ln>
      </c:spPr>
    </c:plotArea>
    <c:legend>
      <c:legendPos val="r"/>
      <c:layout>
        <c:manualLayout>
          <c:xMode val="edge"/>
          <c:yMode val="edge"/>
          <c:x val="5.4824561403508934E-3"/>
          <c:y val="0.93298059964726043"/>
          <c:w val="0.97801906340654865"/>
          <c:h val="6.70194003527344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789"/>
          <c:h val="0.76151092224583061"/>
        </c:manualLayout>
      </c:layout>
      <c:lineChart>
        <c:grouping val="standard"/>
        <c:varyColors val="0"/>
        <c:ser>
          <c:idx val="4"/>
          <c:order val="0"/>
          <c:tx>
            <c:strRef>
              <c:f>Diagnostics!$A$298</c:f>
              <c:strCache>
                <c:ptCount val="1"/>
                <c:pt idx="0">
                  <c:v>Flexible Sigmoidoscopy (Lower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5"/>
            <c:bubble3D val="0"/>
            <c:spPr>
              <a:ln w="25400" cap="rnd">
                <a:solidFill>
                  <a:srgbClr val="00B050"/>
                </a:solidFill>
                <a:round/>
                <a:headEnd type="none"/>
              </a:ln>
              <a:effectLst/>
            </c:spPr>
          </c:dPt>
          <c:dPt>
            <c:idx val="6"/>
            <c:bubble3D val="0"/>
            <c:spPr>
              <a:ln w="25400" cap="rnd">
                <a:solidFill>
                  <a:srgbClr val="00B050"/>
                </a:solidFill>
                <a:round/>
                <a:headEnd type="none"/>
              </a:ln>
              <a:effectLst/>
            </c:spPr>
          </c:dPt>
          <c:dPt>
            <c:idx val="7"/>
            <c:marker>
              <c:spPr>
                <a:solidFill>
                  <a:schemeClr val="bg1"/>
                </a:solidFill>
                <a:ln w="25400">
                  <a:solidFill>
                    <a:srgbClr val="0070C0"/>
                  </a:solidFill>
                </a:ln>
              </c:spPr>
            </c:marker>
            <c:bubble3D val="0"/>
            <c:spPr>
              <a:ln w="25400" cap="rnd">
                <a:solidFill>
                  <a:srgbClr val="00B050"/>
                </a:solidFill>
                <a:round/>
                <a:headEnd type="none"/>
              </a:ln>
              <a:effectLst/>
            </c:spPr>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Diagnostics!$B$298:$AW$298</c:f>
              <c:numCache>
                <c:formatCode>#,##0</c:formatCode>
                <c:ptCount val="48"/>
                <c:pt idx="0">
                  <c:v>262</c:v>
                </c:pt>
                <c:pt idx="1">
                  <c:v>284</c:v>
                </c:pt>
                <c:pt idx="2">
                  <c:v>294</c:v>
                </c:pt>
                <c:pt idx="3">
                  <c:v>310</c:v>
                </c:pt>
                <c:pt idx="4">
                  <c:v>278</c:v>
                </c:pt>
                <c:pt idx="5">
                  <c:v>235</c:v>
                </c:pt>
                <c:pt idx="6">
                  <c:v>246</c:v>
                </c:pt>
                <c:pt idx="7">
                  <c:v>171</c:v>
                </c:pt>
                <c:pt idx="8">
                  <c:v>162</c:v>
                </c:pt>
                <c:pt idx="9">
                  <c:v>173</c:v>
                </c:pt>
                <c:pt idx="10">
                  <c:v>142</c:v>
                </c:pt>
                <c:pt idx="11">
                  <c:v>162</c:v>
                </c:pt>
                <c:pt idx="12">
                  <c:v>209</c:v>
                </c:pt>
                <c:pt idx="13">
                  <c:v>198</c:v>
                </c:pt>
                <c:pt idx="14">
                  <c:v>192</c:v>
                </c:pt>
                <c:pt idx="15">
                  <c:v>244</c:v>
                </c:pt>
                <c:pt idx="16">
                  <c:v>347</c:v>
                </c:pt>
                <c:pt idx="17">
                  <c:v>391</c:v>
                </c:pt>
                <c:pt idx="18">
                  <c:v>395</c:v>
                </c:pt>
                <c:pt idx="19">
                  <c:v>375</c:v>
                </c:pt>
                <c:pt idx="20">
                  <c:v>308</c:v>
                </c:pt>
                <c:pt idx="21">
                  <c:v>345</c:v>
                </c:pt>
                <c:pt idx="22">
                  <c:v>299</c:v>
                </c:pt>
                <c:pt idx="23">
                  <c:v>311</c:v>
                </c:pt>
                <c:pt idx="24">
                  <c:v>372</c:v>
                </c:pt>
                <c:pt idx="25">
                  <c:v>377</c:v>
                </c:pt>
                <c:pt idx="26">
                  <c:v>420</c:v>
                </c:pt>
                <c:pt idx="27">
                  <c:v>450</c:v>
                </c:pt>
                <c:pt idx="28">
                  <c:v>459</c:v>
                </c:pt>
                <c:pt idx="29">
                  <c:v>495</c:v>
                </c:pt>
                <c:pt idx="30">
                  <c:v>508</c:v>
                </c:pt>
                <c:pt idx="31">
                  <c:v>479</c:v>
                </c:pt>
                <c:pt idx="32">
                  <c:v>483</c:v>
                </c:pt>
              </c:numCache>
            </c:numRef>
          </c:val>
          <c:smooth val="0"/>
        </c:ser>
        <c:ser>
          <c:idx val="3"/>
          <c:order val="1"/>
          <c:tx>
            <c:strRef>
              <c:f>Diagnostics!$A$328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Diagnostics!$B$328:$AW$328</c:f>
              <c:numCache>
                <c:formatCode>#,##0</c:formatCode>
                <c:ptCount val="48"/>
                <c:pt idx="0">
                  <c:v>314.42424242424244</c:v>
                </c:pt>
                <c:pt idx="1">
                  <c:v>314.42424242424244</c:v>
                </c:pt>
                <c:pt idx="2">
                  <c:v>314.42424242424244</c:v>
                </c:pt>
                <c:pt idx="3">
                  <c:v>314.42424242424244</c:v>
                </c:pt>
                <c:pt idx="4">
                  <c:v>314.42424242424244</c:v>
                </c:pt>
                <c:pt idx="5">
                  <c:v>314.42424242424244</c:v>
                </c:pt>
                <c:pt idx="6">
                  <c:v>314.42424242424244</c:v>
                </c:pt>
                <c:pt idx="7">
                  <c:v>314.42424242424244</c:v>
                </c:pt>
                <c:pt idx="8">
                  <c:v>314.42424242424244</c:v>
                </c:pt>
                <c:pt idx="9">
                  <c:v>314.42424242424244</c:v>
                </c:pt>
                <c:pt idx="10">
                  <c:v>314.42424242424244</c:v>
                </c:pt>
                <c:pt idx="11">
                  <c:v>314.42424242424244</c:v>
                </c:pt>
                <c:pt idx="12">
                  <c:v>314.42424242424244</c:v>
                </c:pt>
                <c:pt idx="13">
                  <c:v>314.42424242424244</c:v>
                </c:pt>
                <c:pt idx="14">
                  <c:v>314.42424242424244</c:v>
                </c:pt>
                <c:pt idx="15">
                  <c:v>314.42424242424244</c:v>
                </c:pt>
                <c:pt idx="16">
                  <c:v>314.42424242424244</c:v>
                </c:pt>
                <c:pt idx="17">
                  <c:v>314.42424242424244</c:v>
                </c:pt>
                <c:pt idx="18">
                  <c:v>314.42424242424244</c:v>
                </c:pt>
                <c:pt idx="19">
                  <c:v>314.42424242424244</c:v>
                </c:pt>
                <c:pt idx="20">
                  <c:v>314.42424242424244</c:v>
                </c:pt>
                <c:pt idx="21">
                  <c:v>314.42424242424244</c:v>
                </c:pt>
                <c:pt idx="22">
                  <c:v>314.42424242424244</c:v>
                </c:pt>
                <c:pt idx="23">
                  <c:v>314.42424242424244</c:v>
                </c:pt>
                <c:pt idx="24">
                  <c:v>314.42424242424244</c:v>
                </c:pt>
                <c:pt idx="25">
                  <c:v>314.42424242424244</c:v>
                </c:pt>
                <c:pt idx="26">
                  <c:v>314.42424242424244</c:v>
                </c:pt>
                <c:pt idx="27">
                  <c:v>314.42424242424244</c:v>
                </c:pt>
                <c:pt idx="28">
                  <c:v>314.42424242424244</c:v>
                </c:pt>
                <c:pt idx="29">
                  <c:v>314.42424242424244</c:v>
                </c:pt>
                <c:pt idx="30">
                  <c:v>314.42424242424244</c:v>
                </c:pt>
                <c:pt idx="31">
                  <c:v>314.42424242424244</c:v>
                </c:pt>
                <c:pt idx="32">
                  <c:v>314.42424242424244</c:v>
                </c:pt>
                <c:pt idx="33">
                  <c:v>314.42424242424244</c:v>
                </c:pt>
                <c:pt idx="34">
                  <c:v>314.42424242424244</c:v>
                </c:pt>
                <c:pt idx="35">
                  <c:v>314.42424242424244</c:v>
                </c:pt>
                <c:pt idx="36">
                  <c:v>314.42424242424244</c:v>
                </c:pt>
                <c:pt idx="37">
                  <c:v>314.42424242424244</c:v>
                </c:pt>
                <c:pt idx="38">
                  <c:v>314.42424242424244</c:v>
                </c:pt>
                <c:pt idx="39">
                  <c:v>314.42424242424244</c:v>
                </c:pt>
                <c:pt idx="40">
                  <c:v>314.42424242424244</c:v>
                </c:pt>
                <c:pt idx="41">
                  <c:v>314.42424242424244</c:v>
                </c:pt>
                <c:pt idx="42">
                  <c:v>314.42424242424244</c:v>
                </c:pt>
                <c:pt idx="43">
                  <c:v>314.42424242424244</c:v>
                </c:pt>
                <c:pt idx="44">
                  <c:v>314.42424242424244</c:v>
                </c:pt>
                <c:pt idx="45">
                  <c:v>314.42424242424244</c:v>
                </c:pt>
                <c:pt idx="46">
                  <c:v>314.42424242424244</c:v>
                </c:pt>
                <c:pt idx="47">
                  <c:v>314.42424242424244</c:v>
                </c:pt>
              </c:numCache>
            </c:numRef>
          </c:val>
          <c:smooth val="0"/>
        </c:ser>
        <c:ser>
          <c:idx val="1"/>
          <c:order val="2"/>
          <c:tx>
            <c:strRef>
              <c:f>Diagnostics!$A$331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Diagnostics!$B$331:$AW$331</c:f>
              <c:numCache>
                <c:formatCode>#,##0</c:formatCode>
                <c:ptCount val="48"/>
                <c:pt idx="0">
                  <c:v>394.12836476466799</c:v>
                </c:pt>
                <c:pt idx="1">
                  <c:v>394.12836476466799</c:v>
                </c:pt>
                <c:pt idx="2">
                  <c:v>394.12836476466799</c:v>
                </c:pt>
                <c:pt idx="3">
                  <c:v>394.12836476466799</c:v>
                </c:pt>
                <c:pt idx="4">
                  <c:v>394.12836476466799</c:v>
                </c:pt>
                <c:pt idx="5">
                  <c:v>394.12836476466799</c:v>
                </c:pt>
                <c:pt idx="6">
                  <c:v>394.12836476466799</c:v>
                </c:pt>
                <c:pt idx="7">
                  <c:v>394.12836476466799</c:v>
                </c:pt>
                <c:pt idx="8">
                  <c:v>394.12836476466799</c:v>
                </c:pt>
                <c:pt idx="9">
                  <c:v>394.12836476466799</c:v>
                </c:pt>
                <c:pt idx="10">
                  <c:v>394.12836476466799</c:v>
                </c:pt>
                <c:pt idx="11">
                  <c:v>394.12836476466799</c:v>
                </c:pt>
                <c:pt idx="12">
                  <c:v>394.12836476466799</c:v>
                </c:pt>
                <c:pt idx="13">
                  <c:v>394.12836476466799</c:v>
                </c:pt>
                <c:pt idx="14">
                  <c:v>394.12836476466799</c:v>
                </c:pt>
                <c:pt idx="15">
                  <c:v>394.12836476466799</c:v>
                </c:pt>
                <c:pt idx="16">
                  <c:v>394.12836476466799</c:v>
                </c:pt>
                <c:pt idx="17">
                  <c:v>394.12836476466799</c:v>
                </c:pt>
                <c:pt idx="18">
                  <c:v>394.12836476466799</c:v>
                </c:pt>
                <c:pt idx="19">
                  <c:v>394.12836476466799</c:v>
                </c:pt>
                <c:pt idx="20">
                  <c:v>394.12836476466799</c:v>
                </c:pt>
                <c:pt idx="21">
                  <c:v>394.12836476466799</c:v>
                </c:pt>
                <c:pt idx="22">
                  <c:v>394.12836476466799</c:v>
                </c:pt>
                <c:pt idx="23">
                  <c:v>394.12836476466799</c:v>
                </c:pt>
                <c:pt idx="24">
                  <c:v>394.12836476466799</c:v>
                </c:pt>
                <c:pt idx="25">
                  <c:v>394.12836476466799</c:v>
                </c:pt>
                <c:pt idx="26">
                  <c:v>394.12836476466799</c:v>
                </c:pt>
                <c:pt idx="27">
                  <c:v>394.12836476466799</c:v>
                </c:pt>
                <c:pt idx="28">
                  <c:v>394.12836476466799</c:v>
                </c:pt>
                <c:pt idx="29">
                  <c:v>394.12836476466799</c:v>
                </c:pt>
                <c:pt idx="30">
                  <c:v>394.12836476466799</c:v>
                </c:pt>
                <c:pt idx="31">
                  <c:v>394.12836476466799</c:v>
                </c:pt>
                <c:pt idx="32">
                  <c:v>394.12836476466799</c:v>
                </c:pt>
                <c:pt idx="33">
                  <c:v>394.12836476466799</c:v>
                </c:pt>
                <c:pt idx="34">
                  <c:v>394.12836476466799</c:v>
                </c:pt>
                <c:pt idx="35">
                  <c:v>394.12836476466799</c:v>
                </c:pt>
                <c:pt idx="36">
                  <c:v>394.12836476466799</c:v>
                </c:pt>
                <c:pt idx="37">
                  <c:v>394.12836476466799</c:v>
                </c:pt>
                <c:pt idx="38">
                  <c:v>394.12836476466799</c:v>
                </c:pt>
                <c:pt idx="39">
                  <c:v>394.12836476466799</c:v>
                </c:pt>
                <c:pt idx="40">
                  <c:v>394.12836476466799</c:v>
                </c:pt>
                <c:pt idx="41">
                  <c:v>394.12836476466799</c:v>
                </c:pt>
                <c:pt idx="42">
                  <c:v>394.12836476466799</c:v>
                </c:pt>
                <c:pt idx="43">
                  <c:v>394.12836476466799</c:v>
                </c:pt>
                <c:pt idx="44">
                  <c:v>394.12836476466799</c:v>
                </c:pt>
                <c:pt idx="45">
                  <c:v>394.12836476466799</c:v>
                </c:pt>
                <c:pt idx="46">
                  <c:v>394.12836476466799</c:v>
                </c:pt>
                <c:pt idx="47">
                  <c:v>394.12836476466799</c:v>
                </c:pt>
              </c:numCache>
            </c:numRef>
          </c:val>
          <c:smooth val="0"/>
        </c:ser>
        <c:ser>
          <c:idx val="2"/>
          <c:order val="3"/>
          <c:tx>
            <c:strRef>
              <c:f>Diagnostics!$A$332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Diagnostics!$B$332:$AW$332</c:f>
              <c:numCache>
                <c:formatCode>#,##0</c:formatCode>
                <c:ptCount val="48"/>
                <c:pt idx="0">
                  <c:v>234.72012008381688</c:v>
                </c:pt>
                <c:pt idx="1">
                  <c:v>234.72012008381688</c:v>
                </c:pt>
                <c:pt idx="2">
                  <c:v>234.72012008381688</c:v>
                </c:pt>
                <c:pt idx="3">
                  <c:v>234.72012008381688</c:v>
                </c:pt>
                <c:pt idx="4">
                  <c:v>234.72012008381688</c:v>
                </c:pt>
                <c:pt idx="5">
                  <c:v>234.72012008381688</c:v>
                </c:pt>
                <c:pt idx="6">
                  <c:v>234.72012008381688</c:v>
                </c:pt>
                <c:pt idx="7">
                  <c:v>234.72012008381688</c:v>
                </c:pt>
                <c:pt idx="8">
                  <c:v>234.72012008381688</c:v>
                </c:pt>
                <c:pt idx="9">
                  <c:v>234.72012008381688</c:v>
                </c:pt>
                <c:pt idx="10">
                  <c:v>234.72012008381688</c:v>
                </c:pt>
                <c:pt idx="11">
                  <c:v>234.72012008381688</c:v>
                </c:pt>
                <c:pt idx="12">
                  <c:v>234.72012008381688</c:v>
                </c:pt>
                <c:pt idx="13">
                  <c:v>234.72012008381688</c:v>
                </c:pt>
                <c:pt idx="14">
                  <c:v>234.72012008381688</c:v>
                </c:pt>
                <c:pt idx="15">
                  <c:v>234.72012008381688</c:v>
                </c:pt>
                <c:pt idx="16">
                  <c:v>234.72012008381688</c:v>
                </c:pt>
                <c:pt idx="17">
                  <c:v>234.72012008381688</c:v>
                </c:pt>
                <c:pt idx="18">
                  <c:v>234.72012008381688</c:v>
                </c:pt>
                <c:pt idx="19">
                  <c:v>234.72012008381688</c:v>
                </c:pt>
                <c:pt idx="20">
                  <c:v>234.72012008381688</c:v>
                </c:pt>
                <c:pt idx="21">
                  <c:v>234.72012008381688</c:v>
                </c:pt>
                <c:pt idx="22">
                  <c:v>234.72012008381688</c:v>
                </c:pt>
                <c:pt idx="23">
                  <c:v>234.72012008381688</c:v>
                </c:pt>
                <c:pt idx="24">
                  <c:v>234.72012008381688</c:v>
                </c:pt>
                <c:pt idx="25">
                  <c:v>234.72012008381688</c:v>
                </c:pt>
                <c:pt idx="26">
                  <c:v>234.72012008381688</c:v>
                </c:pt>
                <c:pt idx="27">
                  <c:v>234.72012008381688</c:v>
                </c:pt>
                <c:pt idx="28">
                  <c:v>234.72012008381688</c:v>
                </c:pt>
                <c:pt idx="29">
                  <c:v>234.72012008381688</c:v>
                </c:pt>
                <c:pt idx="30">
                  <c:v>234.72012008381688</c:v>
                </c:pt>
                <c:pt idx="31">
                  <c:v>234.72012008381688</c:v>
                </c:pt>
                <c:pt idx="32">
                  <c:v>234.72012008381688</c:v>
                </c:pt>
                <c:pt idx="33">
                  <c:v>234.72012008381688</c:v>
                </c:pt>
                <c:pt idx="34">
                  <c:v>234.72012008381688</c:v>
                </c:pt>
                <c:pt idx="35">
                  <c:v>234.72012008381688</c:v>
                </c:pt>
                <c:pt idx="36">
                  <c:v>234.72012008381688</c:v>
                </c:pt>
                <c:pt idx="37">
                  <c:v>234.72012008381688</c:v>
                </c:pt>
                <c:pt idx="38">
                  <c:v>234.72012008381688</c:v>
                </c:pt>
                <c:pt idx="39">
                  <c:v>234.72012008381688</c:v>
                </c:pt>
                <c:pt idx="40">
                  <c:v>234.72012008381688</c:v>
                </c:pt>
                <c:pt idx="41">
                  <c:v>234.72012008381688</c:v>
                </c:pt>
                <c:pt idx="42">
                  <c:v>234.72012008381688</c:v>
                </c:pt>
                <c:pt idx="43">
                  <c:v>234.72012008381688</c:v>
                </c:pt>
                <c:pt idx="44">
                  <c:v>234.72012008381688</c:v>
                </c:pt>
                <c:pt idx="45">
                  <c:v>234.72012008381688</c:v>
                </c:pt>
                <c:pt idx="46">
                  <c:v>234.72012008381688</c:v>
                </c:pt>
                <c:pt idx="47">
                  <c:v>234.72012008381688</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1816832"/>
        <c:axId val="211818368"/>
      </c:lineChart>
      <c:dateAx>
        <c:axId val="211816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1818368"/>
        <c:crosses val="autoZero"/>
        <c:auto val="1"/>
        <c:lblOffset val="100"/>
        <c:baseTimeUnit val="months"/>
        <c:majorUnit val="1"/>
        <c:majorTimeUnit val="months"/>
      </c:dateAx>
      <c:valAx>
        <c:axId val="21181836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1816832"/>
        <c:crosses val="autoZero"/>
        <c:crossBetween val="between"/>
      </c:valAx>
    </c:plotArea>
    <c:legend>
      <c:legendPos val="r"/>
      <c:layout>
        <c:manualLayout>
          <c:xMode val="edge"/>
          <c:yMode val="edge"/>
          <c:x val="5.4824561403508934E-3"/>
          <c:y val="0.92592592592592549"/>
          <c:w val="0.99410093475157713"/>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10857853294814E-2"/>
          <c:y val="4.8959157883042399E-2"/>
          <c:w val="0.93331169130174518"/>
          <c:h val="0.7579835853851602"/>
        </c:manualLayout>
      </c:layout>
      <c:lineChart>
        <c:grouping val="standard"/>
        <c:varyColors val="0"/>
        <c:ser>
          <c:idx val="4"/>
          <c:order val="0"/>
          <c:tx>
            <c:strRef>
              <c:f>Diagnostics!$A$299</c:f>
              <c:strCache>
                <c:ptCount val="1"/>
                <c:pt idx="0">
                  <c:v>Flexible Cystoscopy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6"/>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marker>
              <c:spPr>
                <a:solidFill>
                  <a:schemeClr val="bg1"/>
                </a:solidFill>
                <a:ln w="25400">
                  <a:solidFill>
                    <a:srgbClr val="0070C0"/>
                  </a:solidFill>
                </a:ln>
              </c:spPr>
            </c:marker>
            <c:bubble3D val="0"/>
            <c:spPr>
              <a:ln w="25400" cap="rnd">
                <a:solidFill>
                  <a:srgbClr val="00B050"/>
                </a:solidFill>
                <a:round/>
                <a:headEnd type="none"/>
              </a:ln>
              <a:effectLst/>
            </c:spPr>
          </c:dPt>
          <c:dPt>
            <c:idx val="16"/>
            <c:marker>
              <c:spPr>
                <a:solidFill>
                  <a:schemeClr val="bg1"/>
                </a:solidFill>
                <a:ln w="25400">
                  <a:solidFill>
                    <a:srgbClr val="0070C0"/>
                  </a:solidFill>
                </a:ln>
              </c:spPr>
            </c:marker>
            <c:bubble3D val="0"/>
            <c:spPr>
              <a:ln w="25400" cap="rnd">
                <a:solidFill>
                  <a:srgbClr val="00B050"/>
                </a:solidFill>
                <a:round/>
                <a:headEnd type="none"/>
              </a:ln>
              <a:effectLst/>
            </c:spPr>
          </c:dPt>
          <c:dPt>
            <c:idx val="17"/>
            <c:marker>
              <c:spPr>
                <a:solidFill>
                  <a:schemeClr val="bg1"/>
                </a:solidFill>
                <a:ln w="25400">
                  <a:solidFill>
                    <a:srgbClr val="0070C0"/>
                  </a:solidFill>
                </a:ln>
              </c:spPr>
            </c:marker>
            <c:bubble3D val="0"/>
            <c:spPr>
              <a:ln w="25400" cap="rnd">
                <a:solidFill>
                  <a:srgbClr val="00B050"/>
                </a:solidFill>
                <a:round/>
                <a:headEnd type="none"/>
              </a:ln>
              <a:effectLst/>
            </c:spPr>
          </c:dPt>
          <c:dPt>
            <c:idx val="18"/>
            <c:marker>
              <c:spPr>
                <a:solidFill>
                  <a:schemeClr val="bg1"/>
                </a:solidFill>
                <a:ln w="25400">
                  <a:solidFill>
                    <a:srgbClr val="0070C0"/>
                  </a:solidFill>
                </a:ln>
              </c:spPr>
            </c:marker>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marker>
              <c:spPr>
                <a:solidFill>
                  <a:schemeClr val="bg1"/>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Diagnostics!$B$299:$AW$299</c:f>
              <c:numCache>
                <c:formatCode>#,##0</c:formatCode>
                <c:ptCount val="48"/>
                <c:pt idx="0">
                  <c:v>247</c:v>
                </c:pt>
                <c:pt idx="1">
                  <c:v>224</c:v>
                </c:pt>
                <c:pt idx="2">
                  <c:v>296</c:v>
                </c:pt>
                <c:pt idx="3">
                  <c:v>410</c:v>
                </c:pt>
                <c:pt idx="4">
                  <c:v>470</c:v>
                </c:pt>
                <c:pt idx="5">
                  <c:v>487</c:v>
                </c:pt>
                <c:pt idx="6">
                  <c:v>571</c:v>
                </c:pt>
                <c:pt idx="7">
                  <c:v>179</c:v>
                </c:pt>
                <c:pt idx="8">
                  <c:v>46</c:v>
                </c:pt>
                <c:pt idx="9">
                  <c:v>28</c:v>
                </c:pt>
                <c:pt idx="10">
                  <c:v>27</c:v>
                </c:pt>
                <c:pt idx="11">
                  <c:v>37</c:v>
                </c:pt>
                <c:pt idx="12">
                  <c:v>43</c:v>
                </c:pt>
                <c:pt idx="13">
                  <c:v>73</c:v>
                </c:pt>
                <c:pt idx="14">
                  <c:v>56</c:v>
                </c:pt>
                <c:pt idx="15">
                  <c:v>99</c:v>
                </c:pt>
                <c:pt idx="16">
                  <c:v>55</c:v>
                </c:pt>
                <c:pt idx="17">
                  <c:v>95</c:v>
                </c:pt>
                <c:pt idx="18">
                  <c:v>186</c:v>
                </c:pt>
                <c:pt idx="19">
                  <c:v>247</c:v>
                </c:pt>
                <c:pt idx="20">
                  <c:v>326</c:v>
                </c:pt>
                <c:pt idx="21">
                  <c:v>442</c:v>
                </c:pt>
                <c:pt idx="22">
                  <c:v>429</c:v>
                </c:pt>
                <c:pt idx="23">
                  <c:v>495</c:v>
                </c:pt>
                <c:pt idx="24">
                  <c:v>570</c:v>
                </c:pt>
                <c:pt idx="25">
                  <c:v>649</c:v>
                </c:pt>
                <c:pt idx="26">
                  <c:v>724</c:v>
                </c:pt>
                <c:pt idx="27">
                  <c:v>722</c:v>
                </c:pt>
                <c:pt idx="28">
                  <c:v>753</c:v>
                </c:pt>
                <c:pt idx="29">
                  <c:v>727</c:v>
                </c:pt>
                <c:pt idx="30">
                  <c:v>765</c:v>
                </c:pt>
                <c:pt idx="31">
                  <c:v>773</c:v>
                </c:pt>
                <c:pt idx="32">
                  <c:v>774</c:v>
                </c:pt>
              </c:numCache>
            </c:numRef>
          </c:val>
          <c:smooth val="0"/>
        </c:ser>
        <c:ser>
          <c:idx val="3"/>
          <c:order val="1"/>
          <c:tx>
            <c:strRef>
              <c:f>Diagnostics!$A$339</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Diagnostics!$B$339:$AW$339</c:f>
              <c:numCache>
                <c:formatCode>#,##0</c:formatCode>
                <c:ptCount val="48"/>
                <c:pt idx="0">
                  <c:v>364.39393939393938</c:v>
                </c:pt>
                <c:pt idx="1">
                  <c:v>364.39393939393938</c:v>
                </c:pt>
                <c:pt idx="2">
                  <c:v>364.39393939393938</c:v>
                </c:pt>
                <c:pt idx="3">
                  <c:v>364.39393939393938</c:v>
                </c:pt>
                <c:pt idx="4">
                  <c:v>364.39393939393938</c:v>
                </c:pt>
                <c:pt idx="5">
                  <c:v>364.39393939393938</c:v>
                </c:pt>
                <c:pt idx="6">
                  <c:v>364.39393939393938</c:v>
                </c:pt>
                <c:pt idx="7">
                  <c:v>364.39393939393938</c:v>
                </c:pt>
                <c:pt idx="8">
                  <c:v>364.39393939393938</c:v>
                </c:pt>
                <c:pt idx="9">
                  <c:v>364.39393939393938</c:v>
                </c:pt>
                <c:pt idx="10">
                  <c:v>364.39393939393938</c:v>
                </c:pt>
                <c:pt idx="11">
                  <c:v>364.39393939393938</c:v>
                </c:pt>
                <c:pt idx="12">
                  <c:v>364.39393939393938</c:v>
                </c:pt>
                <c:pt idx="13">
                  <c:v>364.39393939393938</c:v>
                </c:pt>
                <c:pt idx="14">
                  <c:v>364.39393939393938</c:v>
                </c:pt>
                <c:pt idx="15">
                  <c:v>364.39393939393938</c:v>
                </c:pt>
                <c:pt idx="16">
                  <c:v>364.39393939393938</c:v>
                </c:pt>
                <c:pt idx="17">
                  <c:v>364.39393939393938</c:v>
                </c:pt>
                <c:pt idx="18">
                  <c:v>364.39393939393938</c:v>
                </c:pt>
                <c:pt idx="19">
                  <c:v>364.39393939393938</c:v>
                </c:pt>
                <c:pt idx="20">
                  <c:v>364.39393939393938</c:v>
                </c:pt>
                <c:pt idx="21">
                  <c:v>364.39393939393938</c:v>
                </c:pt>
                <c:pt idx="22">
                  <c:v>364.39393939393938</c:v>
                </c:pt>
                <c:pt idx="23">
                  <c:v>364.39393939393938</c:v>
                </c:pt>
                <c:pt idx="24">
                  <c:v>364.39393939393938</c:v>
                </c:pt>
                <c:pt idx="25">
                  <c:v>364.39393939393938</c:v>
                </c:pt>
                <c:pt idx="26">
                  <c:v>364.39393939393938</c:v>
                </c:pt>
                <c:pt idx="27">
                  <c:v>364.39393939393938</c:v>
                </c:pt>
                <c:pt idx="28">
                  <c:v>364.39393939393938</c:v>
                </c:pt>
                <c:pt idx="29">
                  <c:v>364.39393939393938</c:v>
                </c:pt>
                <c:pt idx="30">
                  <c:v>364.39393939393938</c:v>
                </c:pt>
                <c:pt idx="31">
                  <c:v>364.39393939393938</c:v>
                </c:pt>
                <c:pt idx="32">
                  <c:v>364.39393939393938</c:v>
                </c:pt>
                <c:pt idx="33">
                  <c:v>364.39393939393938</c:v>
                </c:pt>
                <c:pt idx="34">
                  <c:v>364.39393939393938</c:v>
                </c:pt>
                <c:pt idx="35">
                  <c:v>364.39393939393938</c:v>
                </c:pt>
                <c:pt idx="36">
                  <c:v>364.39393939393938</c:v>
                </c:pt>
                <c:pt idx="37">
                  <c:v>364.39393939393938</c:v>
                </c:pt>
                <c:pt idx="38">
                  <c:v>364.39393939393938</c:v>
                </c:pt>
                <c:pt idx="39">
                  <c:v>364.39393939393938</c:v>
                </c:pt>
                <c:pt idx="40">
                  <c:v>364.39393939393938</c:v>
                </c:pt>
                <c:pt idx="41">
                  <c:v>364.39393939393938</c:v>
                </c:pt>
                <c:pt idx="42">
                  <c:v>364.39393939393938</c:v>
                </c:pt>
                <c:pt idx="43">
                  <c:v>364.39393939393938</c:v>
                </c:pt>
                <c:pt idx="44">
                  <c:v>364.39393939393938</c:v>
                </c:pt>
                <c:pt idx="45">
                  <c:v>364.39393939393938</c:v>
                </c:pt>
                <c:pt idx="46">
                  <c:v>364.39393939393938</c:v>
                </c:pt>
                <c:pt idx="47">
                  <c:v>364.39393939393938</c:v>
                </c:pt>
              </c:numCache>
            </c:numRef>
          </c:val>
          <c:smooth val="0"/>
        </c:ser>
        <c:ser>
          <c:idx val="1"/>
          <c:order val="2"/>
          <c:tx>
            <c:strRef>
              <c:f>Diagnostics!$A$342</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Diagnostics!$B$342:$AW$342</c:f>
              <c:numCache>
                <c:formatCode>#,##0</c:formatCode>
                <c:ptCount val="48"/>
                <c:pt idx="0">
                  <c:v>519.39726386202449</c:v>
                </c:pt>
                <c:pt idx="1">
                  <c:v>519.39726386202449</c:v>
                </c:pt>
                <c:pt idx="2">
                  <c:v>519.39726386202449</c:v>
                </c:pt>
                <c:pt idx="3">
                  <c:v>519.39726386202449</c:v>
                </c:pt>
                <c:pt idx="4">
                  <c:v>519.39726386202449</c:v>
                </c:pt>
                <c:pt idx="5">
                  <c:v>519.39726386202449</c:v>
                </c:pt>
                <c:pt idx="6">
                  <c:v>519.39726386202449</c:v>
                </c:pt>
                <c:pt idx="7">
                  <c:v>519.39726386202449</c:v>
                </c:pt>
                <c:pt idx="8">
                  <c:v>519.39726386202449</c:v>
                </c:pt>
                <c:pt idx="9">
                  <c:v>519.39726386202449</c:v>
                </c:pt>
                <c:pt idx="10">
                  <c:v>519.39726386202449</c:v>
                </c:pt>
                <c:pt idx="11">
                  <c:v>519.39726386202449</c:v>
                </c:pt>
                <c:pt idx="12">
                  <c:v>519.39726386202449</c:v>
                </c:pt>
                <c:pt idx="13">
                  <c:v>519.39726386202449</c:v>
                </c:pt>
                <c:pt idx="14">
                  <c:v>519.39726386202449</c:v>
                </c:pt>
                <c:pt idx="15">
                  <c:v>519.39726386202449</c:v>
                </c:pt>
                <c:pt idx="16">
                  <c:v>519.39726386202449</c:v>
                </c:pt>
                <c:pt idx="17">
                  <c:v>519.39726386202449</c:v>
                </c:pt>
                <c:pt idx="18">
                  <c:v>519.39726386202449</c:v>
                </c:pt>
                <c:pt idx="19">
                  <c:v>519.39726386202449</c:v>
                </c:pt>
                <c:pt idx="20">
                  <c:v>519.39726386202449</c:v>
                </c:pt>
                <c:pt idx="21">
                  <c:v>519.39726386202449</c:v>
                </c:pt>
                <c:pt idx="22">
                  <c:v>519.39726386202449</c:v>
                </c:pt>
                <c:pt idx="23">
                  <c:v>519.39726386202449</c:v>
                </c:pt>
                <c:pt idx="24">
                  <c:v>519.39726386202449</c:v>
                </c:pt>
                <c:pt idx="25">
                  <c:v>519.39726386202449</c:v>
                </c:pt>
                <c:pt idx="26">
                  <c:v>519.39726386202449</c:v>
                </c:pt>
                <c:pt idx="27">
                  <c:v>519.39726386202449</c:v>
                </c:pt>
                <c:pt idx="28">
                  <c:v>519.39726386202449</c:v>
                </c:pt>
                <c:pt idx="29">
                  <c:v>519.39726386202449</c:v>
                </c:pt>
                <c:pt idx="30">
                  <c:v>519.39726386202449</c:v>
                </c:pt>
                <c:pt idx="31">
                  <c:v>519.39726386202449</c:v>
                </c:pt>
                <c:pt idx="32">
                  <c:v>519.39726386202449</c:v>
                </c:pt>
                <c:pt idx="33">
                  <c:v>519.39726386202449</c:v>
                </c:pt>
                <c:pt idx="34">
                  <c:v>519.39726386202449</c:v>
                </c:pt>
                <c:pt idx="35">
                  <c:v>519.39726386202449</c:v>
                </c:pt>
                <c:pt idx="36">
                  <c:v>519.39726386202449</c:v>
                </c:pt>
                <c:pt idx="37">
                  <c:v>519.39726386202449</c:v>
                </c:pt>
                <c:pt idx="38">
                  <c:v>519.39726386202449</c:v>
                </c:pt>
                <c:pt idx="39">
                  <c:v>519.39726386202449</c:v>
                </c:pt>
                <c:pt idx="40">
                  <c:v>519.39726386202449</c:v>
                </c:pt>
                <c:pt idx="41">
                  <c:v>519.39726386202449</c:v>
                </c:pt>
                <c:pt idx="42">
                  <c:v>519.39726386202449</c:v>
                </c:pt>
                <c:pt idx="43">
                  <c:v>519.39726386202449</c:v>
                </c:pt>
                <c:pt idx="44">
                  <c:v>519.39726386202449</c:v>
                </c:pt>
                <c:pt idx="45">
                  <c:v>519.39726386202449</c:v>
                </c:pt>
                <c:pt idx="46">
                  <c:v>519.39726386202449</c:v>
                </c:pt>
                <c:pt idx="47">
                  <c:v>519.39726386202449</c:v>
                </c:pt>
              </c:numCache>
            </c:numRef>
          </c:val>
          <c:smooth val="0"/>
        </c:ser>
        <c:ser>
          <c:idx val="2"/>
          <c:order val="3"/>
          <c:tx>
            <c:strRef>
              <c:f>Diagnostics!$A$343</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Diagnostics!$B$343:$AW$343</c:f>
              <c:numCache>
                <c:formatCode>#,##0</c:formatCode>
                <c:ptCount val="48"/>
                <c:pt idx="0">
                  <c:v>209.39061492585427</c:v>
                </c:pt>
                <c:pt idx="1">
                  <c:v>209.39061492585427</c:v>
                </c:pt>
                <c:pt idx="2">
                  <c:v>209.39061492585427</c:v>
                </c:pt>
                <c:pt idx="3">
                  <c:v>209.39061492585427</c:v>
                </c:pt>
                <c:pt idx="4">
                  <c:v>209.39061492585427</c:v>
                </c:pt>
                <c:pt idx="5">
                  <c:v>209.39061492585427</c:v>
                </c:pt>
                <c:pt idx="6">
                  <c:v>209.39061492585427</c:v>
                </c:pt>
                <c:pt idx="7">
                  <c:v>209.39061492585427</c:v>
                </c:pt>
                <c:pt idx="8">
                  <c:v>209.39061492585427</c:v>
                </c:pt>
                <c:pt idx="9">
                  <c:v>209.39061492585427</c:v>
                </c:pt>
                <c:pt idx="10">
                  <c:v>209.39061492585427</c:v>
                </c:pt>
                <c:pt idx="11">
                  <c:v>209.39061492585427</c:v>
                </c:pt>
                <c:pt idx="12">
                  <c:v>209.39061492585427</c:v>
                </c:pt>
                <c:pt idx="13">
                  <c:v>209.39061492585427</c:v>
                </c:pt>
                <c:pt idx="14">
                  <c:v>209.39061492585427</c:v>
                </c:pt>
                <c:pt idx="15">
                  <c:v>209.39061492585427</c:v>
                </c:pt>
                <c:pt idx="16">
                  <c:v>209.39061492585427</c:v>
                </c:pt>
                <c:pt idx="17">
                  <c:v>209.39061492585427</c:v>
                </c:pt>
                <c:pt idx="18">
                  <c:v>209.39061492585427</c:v>
                </c:pt>
                <c:pt idx="19">
                  <c:v>209.39061492585427</c:v>
                </c:pt>
                <c:pt idx="20">
                  <c:v>209.39061492585427</c:v>
                </c:pt>
                <c:pt idx="21">
                  <c:v>209.39061492585427</c:v>
                </c:pt>
                <c:pt idx="22">
                  <c:v>209.39061492585427</c:v>
                </c:pt>
                <c:pt idx="23">
                  <c:v>209.39061492585427</c:v>
                </c:pt>
                <c:pt idx="24">
                  <c:v>209.39061492585427</c:v>
                </c:pt>
                <c:pt idx="25">
                  <c:v>209.39061492585427</c:v>
                </c:pt>
                <c:pt idx="26">
                  <c:v>209.39061492585427</c:v>
                </c:pt>
                <c:pt idx="27">
                  <c:v>209.39061492585427</c:v>
                </c:pt>
                <c:pt idx="28">
                  <c:v>209.39061492585427</c:v>
                </c:pt>
                <c:pt idx="29">
                  <c:v>209.39061492585427</c:v>
                </c:pt>
                <c:pt idx="30">
                  <c:v>209.39061492585427</c:v>
                </c:pt>
                <c:pt idx="31">
                  <c:v>209.39061492585427</c:v>
                </c:pt>
                <c:pt idx="32">
                  <c:v>209.39061492585427</c:v>
                </c:pt>
                <c:pt idx="33">
                  <c:v>209.39061492585427</c:v>
                </c:pt>
                <c:pt idx="34">
                  <c:v>209.39061492585427</c:v>
                </c:pt>
                <c:pt idx="35">
                  <c:v>209.39061492585427</c:v>
                </c:pt>
                <c:pt idx="36">
                  <c:v>209.39061492585427</c:v>
                </c:pt>
                <c:pt idx="37">
                  <c:v>209.39061492585427</c:v>
                </c:pt>
                <c:pt idx="38">
                  <c:v>209.39061492585427</c:v>
                </c:pt>
                <c:pt idx="39">
                  <c:v>209.39061492585427</c:v>
                </c:pt>
                <c:pt idx="40">
                  <c:v>209.39061492585427</c:v>
                </c:pt>
                <c:pt idx="41">
                  <c:v>209.39061492585427</c:v>
                </c:pt>
                <c:pt idx="42">
                  <c:v>209.39061492585427</c:v>
                </c:pt>
                <c:pt idx="43">
                  <c:v>209.39061492585427</c:v>
                </c:pt>
                <c:pt idx="44">
                  <c:v>209.39061492585427</c:v>
                </c:pt>
                <c:pt idx="45">
                  <c:v>209.39061492585427</c:v>
                </c:pt>
                <c:pt idx="46">
                  <c:v>209.39061492585427</c:v>
                </c:pt>
                <c:pt idx="47">
                  <c:v>209.39061492585427</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1918208"/>
        <c:axId val="211920000"/>
      </c:lineChart>
      <c:dateAx>
        <c:axId val="2119182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1920000"/>
        <c:crosses val="autoZero"/>
        <c:auto val="1"/>
        <c:lblOffset val="100"/>
        <c:baseTimeUnit val="months"/>
        <c:majorUnit val="1"/>
        <c:majorTimeUnit val="months"/>
      </c:dateAx>
      <c:valAx>
        <c:axId val="21192000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1918208"/>
        <c:crosses val="autoZero"/>
        <c:crossBetween val="between"/>
      </c:valAx>
    </c:plotArea>
    <c:legend>
      <c:legendPos val="r"/>
      <c:layout>
        <c:manualLayout>
          <c:xMode val="edge"/>
          <c:yMode val="edge"/>
          <c:x val="5.4824561403508934E-3"/>
          <c:y val="0.92592592592592549"/>
          <c:w val="0.98386701662292209"/>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600174978127758"/>
          <c:h val="0.72976489049980808"/>
        </c:manualLayout>
      </c:layout>
      <c:lineChart>
        <c:grouping val="standard"/>
        <c:varyColors val="0"/>
        <c:ser>
          <c:idx val="4"/>
          <c:order val="0"/>
          <c:tx>
            <c:strRef>
              <c:f>Diagnostics!$A$300</c:f>
              <c:strCache>
                <c:ptCount val="1"/>
                <c:pt idx="0">
                  <c:v>Total Gastroenterology/ Urology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1"/>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marker>
              <c:spPr>
                <a:solidFill>
                  <a:srgbClr val="0066CC"/>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chemeClr val="bg1"/>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pt idx="31">
                  <c:v>3427</c:v>
                </c:pt>
                <c:pt idx="32">
                  <c:v>3588</c:v>
                </c:pt>
              </c:numCache>
            </c:numRef>
          </c:val>
          <c:smooth val="0"/>
        </c:ser>
        <c:ser>
          <c:idx val="3"/>
          <c:order val="1"/>
          <c:tx>
            <c:strRef>
              <c:f>Diagnostics!$A$350</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Diagnostics!$B$350:$AW$350</c:f>
              <c:numCache>
                <c:formatCode>#,##0</c:formatCode>
                <c:ptCount val="48"/>
                <c:pt idx="0">
                  <c:v>2158</c:v>
                </c:pt>
                <c:pt idx="1">
                  <c:v>2158</c:v>
                </c:pt>
                <c:pt idx="2">
                  <c:v>2158</c:v>
                </c:pt>
                <c:pt idx="3">
                  <c:v>2158</c:v>
                </c:pt>
                <c:pt idx="4">
                  <c:v>2158</c:v>
                </c:pt>
                <c:pt idx="5">
                  <c:v>2158</c:v>
                </c:pt>
                <c:pt idx="6">
                  <c:v>2158</c:v>
                </c:pt>
                <c:pt idx="7">
                  <c:v>2158</c:v>
                </c:pt>
                <c:pt idx="8">
                  <c:v>2158</c:v>
                </c:pt>
                <c:pt idx="9">
                  <c:v>2158</c:v>
                </c:pt>
                <c:pt idx="10">
                  <c:v>2158</c:v>
                </c:pt>
                <c:pt idx="11">
                  <c:v>2158</c:v>
                </c:pt>
                <c:pt idx="12">
                  <c:v>2158</c:v>
                </c:pt>
                <c:pt idx="13">
                  <c:v>2158</c:v>
                </c:pt>
                <c:pt idx="14">
                  <c:v>2158</c:v>
                </c:pt>
                <c:pt idx="15">
                  <c:v>2158</c:v>
                </c:pt>
                <c:pt idx="16">
                  <c:v>2158</c:v>
                </c:pt>
                <c:pt idx="17">
                  <c:v>2158</c:v>
                </c:pt>
                <c:pt idx="18">
                  <c:v>2158</c:v>
                </c:pt>
                <c:pt idx="19">
                  <c:v>2158</c:v>
                </c:pt>
                <c:pt idx="20">
                  <c:v>2158</c:v>
                </c:pt>
                <c:pt idx="21">
                  <c:v>2158</c:v>
                </c:pt>
                <c:pt idx="22">
                  <c:v>2158</c:v>
                </c:pt>
                <c:pt idx="23">
                  <c:v>2158</c:v>
                </c:pt>
                <c:pt idx="24">
                  <c:v>2158</c:v>
                </c:pt>
                <c:pt idx="25">
                  <c:v>2158</c:v>
                </c:pt>
                <c:pt idx="26">
                  <c:v>2158</c:v>
                </c:pt>
                <c:pt idx="27">
                  <c:v>2158</c:v>
                </c:pt>
                <c:pt idx="28">
                  <c:v>2158</c:v>
                </c:pt>
                <c:pt idx="29">
                  <c:v>2158</c:v>
                </c:pt>
                <c:pt idx="30">
                  <c:v>2158</c:v>
                </c:pt>
                <c:pt idx="31">
                  <c:v>2158</c:v>
                </c:pt>
                <c:pt idx="32">
                  <c:v>2158</c:v>
                </c:pt>
                <c:pt idx="33">
                  <c:v>2158</c:v>
                </c:pt>
                <c:pt idx="34">
                  <c:v>2158</c:v>
                </c:pt>
                <c:pt idx="35">
                  <c:v>2158</c:v>
                </c:pt>
                <c:pt idx="36">
                  <c:v>2158</c:v>
                </c:pt>
                <c:pt idx="37">
                  <c:v>2158</c:v>
                </c:pt>
                <c:pt idx="38">
                  <c:v>2158</c:v>
                </c:pt>
                <c:pt idx="39">
                  <c:v>2158</c:v>
                </c:pt>
                <c:pt idx="40">
                  <c:v>2158</c:v>
                </c:pt>
                <c:pt idx="41">
                  <c:v>2158</c:v>
                </c:pt>
                <c:pt idx="42">
                  <c:v>2158</c:v>
                </c:pt>
                <c:pt idx="43">
                  <c:v>2158</c:v>
                </c:pt>
                <c:pt idx="44">
                  <c:v>2158</c:v>
                </c:pt>
                <c:pt idx="45">
                  <c:v>2158</c:v>
                </c:pt>
                <c:pt idx="46">
                  <c:v>2158</c:v>
                </c:pt>
                <c:pt idx="47">
                  <c:v>2158</c:v>
                </c:pt>
              </c:numCache>
            </c:numRef>
          </c:val>
          <c:smooth val="0"/>
        </c:ser>
        <c:ser>
          <c:idx val="1"/>
          <c:order val="2"/>
          <c:tx>
            <c:strRef>
              <c:f>Diagnostics!$A$353</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Diagnostics!$B$353:$AW$353</c:f>
              <c:numCache>
                <c:formatCode>#,##0</c:formatCode>
                <c:ptCount val="48"/>
                <c:pt idx="0">
                  <c:v>2685.426861702128</c:v>
                </c:pt>
                <c:pt idx="1">
                  <c:v>2685.426861702128</c:v>
                </c:pt>
                <c:pt idx="2">
                  <c:v>2685.426861702128</c:v>
                </c:pt>
                <c:pt idx="3">
                  <c:v>2685.426861702128</c:v>
                </c:pt>
                <c:pt idx="4">
                  <c:v>2685.426861702128</c:v>
                </c:pt>
                <c:pt idx="5">
                  <c:v>2685.426861702128</c:v>
                </c:pt>
                <c:pt idx="6">
                  <c:v>2685.426861702128</c:v>
                </c:pt>
                <c:pt idx="7">
                  <c:v>2685.426861702128</c:v>
                </c:pt>
                <c:pt idx="8">
                  <c:v>2685.426861702128</c:v>
                </c:pt>
                <c:pt idx="9">
                  <c:v>2685.426861702128</c:v>
                </c:pt>
                <c:pt idx="10">
                  <c:v>2685.426861702128</c:v>
                </c:pt>
                <c:pt idx="11">
                  <c:v>2685.426861702128</c:v>
                </c:pt>
                <c:pt idx="12">
                  <c:v>2685.426861702128</c:v>
                </c:pt>
                <c:pt idx="13">
                  <c:v>2685.426861702128</c:v>
                </c:pt>
                <c:pt idx="14">
                  <c:v>2685.426861702128</c:v>
                </c:pt>
                <c:pt idx="15">
                  <c:v>2685.426861702128</c:v>
                </c:pt>
                <c:pt idx="16">
                  <c:v>2685.426861702128</c:v>
                </c:pt>
                <c:pt idx="17">
                  <c:v>2685.426861702128</c:v>
                </c:pt>
                <c:pt idx="18">
                  <c:v>2685.426861702128</c:v>
                </c:pt>
                <c:pt idx="19">
                  <c:v>2685.426861702128</c:v>
                </c:pt>
                <c:pt idx="20">
                  <c:v>2685.426861702128</c:v>
                </c:pt>
                <c:pt idx="21">
                  <c:v>2685.426861702128</c:v>
                </c:pt>
                <c:pt idx="22">
                  <c:v>2685.426861702128</c:v>
                </c:pt>
                <c:pt idx="23">
                  <c:v>2685.426861702128</c:v>
                </c:pt>
                <c:pt idx="24">
                  <c:v>2685.426861702128</c:v>
                </c:pt>
                <c:pt idx="25">
                  <c:v>2685.426861702128</c:v>
                </c:pt>
                <c:pt idx="26">
                  <c:v>2685.426861702128</c:v>
                </c:pt>
                <c:pt idx="27">
                  <c:v>2685.426861702128</c:v>
                </c:pt>
                <c:pt idx="28">
                  <c:v>2685.426861702128</c:v>
                </c:pt>
                <c:pt idx="29">
                  <c:v>2685.426861702128</c:v>
                </c:pt>
                <c:pt idx="30">
                  <c:v>2685.426861702128</c:v>
                </c:pt>
                <c:pt idx="31">
                  <c:v>2685.426861702128</c:v>
                </c:pt>
                <c:pt idx="32">
                  <c:v>2685.426861702128</c:v>
                </c:pt>
                <c:pt idx="33">
                  <c:v>2685.426861702128</c:v>
                </c:pt>
                <c:pt idx="34">
                  <c:v>2685.426861702128</c:v>
                </c:pt>
                <c:pt idx="35">
                  <c:v>2685.426861702128</c:v>
                </c:pt>
                <c:pt idx="36">
                  <c:v>2685.426861702128</c:v>
                </c:pt>
                <c:pt idx="37">
                  <c:v>2685.426861702128</c:v>
                </c:pt>
                <c:pt idx="38">
                  <c:v>2685.426861702128</c:v>
                </c:pt>
                <c:pt idx="39">
                  <c:v>2685.426861702128</c:v>
                </c:pt>
                <c:pt idx="40">
                  <c:v>2685.426861702128</c:v>
                </c:pt>
                <c:pt idx="41">
                  <c:v>2685.426861702128</c:v>
                </c:pt>
                <c:pt idx="42">
                  <c:v>2685.426861702128</c:v>
                </c:pt>
                <c:pt idx="43">
                  <c:v>2685.426861702128</c:v>
                </c:pt>
                <c:pt idx="44">
                  <c:v>2685.426861702128</c:v>
                </c:pt>
                <c:pt idx="45">
                  <c:v>2685.426861702128</c:v>
                </c:pt>
                <c:pt idx="46">
                  <c:v>2685.426861702128</c:v>
                </c:pt>
                <c:pt idx="47">
                  <c:v>2685.426861702128</c:v>
                </c:pt>
              </c:numCache>
            </c:numRef>
          </c:val>
          <c:smooth val="0"/>
        </c:ser>
        <c:ser>
          <c:idx val="2"/>
          <c:order val="3"/>
          <c:tx>
            <c:strRef>
              <c:f>Diagnostics!$A$354</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Diagnostics!$B$354:$AW$354</c:f>
              <c:numCache>
                <c:formatCode>#,##0</c:formatCode>
                <c:ptCount val="48"/>
                <c:pt idx="0">
                  <c:v>1630.5731382978722</c:v>
                </c:pt>
                <c:pt idx="1">
                  <c:v>1630.5731382978722</c:v>
                </c:pt>
                <c:pt idx="2">
                  <c:v>1630.5731382978722</c:v>
                </c:pt>
                <c:pt idx="3">
                  <c:v>1630.5731382978722</c:v>
                </c:pt>
                <c:pt idx="4">
                  <c:v>1630.5731382978722</c:v>
                </c:pt>
                <c:pt idx="5">
                  <c:v>1630.5731382978722</c:v>
                </c:pt>
                <c:pt idx="6">
                  <c:v>1630.5731382978722</c:v>
                </c:pt>
                <c:pt idx="7">
                  <c:v>1630.5731382978722</c:v>
                </c:pt>
                <c:pt idx="8">
                  <c:v>1630.5731382978722</c:v>
                </c:pt>
                <c:pt idx="9">
                  <c:v>1630.5731382978722</c:v>
                </c:pt>
                <c:pt idx="10">
                  <c:v>1630.5731382978722</c:v>
                </c:pt>
                <c:pt idx="11">
                  <c:v>1630.5731382978722</c:v>
                </c:pt>
                <c:pt idx="12">
                  <c:v>1630.5731382978722</c:v>
                </c:pt>
                <c:pt idx="13">
                  <c:v>1630.5731382978722</c:v>
                </c:pt>
                <c:pt idx="14">
                  <c:v>1630.5731382978722</c:v>
                </c:pt>
                <c:pt idx="15">
                  <c:v>1630.5731382978722</c:v>
                </c:pt>
                <c:pt idx="16">
                  <c:v>1630.5731382978722</c:v>
                </c:pt>
                <c:pt idx="17">
                  <c:v>1630.5731382978722</c:v>
                </c:pt>
                <c:pt idx="18">
                  <c:v>1630.5731382978722</c:v>
                </c:pt>
                <c:pt idx="19">
                  <c:v>1630.5731382978722</c:v>
                </c:pt>
                <c:pt idx="20">
                  <c:v>1630.5731382978722</c:v>
                </c:pt>
                <c:pt idx="21">
                  <c:v>1630.5731382978722</c:v>
                </c:pt>
                <c:pt idx="22">
                  <c:v>1630.5731382978722</c:v>
                </c:pt>
                <c:pt idx="23">
                  <c:v>1630.5731382978722</c:v>
                </c:pt>
                <c:pt idx="24">
                  <c:v>1630.5731382978722</c:v>
                </c:pt>
                <c:pt idx="25">
                  <c:v>1630.5731382978722</c:v>
                </c:pt>
                <c:pt idx="26">
                  <c:v>1630.5731382978722</c:v>
                </c:pt>
                <c:pt idx="27">
                  <c:v>1630.5731382978722</c:v>
                </c:pt>
                <c:pt idx="28">
                  <c:v>1630.5731382978722</c:v>
                </c:pt>
                <c:pt idx="29">
                  <c:v>1630.5731382978722</c:v>
                </c:pt>
                <c:pt idx="30">
                  <c:v>1630.5731382978722</c:v>
                </c:pt>
                <c:pt idx="31">
                  <c:v>1630.5731382978722</c:v>
                </c:pt>
                <c:pt idx="32">
                  <c:v>1630.5731382978722</c:v>
                </c:pt>
                <c:pt idx="33">
                  <c:v>1630.5731382978722</c:v>
                </c:pt>
                <c:pt idx="34">
                  <c:v>1630.5731382978722</c:v>
                </c:pt>
                <c:pt idx="35">
                  <c:v>1630.5731382978722</c:v>
                </c:pt>
                <c:pt idx="36">
                  <c:v>1630.5731382978722</c:v>
                </c:pt>
                <c:pt idx="37">
                  <c:v>1630.5731382978722</c:v>
                </c:pt>
                <c:pt idx="38">
                  <c:v>1630.5731382978722</c:v>
                </c:pt>
                <c:pt idx="39">
                  <c:v>1630.5731382978722</c:v>
                </c:pt>
                <c:pt idx="40">
                  <c:v>1630.5731382978722</c:v>
                </c:pt>
                <c:pt idx="41">
                  <c:v>1630.5731382978722</c:v>
                </c:pt>
                <c:pt idx="42">
                  <c:v>1630.5731382978722</c:v>
                </c:pt>
                <c:pt idx="43">
                  <c:v>1630.5731382978722</c:v>
                </c:pt>
                <c:pt idx="44">
                  <c:v>1630.5731382978722</c:v>
                </c:pt>
                <c:pt idx="45">
                  <c:v>1630.5731382978722</c:v>
                </c:pt>
                <c:pt idx="46">
                  <c:v>1630.5731382978722</c:v>
                </c:pt>
                <c:pt idx="47">
                  <c:v>1630.5731382978722</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328256"/>
        <c:axId val="213329792"/>
      </c:lineChart>
      <c:dateAx>
        <c:axId val="21332825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3329792"/>
        <c:crosses val="autoZero"/>
        <c:auto val="1"/>
        <c:lblOffset val="100"/>
        <c:baseTimeUnit val="months"/>
        <c:majorUnit val="1"/>
        <c:majorTimeUnit val="months"/>
      </c:dateAx>
      <c:valAx>
        <c:axId val="21332979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328256"/>
        <c:crosses val="autoZero"/>
        <c:crossBetween val="between"/>
      </c:valAx>
    </c:plotArea>
    <c:legend>
      <c:legendPos val="r"/>
      <c:layout>
        <c:manualLayout>
          <c:xMode val="edge"/>
          <c:yMode val="edge"/>
          <c:x val="5.4824561403508934E-3"/>
          <c:y val="0.91181657848324449"/>
          <c:w val="0.98386701662292209"/>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463329092597069"/>
          <c:h val="0.7509289116638318"/>
        </c:manualLayout>
      </c:layout>
      <c:lineChart>
        <c:grouping val="standard"/>
        <c:varyColors val="0"/>
        <c:ser>
          <c:idx val="4"/>
          <c:order val="0"/>
          <c:tx>
            <c:strRef>
              <c:f>Diagnostics!$A$359</c:f>
              <c:strCache>
                <c:ptCount val="1"/>
                <c:pt idx="0">
                  <c:v>MRI</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Diagnostics!$B$359:$AW$359</c:f>
              <c:numCache>
                <c:formatCode>General</c:formatCode>
                <c:ptCount val="48"/>
                <c:pt idx="0">
                  <c:v>108</c:v>
                </c:pt>
                <c:pt idx="1">
                  <c:v>123</c:v>
                </c:pt>
                <c:pt idx="2">
                  <c:v>106</c:v>
                </c:pt>
                <c:pt idx="3">
                  <c:v>60</c:v>
                </c:pt>
                <c:pt idx="4">
                  <c:v>38</c:v>
                </c:pt>
                <c:pt idx="5">
                  <c:v>111</c:v>
                </c:pt>
                <c:pt idx="6">
                  <c:v>77</c:v>
                </c:pt>
                <c:pt idx="7">
                  <c:v>6</c:v>
                </c:pt>
                <c:pt idx="8">
                  <c:v>11</c:v>
                </c:pt>
                <c:pt idx="9">
                  <c:v>12</c:v>
                </c:pt>
                <c:pt idx="10">
                  <c:v>17</c:v>
                </c:pt>
                <c:pt idx="11">
                  <c:v>16</c:v>
                </c:pt>
                <c:pt idx="12">
                  <c:v>204</c:v>
                </c:pt>
                <c:pt idx="13">
                  <c:v>172</c:v>
                </c:pt>
                <c:pt idx="14">
                  <c:v>176</c:v>
                </c:pt>
                <c:pt idx="15">
                  <c:v>45</c:v>
                </c:pt>
                <c:pt idx="16">
                  <c:v>43</c:v>
                </c:pt>
                <c:pt idx="17">
                  <c:v>22</c:v>
                </c:pt>
                <c:pt idx="18">
                  <c:v>28</c:v>
                </c:pt>
                <c:pt idx="19">
                  <c:v>20</c:v>
                </c:pt>
                <c:pt idx="20">
                  <c:v>68</c:v>
                </c:pt>
                <c:pt idx="21">
                  <c:v>90</c:v>
                </c:pt>
                <c:pt idx="22">
                  <c:v>26</c:v>
                </c:pt>
                <c:pt idx="23">
                  <c:v>29</c:v>
                </c:pt>
                <c:pt idx="24">
                  <c:v>68</c:v>
                </c:pt>
                <c:pt idx="25">
                  <c:v>44</c:v>
                </c:pt>
                <c:pt idx="26">
                  <c:v>45</c:v>
                </c:pt>
                <c:pt idx="27">
                  <c:v>69</c:v>
                </c:pt>
                <c:pt idx="28">
                  <c:v>38</c:v>
                </c:pt>
                <c:pt idx="29">
                  <c:v>48</c:v>
                </c:pt>
                <c:pt idx="30">
                  <c:v>85</c:v>
                </c:pt>
                <c:pt idx="31">
                  <c:v>81</c:v>
                </c:pt>
                <c:pt idx="32">
                  <c:v>93</c:v>
                </c:pt>
              </c:numCache>
            </c:numRef>
          </c:val>
          <c:smooth val="0"/>
        </c:ser>
        <c:ser>
          <c:idx val="3"/>
          <c:order val="1"/>
          <c:tx>
            <c:strRef>
              <c:f>Diagnostics!$A$370</c:f>
              <c:strCache>
                <c:ptCount val="1"/>
                <c:pt idx="0">
                  <c:v>Mean</c:v>
                </c:pt>
              </c:strCache>
            </c:strRef>
          </c:tx>
          <c:spPr>
            <a:ln w="25400">
              <a:solidFill>
                <a:schemeClr val="tx1"/>
              </a:solidFill>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Diagnostics!$B$370:$AW$370</c:f>
              <c:numCache>
                <c:formatCode>0</c:formatCode>
                <c:ptCount val="48"/>
                <c:pt idx="0">
                  <c:v>66.030303030303031</c:v>
                </c:pt>
                <c:pt idx="1">
                  <c:v>66.030303030303031</c:v>
                </c:pt>
                <c:pt idx="2">
                  <c:v>66.030303030303031</c:v>
                </c:pt>
                <c:pt idx="3">
                  <c:v>66.030303030303031</c:v>
                </c:pt>
                <c:pt idx="4">
                  <c:v>66.030303030303031</c:v>
                </c:pt>
                <c:pt idx="5">
                  <c:v>66.030303030303031</c:v>
                </c:pt>
                <c:pt idx="6">
                  <c:v>66.030303030303031</c:v>
                </c:pt>
                <c:pt idx="7">
                  <c:v>66.030303030303031</c:v>
                </c:pt>
                <c:pt idx="8">
                  <c:v>66.030303030303031</c:v>
                </c:pt>
                <c:pt idx="9">
                  <c:v>66.030303030303031</c:v>
                </c:pt>
                <c:pt idx="10">
                  <c:v>66.030303030303031</c:v>
                </c:pt>
                <c:pt idx="11">
                  <c:v>66.030303030303031</c:v>
                </c:pt>
                <c:pt idx="12">
                  <c:v>66.030303030303031</c:v>
                </c:pt>
                <c:pt idx="13">
                  <c:v>66.030303030303031</c:v>
                </c:pt>
                <c:pt idx="14">
                  <c:v>66.030303030303031</c:v>
                </c:pt>
                <c:pt idx="15">
                  <c:v>66.030303030303031</c:v>
                </c:pt>
                <c:pt idx="16">
                  <c:v>66.030303030303031</c:v>
                </c:pt>
                <c:pt idx="17">
                  <c:v>66.030303030303031</c:v>
                </c:pt>
                <c:pt idx="18">
                  <c:v>66.030303030303031</c:v>
                </c:pt>
                <c:pt idx="19">
                  <c:v>66.030303030303031</c:v>
                </c:pt>
                <c:pt idx="20">
                  <c:v>66.030303030303031</c:v>
                </c:pt>
                <c:pt idx="21">
                  <c:v>66.030303030303031</c:v>
                </c:pt>
                <c:pt idx="22">
                  <c:v>66.030303030303031</c:v>
                </c:pt>
                <c:pt idx="23">
                  <c:v>66.030303030303031</c:v>
                </c:pt>
                <c:pt idx="24">
                  <c:v>66.030303030303031</c:v>
                </c:pt>
                <c:pt idx="25">
                  <c:v>66.030303030303031</c:v>
                </c:pt>
                <c:pt idx="26">
                  <c:v>66.030303030303031</c:v>
                </c:pt>
                <c:pt idx="27">
                  <c:v>66.030303030303031</c:v>
                </c:pt>
                <c:pt idx="28">
                  <c:v>66.030303030303031</c:v>
                </c:pt>
                <c:pt idx="29">
                  <c:v>66.030303030303031</c:v>
                </c:pt>
                <c:pt idx="30">
                  <c:v>66.030303030303031</c:v>
                </c:pt>
                <c:pt idx="31">
                  <c:v>66.030303030303031</c:v>
                </c:pt>
                <c:pt idx="32">
                  <c:v>66.030303030303031</c:v>
                </c:pt>
                <c:pt idx="33">
                  <c:v>66.030303030303031</c:v>
                </c:pt>
                <c:pt idx="34">
                  <c:v>66.030303030303031</c:v>
                </c:pt>
                <c:pt idx="35">
                  <c:v>66.030303030303031</c:v>
                </c:pt>
                <c:pt idx="36">
                  <c:v>66.030303030303031</c:v>
                </c:pt>
                <c:pt idx="37">
                  <c:v>66.030303030303031</c:v>
                </c:pt>
                <c:pt idx="38">
                  <c:v>66.030303030303031</c:v>
                </c:pt>
                <c:pt idx="39">
                  <c:v>66.030303030303031</c:v>
                </c:pt>
                <c:pt idx="40">
                  <c:v>66.030303030303031</c:v>
                </c:pt>
                <c:pt idx="41">
                  <c:v>66.030303030303031</c:v>
                </c:pt>
                <c:pt idx="42">
                  <c:v>66.030303030303031</c:v>
                </c:pt>
                <c:pt idx="43">
                  <c:v>66.030303030303031</c:v>
                </c:pt>
                <c:pt idx="44">
                  <c:v>66.030303030303031</c:v>
                </c:pt>
                <c:pt idx="45">
                  <c:v>66.030303030303031</c:v>
                </c:pt>
                <c:pt idx="46">
                  <c:v>66.030303030303031</c:v>
                </c:pt>
                <c:pt idx="47">
                  <c:v>66.030303030303031</c:v>
                </c:pt>
              </c:numCache>
            </c:numRef>
          </c:val>
          <c:smooth val="0"/>
        </c:ser>
        <c:ser>
          <c:idx val="1"/>
          <c:order val="2"/>
          <c:tx>
            <c:strRef>
              <c:f>Diagnostics!$A$373</c:f>
              <c:strCache>
                <c:ptCount val="1"/>
                <c:pt idx="0">
                  <c:v>Upper Control Limit </c:v>
                </c:pt>
              </c:strCache>
            </c:strRef>
          </c:tx>
          <c:spPr>
            <a:ln w="25400">
              <a:solidFill>
                <a:schemeClr val="bg1">
                  <a:lumMod val="65000"/>
                </a:schemeClr>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Diagnostics!$B$373:$AW$373</c:f>
              <c:numCache>
                <c:formatCode>0</c:formatCode>
                <c:ptCount val="48"/>
                <c:pt idx="0">
                  <c:v>149.22511686009028</c:v>
                </c:pt>
                <c:pt idx="1">
                  <c:v>149.22511686009028</c:v>
                </c:pt>
                <c:pt idx="2">
                  <c:v>149.22511686009028</c:v>
                </c:pt>
                <c:pt idx="3">
                  <c:v>149.22511686009028</c:v>
                </c:pt>
                <c:pt idx="4">
                  <c:v>149.22511686009028</c:v>
                </c:pt>
                <c:pt idx="5">
                  <c:v>149.22511686009028</c:v>
                </c:pt>
                <c:pt idx="6">
                  <c:v>149.22511686009028</c:v>
                </c:pt>
                <c:pt idx="7">
                  <c:v>149.22511686009028</c:v>
                </c:pt>
                <c:pt idx="8">
                  <c:v>149.22511686009028</c:v>
                </c:pt>
                <c:pt idx="9">
                  <c:v>149.22511686009028</c:v>
                </c:pt>
                <c:pt idx="10">
                  <c:v>149.22511686009028</c:v>
                </c:pt>
                <c:pt idx="11">
                  <c:v>149.22511686009028</c:v>
                </c:pt>
                <c:pt idx="12">
                  <c:v>149.22511686009028</c:v>
                </c:pt>
                <c:pt idx="13">
                  <c:v>149.22511686009028</c:v>
                </c:pt>
                <c:pt idx="14">
                  <c:v>149.22511686009028</c:v>
                </c:pt>
                <c:pt idx="15">
                  <c:v>149.22511686009028</c:v>
                </c:pt>
                <c:pt idx="16">
                  <c:v>149.22511686009028</c:v>
                </c:pt>
                <c:pt idx="17">
                  <c:v>149.22511686009028</c:v>
                </c:pt>
                <c:pt idx="18">
                  <c:v>149.22511686009028</c:v>
                </c:pt>
                <c:pt idx="19">
                  <c:v>149.22511686009028</c:v>
                </c:pt>
                <c:pt idx="20">
                  <c:v>149.22511686009028</c:v>
                </c:pt>
                <c:pt idx="21">
                  <c:v>149.22511686009028</c:v>
                </c:pt>
                <c:pt idx="22">
                  <c:v>149.22511686009028</c:v>
                </c:pt>
                <c:pt idx="23">
                  <c:v>149.22511686009028</c:v>
                </c:pt>
                <c:pt idx="24">
                  <c:v>149.22511686009028</c:v>
                </c:pt>
                <c:pt idx="25">
                  <c:v>149.22511686009028</c:v>
                </c:pt>
                <c:pt idx="26">
                  <c:v>149.22511686009028</c:v>
                </c:pt>
                <c:pt idx="27">
                  <c:v>149.22511686009028</c:v>
                </c:pt>
                <c:pt idx="28">
                  <c:v>149.22511686009028</c:v>
                </c:pt>
                <c:pt idx="29">
                  <c:v>149.22511686009028</c:v>
                </c:pt>
                <c:pt idx="30">
                  <c:v>149.22511686009028</c:v>
                </c:pt>
                <c:pt idx="31">
                  <c:v>149.22511686009028</c:v>
                </c:pt>
                <c:pt idx="32">
                  <c:v>149.22511686009028</c:v>
                </c:pt>
                <c:pt idx="33">
                  <c:v>149.22511686009028</c:v>
                </c:pt>
                <c:pt idx="34">
                  <c:v>149.22511686009028</c:v>
                </c:pt>
                <c:pt idx="35">
                  <c:v>149.22511686009028</c:v>
                </c:pt>
                <c:pt idx="36">
                  <c:v>149.22511686009028</c:v>
                </c:pt>
                <c:pt idx="37">
                  <c:v>149.22511686009028</c:v>
                </c:pt>
                <c:pt idx="38">
                  <c:v>149.22511686009028</c:v>
                </c:pt>
                <c:pt idx="39">
                  <c:v>149.22511686009028</c:v>
                </c:pt>
                <c:pt idx="40">
                  <c:v>149.22511686009028</c:v>
                </c:pt>
                <c:pt idx="41">
                  <c:v>149.22511686009028</c:v>
                </c:pt>
                <c:pt idx="42">
                  <c:v>149.22511686009028</c:v>
                </c:pt>
                <c:pt idx="43">
                  <c:v>149.22511686009028</c:v>
                </c:pt>
                <c:pt idx="44">
                  <c:v>149.22511686009028</c:v>
                </c:pt>
                <c:pt idx="45">
                  <c:v>149.22511686009028</c:v>
                </c:pt>
                <c:pt idx="46">
                  <c:v>149.22511686009028</c:v>
                </c:pt>
                <c:pt idx="47">
                  <c:v>149.22511686009028</c:v>
                </c:pt>
              </c:numCache>
            </c:numRef>
          </c:val>
          <c:smooth val="0"/>
        </c:ser>
        <c:ser>
          <c:idx val="2"/>
          <c:order val="3"/>
          <c:tx>
            <c:strRef>
              <c:f>Diagnostics!$A$374</c:f>
              <c:strCache>
                <c:ptCount val="1"/>
                <c:pt idx="0">
                  <c:v>Lower Control Limit</c:v>
                </c:pt>
              </c:strCache>
            </c:strRef>
          </c:tx>
          <c:spPr>
            <a:ln w="31750">
              <a:solidFill>
                <a:schemeClr val="bg1">
                  <a:lumMod val="65000"/>
                </a:schemeClr>
              </a:solidFill>
              <a:prstDash val="sys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Diagnostics!$B$374:$AW$374</c:f>
              <c:numCache>
                <c:formatCode>0</c:formatCode>
                <c:ptCount val="48"/>
                <c:pt idx="0">
                  <c:v>-17.164510799484219</c:v>
                </c:pt>
                <c:pt idx="1">
                  <c:v>-17.164510799484219</c:v>
                </c:pt>
                <c:pt idx="2">
                  <c:v>-17.164510799484219</c:v>
                </c:pt>
                <c:pt idx="3">
                  <c:v>-17.164510799484219</c:v>
                </c:pt>
                <c:pt idx="4">
                  <c:v>-17.164510799484219</c:v>
                </c:pt>
                <c:pt idx="5">
                  <c:v>-17.164510799484219</c:v>
                </c:pt>
                <c:pt idx="6">
                  <c:v>-17.164510799484219</c:v>
                </c:pt>
                <c:pt idx="7">
                  <c:v>-17.164510799484219</c:v>
                </c:pt>
                <c:pt idx="8">
                  <c:v>-17.164510799484219</c:v>
                </c:pt>
                <c:pt idx="9">
                  <c:v>-17.164510799484219</c:v>
                </c:pt>
                <c:pt idx="10">
                  <c:v>-17.164510799484219</c:v>
                </c:pt>
                <c:pt idx="11">
                  <c:v>-17.164510799484219</c:v>
                </c:pt>
                <c:pt idx="12">
                  <c:v>-17.164510799484219</c:v>
                </c:pt>
                <c:pt idx="13">
                  <c:v>-17.164510799484219</c:v>
                </c:pt>
                <c:pt idx="14">
                  <c:v>-17.164510799484219</c:v>
                </c:pt>
                <c:pt idx="15">
                  <c:v>-17.164510799484219</c:v>
                </c:pt>
                <c:pt idx="16">
                  <c:v>-17.164510799484219</c:v>
                </c:pt>
                <c:pt idx="17">
                  <c:v>-17.164510799484219</c:v>
                </c:pt>
                <c:pt idx="18">
                  <c:v>-17.164510799484219</c:v>
                </c:pt>
                <c:pt idx="19">
                  <c:v>-17.164510799484219</c:v>
                </c:pt>
                <c:pt idx="20">
                  <c:v>-17.164510799484219</c:v>
                </c:pt>
                <c:pt idx="21">
                  <c:v>-17.164510799484219</c:v>
                </c:pt>
                <c:pt idx="22">
                  <c:v>-17.164510799484219</c:v>
                </c:pt>
                <c:pt idx="23">
                  <c:v>-17.164510799484219</c:v>
                </c:pt>
                <c:pt idx="24">
                  <c:v>-17.164510799484219</c:v>
                </c:pt>
                <c:pt idx="25">
                  <c:v>-17.164510799484219</c:v>
                </c:pt>
                <c:pt idx="26">
                  <c:v>-17.164510799484219</c:v>
                </c:pt>
                <c:pt idx="27">
                  <c:v>-17.164510799484219</c:v>
                </c:pt>
                <c:pt idx="28">
                  <c:v>-17.164510799484219</c:v>
                </c:pt>
                <c:pt idx="29">
                  <c:v>-17.164510799484219</c:v>
                </c:pt>
                <c:pt idx="30">
                  <c:v>-17.164510799484219</c:v>
                </c:pt>
                <c:pt idx="31">
                  <c:v>-17.164510799484219</c:v>
                </c:pt>
                <c:pt idx="32">
                  <c:v>-17.164510799484219</c:v>
                </c:pt>
                <c:pt idx="33">
                  <c:v>-17.164510799484219</c:v>
                </c:pt>
                <c:pt idx="34">
                  <c:v>-17.164510799484219</c:v>
                </c:pt>
                <c:pt idx="35">
                  <c:v>-17.164510799484219</c:v>
                </c:pt>
                <c:pt idx="36">
                  <c:v>-17.164510799484219</c:v>
                </c:pt>
                <c:pt idx="37">
                  <c:v>-17.164510799484219</c:v>
                </c:pt>
                <c:pt idx="38">
                  <c:v>-17.164510799484219</c:v>
                </c:pt>
                <c:pt idx="39">
                  <c:v>-17.164510799484219</c:v>
                </c:pt>
                <c:pt idx="40">
                  <c:v>-17.164510799484219</c:v>
                </c:pt>
                <c:pt idx="41">
                  <c:v>-17.164510799484219</c:v>
                </c:pt>
                <c:pt idx="42">
                  <c:v>-17.164510799484219</c:v>
                </c:pt>
                <c:pt idx="43">
                  <c:v>-17.164510799484219</c:v>
                </c:pt>
                <c:pt idx="44">
                  <c:v>-17.164510799484219</c:v>
                </c:pt>
                <c:pt idx="45">
                  <c:v>-17.164510799484219</c:v>
                </c:pt>
                <c:pt idx="46">
                  <c:v>-17.164510799484219</c:v>
                </c:pt>
                <c:pt idx="47">
                  <c:v>-17.164510799484219</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374848"/>
        <c:axId val="213376384"/>
      </c:lineChart>
      <c:dateAx>
        <c:axId val="213374848"/>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213376384"/>
        <c:crosses val="autoZero"/>
        <c:auto val="1"/>
        <c:lblOffset val="100"/>
        <c:baseTimeUnit val="months"/>
        <c:majorUnit val="1"/>
        <c:majorTimeUnit val="months"/>
      </c:dateAx>
      <c:valAx>
        <c:axId val="213376384"/>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374848"/>
        <c:crosses val="autoZero"/>
        <c:crossBetween val="between"/>
      </c:valAx>
    </c:plotArea>
    <c:legend>
      <c:legendPos val="r"/>
      <c:layout>
        <c:manualLayout>
          <c:xMode val="edge"/>
          <c:yMode val="edge"/>
          <c:x val="5.4824561403508934E-3"/>
          <c:y val="0.92239858906524896"/>
          <c:w val="0.9851757613267772"/>
          <c:h val="7.760141093474501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62356679099324"/>
          <c:h val="0.7509289116638318"/>
        </c:manualLayout>
      </c:layout>
      <c:lineChart>
        <c:grouping val="standard"/>
        <c:varyColors val="0"/>
        <c:ser>
          <c:idx val="4"/>
          <c:order val="0"/>
          <c:tx>
            <c:strRef>
              <c:f>Diagnostics!$A$360</c:f>
              <c:strCache>
                <c:ptCount val="1"/>
                <c:pt idx="0">
                  <c:v>CT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bubble3D val="0"/>
          </c:dPt>
          <c:dPt>
            <c:idx val="8"/>
            <c:bubble3D val="0"/>
          </c:dPt>
          <c:dPt>
            <c:idx val="9"/>
            <c:bubble3D val="0"/>
          </c:dPt>
          <c:dPt>
            <c:idx val="10"/>
            <c:bubble3D val="0"/>
          </c:dPt>
          <c:dPt>
            <c:idx val="11"/>
            <c:bubble3D val="0"/>
          </c:dPt>
          <c:dPt>
            <c:idx val="14"/>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Diagnostics!$B$360:$AW$360</c:f>
              <c:numCache>
                <c:formatCode>General</c:formatCode>
                <c:ptCount val="48"/>
                <c:pt idx="0">
                  <c:v>15</c:v>
                </c:pt>
                <c:pt idx="1">
                  <c:v>8</c:v>
                </c:pt>
                <c:pt idx="2">
                  <c:v>6</c:v>
                </c:pt>
                <c:pt idx="3">
                  <c:v>12</c:v>
                </c:pt>
                <c:pt idx="4">
                  <c:v>9</c:v>
                </c:pt>
                <c:pt idx="5">
                  <c:v>9</c:v>
                </c:pt>
                <c:pt idx="6">
                  <c:v>3</c:v>
                </c:pt>
                <c:pt idx="7">
                  <c:v>2</c:v>
                </c:pt>
                <c:pt idx="8">
                  <c:v>6</c:v>
                </c:pt>
                <c:pt idx="9">
                  <c:v>2</c:v>
                </c:pt>
                <c:pt idx="10">
                  <c:v>5</c:v>
                </c:pt>
                <c:pt idx="11">
                  <c:v>6</c:v>
                </c:pt>
                <c:pt idx="12">
                  <c:v>7</c:v>
                </c:pt>
                <c:pt idx="13">
                  <c:v>3</c:v>
                </c:pt>
                <c:pt idx="14">
                  <c:v>19</c:v>
                </c:pt>
                <c:pt idx="15">
                  <c:v>5</c:v>
                </c:pt>
                <c:pt idx="16">
                  <c:v>7</c:v>
                </c:pt>
                <c:pt idx="17">
                  <c:v>4</c:v>
                </c:pt>
                <c:pt idx="18">
                  <c:v>8</c:v>
                </c:pt>
                <c:pt idx="19">
                  <c:v>4</c:v>
                </c:pt>
                <c:pt idx="20">
                  <c:v>3</c:v>
                </c:pt>
                <c:pt idx="21">
                  <c:v>10</c:v>
                </c:pt>
                <c:pt idx="22">
                  <c:v>7</c:v>
                </c:pt>
                <c:pt idx="23">
                  <c:v>1</c:v>
                </c:pt>
                <c:pt idx="24">
                  <c:v>6</c:v>
                </c:pt>
                <c:pt idx="25">
                  <c:v>3</c:v>
                </c:pt>
                <c:pt idx="26">
                  <c:v>7</c:v>
                </c:pt>
                <c:pt idx="27">
                  <c:v>5</c:v>
                </c:pt>
                <c:pt idx="28">
                  <c:v>5</c:v>
                </c:pt>
                <c:pt idx="29">
                  <c:v>2</c:v>
                </c:pt>
                <c:pt idx="30">
                  <c:v>4</c:v>
                </c:pt>
                <c:pt idx="31">
                  <c:v>8</c:v>
                </c:pt>
                <c:pt idx="32">
                  <c:v>3</c:v>
                </c:pt>
              </c:numCache>
            </c:numRef>
          </c:val>
          <c:smooth val="0"/>
        </c:ser>
        <c:ser>
          <c:idx val="3"/>
          <c:order val="1"/>
          <c:tx>
            <c:strRef>
              <c:f>Diagnostics!$A$381</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Diagnostics!$B$381:$AW$381</c:f>
              <c:numCache>
                <c:formatCode>0</c:formatCode>
                <c:ptCount val="48"/>
                <c:pt idx="0">
                  <c:v>6.1818181818181817</c:v>
                </c:pt>
                <c:pt idx="1">
                  <c:v>6.1818181818181817</c:v>
                </c:pt>
                <c:pt idx="2">
                  <c:v>6.1818181818181817</c:v>
                </c:pt>
                <c:pt idx="3">
                  <c:v>6.1818181818181817</c:v>
                </c:pt>
                <c:pt idx="4">
                  <c:v>6.1818181818181817</c:v>
                </c:pt>
                <c:pt idx="5">
                  <c:v>6.1818181818181817</c:v>
                </c:pt>
                <c:pt idx="6">
                  <c:v>6.1818181818181817</c:v>
                </c:pt>
                <c:pt idx="7">
                  <c:v>6.1818181818181817</c:v>
                </c:pt>
                <c:pt idx="8">
                  <c:v>6.1818181818181817</c:v>
                </c:pt>
                <c:pt idx="9">
                  <c:v>6.1818181818181817</c:v>
                </c:pt>
                <c:pt idx="10">
                  <c:v>6.1818181818181817</c:v>
                </c:pt>
                <c:pt idx="11">
                  <c:v>6.1818181818181817</c:v>
                </c:pt>
                <c:pt idx="12">
                  <c:v>6.1818181818181817</c:v>
                </c:pt>
                <c:pt idx="13">
                  <c:v>6.1818181818181817</c:v>
                </c:pt>
                <c:pt idx="14">
                  <c:v>6.1818181818181817</c:v>
                </c:pt>
                <c:pt idx="15">
                  <c:v>6.1818181818181817</c:v>
                </c:pt>
                <c:pt idx="16">
                  <c:v>6.1818181818181817</c:v>
                </c:pt>
                <c:pt idx="17">
                  <c:v>6.1818181818181817</c:v>
                </c:pt>
                <c:pt idx="18">
                  <c:v>6.1818181818181817</c:v>
                </c:pt>
                <c:pt idx="19">
                  <c:v>6.1818181818181817</c:v>
                </c:pt>
                <c:pt idx="20">
                  <c:v>6.1818181818181817</c:v>
                </c:pt>
                <c:pt idx="21">
                  <c:v>6.1818181818181817</c:v>
                </c:pt>
                <c:pt idx="22">
                  <c:v>6.1818181818181817</c:v>
                </c:pt>
                <c:pt idx="23">
                  <c:v>6.1818181818181817</c:v>
                </c:pt>
                <c:pt idx="24">
                  <c:v>6.1818181818181817</c:v>
                </c:pt>
                <c:pt idx="25">
                  <c:v>6.1818181818181817</c:v>
                </c:pt>
                <c:pt idx="26">
                  <c:v>6.1818181818181817</c:v>
                </c:pt>
                <c:pt idx="27">
                  <c:v>6.1818181818181817</c:v>
                </c:pt>
                <c:pt idx="28">
                  <c:v>6.1818181818181817</c:v>
                </c:pt>
                <c:pt idx="29">
                  <c:v>6.1818181818181817</c:v>
                </c:pt>
                <c:pt idx="30">
                  <c:v>6.1818181818181817</c:v>
                </c:pt>
                <c:pt idx="31">
                  <c:v>6.1818181818181817</c:v>
                </c:pt>
                <c:pt idx="32">
                  <c:v>6.1818181818181817</c:v>
                </c:pt>
                <c:pt idx="33">
                  <c:v>6.1818181818181817</c:v>
                </c:pt>
                <c:pt idx="34">
                  <c:v>6.1818181818181817</c:v>
                </c:pt>
                <c:pt idx="35">
                  <c:v>6.1818181818181817</c:v>
                </c:pt>
                <c:pt idx="36">
                  <c:v>6.1818181818181817</c:v>
                </c:pt>
                <c:pt idx="37">
                  <c:v>6.1818181818181817</c:v>
                </c:pt>
                <c:pt idx="38">
                  <c:v>6.1818181818181817</c:v>
                </c:pt>
                <c:pt idx="39">
                  <c:v>6.1818181818181817</c:v>
                </c:pt>
                <c:pt idx="40">
                  <c:v>6.1818181818181817</c:v>
                </c:pt>
                <c:pt idx="41">
                  <c:v>6.1818181818181817</c:v>
                </c:pt>
                <c:pt idx="42">
                  <c:v>6.1818181818181817</c:v>
                </c:pt>
                <c:pt idx="43">
                  <c:v>6.1818181818181817</c:v>
                </c:pt>
                <c:pt idx="44">
                  <c:v>6.1818181818181817</c:v>
                </c:pt>
                <c:pt idx="45">
                  <c:v>6.1818181818181817</c:v>
                </c:pt>
                <c:pt idx="46">
                  <c:v>6.1818181818181817</c:v>
                </c:pt>
                <c:pt idx="47">
                  <c:v>6.1818181818181817</c:v>
                </c:pt>
              </c:numCache>
            </c:numRef>
          </c:val>
          <c:smooth val="0"/>
        </c:ser>
        <c:ser>
          <c:idx val="1"/>
          <c:order val="2"/>
          <c:tx>
            <c:strRef>
              <c:f>Diagnostics!$A$384</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Diagnostics!$B$384:$AW$384</c:f>
              <c:numCache>
                <c:formatCode>0</c:formatCode>
                <c:ptCount val="48"/>
                <c:pt idx="0">
                  <c:v>16.98633945841393</c:v>
                </c:pt>
                <c:pt idx="1">
                  <c:v>16.98633945841393</c:v>
                </c:pt>
                <c:pt idx="2">
                  <c:v>16.98633945841393</c:v>
                </c:pt>
                <c:pt idx="3">
                  <c:v>16.98633945841393</c:v>
                </c:pt>
                <c:pt idx="4">
                  <c:v>16.98633945841393</c:v>
                </c:pt>
                <c:pt idx="5">
                  <c:v>16.98633945841393</c:v>
                </c:pt>
                <c:pt idx="6">
                  <c:v>16.98633945841393</c:v>
                </c:pt>
                <c:pt idx="7">
                  <c:v>16.98633945841393</c:v>
                </c:pt>
                <c:pt idx="8">
                  <c:v>16.98633945841393</c:v>
                </c:pt>
                <c:pt idx="9">
                  <c:v>16.98633945841393</c:v>
                </c:pt>
                <c:pt idx="10">
                  <c:v>16.98633945841393</c:v>
                </c:pt>
                <c:pt idx="11">
                  <c:v>16.98633945841393</c:v>
                </c:pt>
                <c:pt idx="12">
                  <c:v>16.98633945841393</c:v>
                </c:pt>
                <c:pt idx="13">
                  <c:v>16.98633945841393</c:v>
                </c:pt>
                <c:pt idx="14">
                  <c:v>16.98633945841393</c:v>
                </c:pt>
                <c:pt idx="15">
                  <c:v>16.98633945841393</c:v>
                </c:pt>
                <c:pt idx="16">
                  <c:v>16.98633945841393</c:v>
                </c:pt>
                <c:pt idx="17">
                  <c:v>16.98633945841393</c:v>
                </c:pt>
                <c:pt idx="18">
                  <c:v>16.98633945841393</c:v>
                </c:pt>
                <c:pt idx="19">
                  <c:v>16.98633945841393</c:v>
                </c:pt>
                <c:pt idx="20">
                  <c:v>16.98633945841393</c:v>
                </c:pt>
                <c:pt idx="21">
                  <c:v>16.98633945841393</c:v>
                </c:pt>
                <c:pt idx="22">
                  <c:v>16.98633945841393</c:v>
                </c:pt>
                <c:pt idx="23">
                  <c:v>16.98633945841393</c:v>
                </c:pt>
                <c:pt idx="24">
                  <c:v>16.98633945841393</c:v>
                </c:pt>
                <c:pt idx="25">
                  <c:v>16.98633945841393</c:v>
                </c:pt>
                <c:pt idx="26">
                  <c:v>16.98633945841393</c:v>
                </c:pt>
                <c:pt idx="27">
                  <c:v>16.98633945841393</c:v>
                </c:pt>
                <c:pt idx="28">
                  <c:v>16.98633945841393</c:v>
                </c:pt>
                <c:pt idx="29">
                  <c:v>16.98633945841393</c:v>
                </c:pt>
                <c:pt idx="30">
                  <c:v>16.98633945841393</c:v>
                </c:pt>
                <c:pt idx="31">
                  <c:v>16.98633945841393</c:v>
                </c:pt>
                <c:pt idx="32">
                  <c:v>16.98633945841393</c:v>
                </c:pt>
                <c:pt idx="33">
                  <c:v>16.98633945841393</c:v>
                </c:pt>
                <c:pt idx="34">
                  <c:v>16.98633945841393</c:v>
                </c:pt>
                <c:pt idx="35">
                  <c:v>16.98633945841393</c:v>
                </c:pt>
                <c:pt idx="36">
                  <c:v>16.98633945841393</c:v>
                </c:pt>
                <c:pt idx="37">
                  <c:v>16.98633945841393</c:v>
                </c:pt>
                <c:pt idx="38">
                  <c:v>16.98633945841393</c:v>
                </c:pt>
                <c:pt idx="39">
                  <c:v>16.98633945841393</c:v>
                </c:pt>
                <c:pt idx="40">
                  <c:v>16.98633945841393</c:v>
                </c:pt>
                <c:pt idx="41">
                  <c:v>16.98633945841393</c:v>
                </c:pt>
                <c:pt idx="42">
                  <c:v>16.98633945841393</c:v>
                </c:pt>
                <c:pt idx="43">
                  <c:v>16.98633945841393</c:v>
                </c:pt>
                <c:pt idx="44">
                  <c:v>16.98633945841393</c:v>
                </c:pt>
                <c:pt idx="45">
                  <c:v>16.98633945841393</c:v>
                </c:pt>
                <c:pt idx="46">
                  <c:v>16.98633945841393</c:v>
                </c:pt>
                <c:pt idx="47">
                  <c:v>16.98633945841393</c:v>
                </c:pt>
              </c:numCache>
            </c:numRef>
          </c:val>
          <c:smooth val="0"/>
        </c:ser>
        <c:ser>
          <c:idx val="2"/>
          <c:order val="3"/>
          <c:tx>
            <c:strRef>
              <c:f>Diagnostics!$A$385</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Diagnostics!$B$385:$AW$385</c:f>
              <c:numCache>
                <c:formatCode>0</c:formatCode>
                <c:ptCount val="48"/>
                <c:pt idx="0">
                  <c:v>-4.6227030947775649</c:v>
                </c:pt>
                <c:pt idx="1">
                  <c:v>-4.6227030947775649</c:v>
                </c:pt>
                <c:pt idx="2">
                  <c:v>-4.6227030947775649</c:v>
                </c:pt>
                <c:pt idx="3">
                  <c:v>-4.6227030947775649</c:v>
                </c:pt>
                <c:pt idx="4">
                  <c:v>-4.6227030947775649</c:v>
                </c:pt>
                <c:pt idx="5">
                  <c:v>-4.6227030947775649</c:v>
                </c:pt>
                <c:pt idx="6">
                  <c:v>-4.6227030947775649</c:v>
                </c:pt>
                <c:pt idx="7">
                  <c:v>-4.6227030947775649</c:v>
                </c:pt>
                <c:pt idx="8">
                  <c:v>-4.6227030947775649</c:v>
                </c:pt>
                <c:pt idx="9">
                  <c:v>-4.6227030947775649</c:v>
                </c:pt>
                <c:pt idx="10">
                  <c:v>-4.6227030947775649</c:v>
                </c:pt>
                <c:pt idx="11">
                  <c:v>-4.6227030947775649</c:v>
                </c:pt>
                <c:pt idx="12">
                  <c:v>-4.6227030947775649</c:v>
                </c:pt>
                <c:pt idx="13">
                  <c:v>-4.6227030947775649</c:v>
                </c:pt>
                <c:pt idx="14">
                  <c:v>-4.6227030947775649</c:v>
                </c:pt>
                <c:pt idx="15">
                  <c:v>-4.6227030947775649</c:v>
                </c:pt>
                <c:pt idx="16">
                  <c:v>-4.6227030947775649</c:v>
                </c:pt>
                <c:pt idx="17">
                  <c:v>-4.6227030947775649</c:v>
                </c:pt>
                <c:pt idx="18">
                  <c:v>-4.6227030947775649</c:v>
                </c:pt>
                <c:pt idx="19">
                  <c:v>-4.6227030947775649</c:v>
                </c:pt>
                <c:pt idx="20">
                  <c:v>-4.6227030947775649</c:v>
                </c:pt>
                <c:pt idx="21">
                  <c:v>-4.6227030947775649</c:v>
                </c:pt>
                <c:pt idx="22">
                  <c:v>-4.6227030947775649</c:v>
                </c:pt>
                <c:pt idx="23">
                  <c:v>-4.6227030947775649</c:v>
                </c:pt>
                <c:pt idx="24">
                  <c:v>-4.6227030947775649</c:v>
                </c:pt>
                <c:pt idx="25">
                  <c:v>-4.6227030947775649</c:v>
                </c:pt>
                <c:pt idx="26">
                  <c:v>-4.6227030947775649</c:v>
                </c:pt>
                <c:pt idx="27">
                  <c:v>-4.6227030947775649</c:v>
                </c:pt>
                <c:pt idx="28">
                  <c:v>-4.6227030947775649</c:v>
                </c:pt>
                <c:pt idx="29">
                  <c:v>-4.6227030947775649</c:v>
                </c:pt>
                <c:pt idx="30">
                  <c:v>-4.6227030947775649</c:v>
                </c:pt>
                <c:pt idx="31">
                  <c:v>-4.6227030947775649</c:v>
                </c:pt>
                <c:pt idx="32">
                  <c:v>-4.6227030947775649</c:v>
                </c:pt>
                <c:pt idx="33">
                  <c:v>-4.6227030947775649</c:v>
                </c:pt>
                <c:pt idx="34">
                  <c:v>-4.6227030947775649</c:v>
                </c:pt>
                <c:pt idx="35">
                  <c:v>-4.6227030947775649</c:v>
                </c:pt>
                <c:pt idx="36">
                  <c:v>-4.6227030947775649</c:v>
                </c:pt>
                <c:pt idx="37">
                  <c:v>-4.6227030947775649</c:v>
                </c:pt>
                <c:pt idx="38">
                  <c:v>-4.6227030947775649</c:v>
                </c:pt>
                <c:pt idx="39">
                  <c:v>-4.6227030947775649</c:v>
                </c:pt>
                <c:pt idx="40">
                  <c:v>-4.6227030947775649</c:v>
                </c:pt>
                <c:pt idx="41">
                  <c:v>-4.6227030947775649</c:v>
                </c:pt>
                <c:pt idx="42">
                  <c:v>-4.6227030947775649</c:v>
                </c:pt>
                <c:pt idx="43">
                  <c:v>-4.6227030947775649</c:v>
                </c:pt>
                <c:pt idx="44">
                  <c:v>-4.6227030947775649</c:v>
                </c:pt>
                <c:pt idx="45">
                  <c:v>-4.6227030947775649</c:v>
                </c:pt>
                <c:pt idx="46">
                  <c:v>-4.6227030947775649</c:v>
                </c:pt>
                <c:pt idx="47">
                  <c:v>-4.6227030947775649</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050880"/>
        <c:axId val="213052416"/>
      </c:lineChart>
      <c:dateAx>
        <c:axId val="213050880"/>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213052416"/>
        <c:crosses val="autoZero"/>
        <c:auto val="1"/>
        <c:lblOffset val="100"/>
        <c:baseTimeUnit val="months"/>
        <c:majorUnit val="1"/>
        <c:majorTimeUnit val="months"/>
      </c:dateAx>
      <c:valAx>
        <c:axId val="213052416"/>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050880"/>
        <c:crosses val="autoZero"/>
        <c:crossBetween val="between"/>
      </c:valAx>
    </c:plotArea>
    <c:legend>
      <c:legendPos val="r"/>
      <c:layout>
        <c:manualLayout>
          <c:xMode val="edge"/>
          <c:yMode val="edge"/>
          <c:x val="5.4824561403508934E-3"/>
          <c:y val="0.91534391534391535"/>
          <c:w val="0.98386701662292209"/>
          <c:h val="8.465608465608476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891"/>
        </c:manualLayout>
      </c:layout>
      <c:lineChart>
        <c:grouping val="standard"/>
        <c:varyColors val="0"/>
        <c:ser>
          <c:idx val="4"/>
          <c:order val="0"/>
          <c:tx>
            <c:strRef>
              <c:f>'A&amp;E WT'!$A$13</c:f>
              <c:strCache>
                <c:ptCount val="1"/>
                <c:pt idx="0">
                  <c:v>WGH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bubble3D val="0"/>
            <c:spPr>
              <a:ln w="25400" cap="rnd">
                <a:solidFill>
                  <a:srgbClr val="00B050"/>
                </a:solidFill>
                <a:round/>
                <a:headEnd type="none"/>
              </a:ln>
              <a:effectLst/>
            </c:spPr>
          </c:dPt>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dPt>
            <c:idx val="30"/>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WT'!$B$13:$AW$13</c:f>
              <c:numCache>
                <c:formatCode>0.0%</c:formatCode>
                <c:ptCount val="48"/>
                <c:pt idx="0">
                  <c:v>0.88209479227618492</c:v>
                </c:pt>
                <c:pt idx="1">
                  <c:v>0.87503550127804597</c:v>
                </c:pt>
                <c:pt idx="2">
                  <c:v>0.90618818875388529</c:v>
                </c:pt>
                <c:pt idx="3">
                  <c:v>0.8809861150467555</c:v>
                </c:pt>
                <c:pt idx="4">
                  <c:v>0.90554089709762531</c:v>
                </c:pt>
                <c:pt idx="5">
                  <c:v>0.83632050606220343</c:v>
                </c:pt>
                <c:pt idx="6">
                  <c:v>0.86456605859590929</c:v>
                </c:pt>
                <c:pt idx="7">
                  <c:v>0.84860788863109049</c:v>
                </c:pt>
                <c:pt idx="8">
                  <c:v>0.83577981651376143</c:v>
                </c:pt>
                <c:pt idx="9">
                  <c:v>0.80123526108927567</c:v>
                </c:pt>
                <c:pt idx="10">
                  <c:v>0.86211699164345401</c:v>
                </c:pt>
                <c:pt idx="11">
                  <c:v>0.82601797990481229</c:v>
                </c:pt>
                <c:pt idx="12">
                  <c:v>0.8392857142857143</c:v>
                </c:pt>
                <c:pt idx="13">
                  <c:v>0.9071556809438317</c:v>
                </c:pt>
                <c:pt idx="14">
                  <c:v>0.93100000000000005</c:v>
                </c:pt>
                <c:pt idx="15">
                  <c:v>0.95439377085650723</c:v>
                </c:pt>
                <c:pt idx="16">
                  <c:v>0.88100000000000001</c:v>
                </c:pt>
                <c:pt idx="17">
                  <c:v>0.871</c:v>
                </c:pt>
                <c:pt idx="18">
                  <c:v>0.89069942341438957</c:v>
                </c:pt>
                <c:pt idx="19">
                  <c:v>0.874</c:v>
                </c:pt>
                <c:pt idx="20">
                  <c:v>0.86499999999999999</c:v>
                </c:pt>
                <c:pt idx="21">
                  <c:v>0.84799999999999998</c:v>
                </c:pt>
                <c:pt idx="22">
                  <c:v>0.83479999999999999</c:v>
                </c:pt>
                <c:pt idx="23">
                  <c:v>0.93200000000000005</c:v>
                </c:pt>
                <c:pt idx="24">
                  <c:v>0.91500000000000004</c:v>
                </c:pt>
                <c:pt idx="25">
                  <c:v>0.91600000000000004</c:v>
                </c:pt>
                <c:pt idx="26">
                  <c:v>0.90600000000000003</c:v>
                </c:pt>
                <c:pt idx="27">
                  <c:v>0.93500000000000005</c:v>
                </c:pt>
                <c:pt idx="28">
                  <c:v>0.95</c:v>
                </c:pt>
                <c:pt idx="29">
                  <c:v>0.90200000000000002</c:v>
                </c:pt>
                <c:pt idx="30">
                  <c:v>0.92800000000000005</c:v>
                </c:pt>
                <c:pt idx="31">
                  <c:v>0.873</c:v>
                </c:pt>
                <c:pt idx="32">
                  <c:v>0.78500000000000003</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WT'!$A$14</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WT'!$B$14:$G$14</c:f>
              <c:numCache>
                <c:formatCode>0.0%</c:formatCode>
                <c:ptCount val="6"/>
                <c:pt idx="0">
                  <c:v>0.88154045366147016</c:v>
                </c:pt>
                <c:pt idx="1">
                  <c:v>0.88154045366147016</c:v>
                </c:pt>
                <c:pt idx="2">
                  <c:v>0.88154045366147016</c:v>
                </c:pt>
                <c:pt idx="3">
                  <c:v>0.88154045366147016</c:v>
                </c:pt>
                <c:pt idx="4">
                  <c:v>0.88154045366147016</c:v>
                </c:pt>
                <c:pt idx="5">
                  <c:v>0.88154045366147016</c:v>
                </c:pt>
              </c:numCache>
            </c:numRef>
          </c:val>
          <c:smooth val="0"/>
        </c:ser>
        <c:ser>
          <c:idx val="1"/>
          <c:order val="4"/>
          <c:tx>
            <c:strRef>
              <c:f>'A&amp;E WT'!$A$15</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WT'!$B$15:$AW$15</c:f>
              <c:numCache>
                <c:formatCode>0.0%</c:formatCode>
                <c:ptCount val="48"/>
                <c:pt idx="5">
                  <c:v>0.88154045366147016</c:v>
                </c:pt>
                <c:pt idx="6">
                  <c:v>0.88154045366147016</c:v>
                </c:pt>
                <c:pt idx="7">
                  <c:v>0.88154045366147016</c:v>
                </c:pt>
                <c:pt idx="8">
                  <c:v>0.88154045366147016</c:v>
                </c:pt>
                <c:pt idx="9">
                  <c:v>0.88154045366147016</c:v>
                </c:pt>
                <c:pt idx="10">
                  <c:v>0.88154045366147016</c:v>
                </c:pt>
                <c:pt idx="11">
                  <c:v>0.88154045366147016</c:v>
                </c:pt>
                <c:pt idx="12">
                  <c:v>0.88154045366147016</c:v>
                </c:pt>
                <c:pt idx="13">
                  <c:v>0.88154045366147016</c:v>
                </c:pt>
                <c:pt idx="14">
                  <c:v>0.88154045366147016</c:v>
                </c:pt>
                <c:pt idx="15">
                  <c:v>0.88154045366147016</c:v>
                </c:pt>
                <c:pt idx="16">
                  <c:v>0.88154045366147016</c:v>
                </c:pt>
                <c:pt idx="17">
                  <c:v>0.88154045366147016</c:v>
                </c:pt>
                <c:pt idx="18">
                  <c:v>0.88154045366147016</c:v>
                </c:pt>
                <c:pt idx="19">
                  <c:v>0.88154045366147016</c:v>
                </c:pt>
                <c:pt idx="20">
                  <c:v>0.88154045366147016</c:v>
                </c:pt>
                <c:pt idx="21">
                  <c:v>0.88154045366147016</c:v>
                </c:pt>
                <c:pt idx="22">
                  <c:v>0.88154045366147016</c:v>
                </c:pt>
                <c:pt idx="23">
                  <c:v>0.88154045366147016</c:v>
                </c:pt>
                <c:pt idx="24">
                  <c:v>0.88154045366147016</c:v>
                </c:pt>
                <c:pt idx="25">
                  <c:v>0.88154045366147016</c:v>
                </c:pt>
                <c:pt idx="26">
                  <c:v>0.88154045366147016</c:v>
                </c:pt>
                <c:pt idx="27">
                  <c:v>0.88154045366147016</c:v>
                </c:pt>
                <c:pt idx="28">
                  <c:v>0.88154045366147016</c:v>
                </c:pt>
                <c:pt idx="29">
                  <c:v>0.88154045366147016</c:v>
                </c:pt>
                <c:pt idx="30">
                  <c:v>0.88154045366147016</c:v>
                </c:pt>
                <c:pt idx="31">
                  <c:v>0.88154045366147016</c:v>
                </c:pt>
                <c:pt idx="32">
                  <c:v>0.88154045366147016</c:v>
                </c:pt>
                <c:pt idx="33">
                  <c:v>0.88154045366147016</c:v>
                </c:pt>
                <c:pt idx="34">
                  <c:v>0.88154045366147016</c:v>
                </c:pt>
                <c:pt idx="35">
                  <c:v>0.88154045366147016</c:v>
                </c:pt>
                <c:pt idx="36">
                  <c:v>0.88154045366147016</c:v>
                </c:pt>
                <c:pt idx="37">
                  <c:v>0.88154045366147016</c:v>
                </c:pt>
                <c:pt idx="38">
                  <c:v>0.88154045366147016</c:v>
                </c:pt>
                <c:pt idx="39">
                  <c:v>0.88154045366147016</c:v>
                </c:pt>
                <c:pt idx="40">
                  <c:v>0.88154045366147016</c:v>
                </c:pt>
                <c:pt idx="41">
                  <c:v>0.88154045366147016</c:v>
                </c:pt>
                <c:pt idx="42">
                  <c:v>0.88154045366147016</c:v>
                </c:pt>
                <c:pt idx="43">
                  <c:v>0.88154045366147016</c:v>
                </c:pt>
                <c:pt idx="44">
                  <c:v>0.88154045366147016</c:v>
                </c:pt>
                <c:pt idx="45">
                  <c:v>0.88154045366147016</c:v>
                </c:pt>
                <c:pt idx="46">
                  <c:v>0.88154045366147016</c:v>
                </c:pt>
                <c:pt idx="47">
                  <c:v>0.88154045366147016</c:v>
                </c:pt>
              </c:numCache>
            </c:numRef>
          </c:val>
          <c:smooth val="0"/>
        </c:ser>
        <c:dLbls>
          <c:showLegendKey val="0"/>
          <c:showVal val="0"/>
          <c:showCatName val="0"/>
          <c:showSerName val="0"/>
          <c:showPercent val="0"/>
          <c:showBubbleSize val="0"/>
        </c:dLbls>
        <c:marker val="1"/>
        <c:smooth val="0"/>
        <c:axId val="186789248"/>
        <c:axId val="186791040"/>
      </c:lineChart>
      <c:dateAx>
        <c:axId val="1867892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6791040"/>
        <c:crosses val="autoZero"/>
        <c:auto val="1"/>
        <c:lblOffset val="100"/>
        <c:baseTimeUnit val="months"/>
        <c:majorUnit val="1"/>
        <c:majorTimeUnit val="months"/>
      </c:dateAx>
      <c:valAx>
        <c:axId val="186791040"/>
        <c:scaling>
          <c:orientation val="minMax"/>
          <c:max val="1"/>
          <c:min val="0.70000000000000029"/>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6789248"/>
        <c:crosses val="autoZero"/>
        <c:crossBetween val="between"/>
        <c:majorUnit val="2.0000000000000011E-2"/>
      </c:valAx>
    </c:plotArea>
    <c:legend>
      <c:legendPos val="r"/>
      <c:layout>
        <c:manualLayout>
          <c:xMode val="edge"/>
          <c:yMode val="edge"/>
          <c:x val="1.4986111111111235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184970299765169"/>
          <c:h val="0.76151092224583061"/>
        </c:manualLayout>
      </c:layout>
      <c:lineChart>
        <c:grouping val="standard"/>
        <c:varyColors val="0"/>
        <c:ser>
          <c:idx val="4"/>
          <c:order val="0"/>
          <c:tx>
            <c:strRef>
              <c:f>Diagnostics!$A$361</c:f>
              <c:strCache>
                <c:ptCount val="1"/>
                <c:pt idx="0">
                  <c:v>General Ultrasound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2"/>
            <c:marker>
              <c:spPr>
                <a:solidFill>
                  <a:schemeClr val="bg1"/>
                </a:solidFill>
                <a:ln w="25400">
                  <a:solidFill>
                    <a:srgbClr val="0070C0"/>
                  </a:solidFill>
                </a:ln>
              </c:spPr>
            </c:marker>
            <c:bubble3D val="0"/>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Diagnostics!$B$361:$AW$361</c:f>
              <c:numCache>
                <c:formatCode>General</c:formatCode>
                <c:ptCount val="48"/>
                <c:pt idx="0">
                  <c:v>23</c:v>
                </c:pt>
                <c:pt idx="1">
                  <c:v>13</c:v>
                </c:pt>
                <c:pt idx="2">
                  <c:v>30</c:v>
                </c:pt>
                <c:pt idx="3">
                  <c:v>4</c:v>
                </c:pt>
                <c:pt idx="4">
                  <c:v>5</c:v>
                </c:pt>
                <c:pt idx="5">
                  <c:v>10</c:v>
                </c:pt>
                <c:pt idx="6">
                  <c:v>1</c:v>
                </c:pt>
                <c:pt idx="7">
                  <c:v>5</c:v>
                </c:pt>
                <c:pt idx="8">
                  <c:v>5</c:v>
                </c:pt>
                <c:pt idx="9">
                  <c:v>3</c:v>
                </c:pt>
                <c:pt idx="10">
                  <c:v>9</c:v>
                </c:pt>
                <c:pt idx="11">
                  <c:v>3</c:v>
                </c:pt>
                <c:pt idx="12">
                  <c:v>3</c:v>
                </c:pt>
                <c:pt idx="13">
                  <c:v>3</c:v>
                </c:pt>
                <c:pt idx="14">
                  <c:v>3</c:v>
                </c:pt>
                <c:pt idx="15">
                  <c:v>5</c:v>
                </c:pt>
                <c:pt idx="16">
                  <c:v>5</c:v>
                </c:pt>
                <c:pt idx="17">
                  <c:v>1</c:v>
                </c:pt>
                <c:pt idx="18">
                  <c:v>2</c:v>
                </c:pt>
                <c:pt idx="19">
                  <c:v>9</c:v>
                </c:pt>
                <c:pt idx="20">
                  <c:v>9</c:v>
                </c:pt>
                <c:pt idx="21">
                  <c:v>6</c:v>
                </c:pt>
                <c:pt idx="22">
                  <c:v>8</c:v>
                </c:pt>
                <c:pt idx="23">
                  <c:v>3</c:v>
                </c:pt>
                <c:pt idx="24">
                  <c:v>4</c:v>
                </c:pt>
                <c:pt idx="25">
                  <c:v>3</c:v>
                </c:pt>
                <c:pt idx="26">
                  <c:v>0</c:v>
                </c:pt>
                <c:pt idx="27">
                  <c:v>2</c:v>
                </c:pt>
                <c:pt idx="28">
                  <c:v>4</c:v>
                </c:pt>
                <c:pt idx="29">
                  <c:v>9</c:v>
                </c:pt>
                <c:pt idx="30">
                  <c:v>8</c:v>
                </c:pt>
                <c:pt idx="31">
                  <c:v>8</c:v>
                </c:pt>
                <c:pt idx="32">
                  <c:v>6</c:v>
                </c:pt>
              </c:numCache>
            </c:numRef>
          </c:val>
          <c:smooth val="0"/>
        </c:ser>
        <c:ser>
          <c:idx val="3"/>
          <c:order val="1"/>
          <c:tx>
            <c:strRef>
              <c:f>Diagnostics!$A$392</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Diagnostics!$B$392:$AW$392</c:f>
              <c:numCache>
                <c:formatCode>0</c:formatCode>
                <c:ptCount val="48"/>
                <c:pt idx="0">
                  <c:v>6.4242424242424239</c:v>
                </c:pt>
                <c:pt idx="1">
                  <c:v>6.4242424242424239</c:v>
                </c:pt>
                <c:pt idx="2">
                  <c:v>6.4242424242424239</c:v>
                </c:pt>
                <c:pt idx="3">
                  <c:v>6.4242424242424239</c:v>
                </c:pt>
                <c:pt idx="4">
                  <c:v>6.4242424242424239</c:v>
                </c:pt>
                <c:pt idx="5">
                  <c:v>6.4242424242424239</c:v>
                </c:pt>
                <c:pt idx="6">
                  <c:v>6.4242424242424239</c:v>
                </c:pt>
                <c:pt idx="7">
                  <c:v>6.4242424242424239</c:v>
                </c:pt>
                <c:pt idx="8">
                  <c:v>6.4242424242424239</c:v>
                </c:pt>
                <c:pt idx="9">
                  <c:v>6.4242424242424239</c:v>
                </c:pt>
                <c:pt idx="10">
                  <c:v>6.4242424242424239</c:v>
                </c:pt>
                <c:pt idx="11">
                  <c:v>6.4242424242424239</c:v>
                </c:pt>
                <c:pt idx="12">
                  <c:v>6.4242424242424239</c:v>
                </c:pt>
                <c:pt idx="13">
                  <c:v>6.4242424242424239</c:v>
                </c:pt>
                <c:pt idx="14">
                  <c:v>6.4242424242424239</c:v>
                </c:pt>
                <c:pt idx="15">
                  <c:v>6.4242424242424239</c:v>
                </c:pt>
                <c:pt idx="16">
                  <c:v>6.4242424242424239</c:v>
                </c:pt>
                <c:pt idx="17">
                  <c:v>6.4242424242424239</c:v>
                </c:pt>
                <c:pt idx="18">
                  <c:v>6.4242424242424239</c:v>
                </c:pt>
                <c:pt idx="19">
                  <c:v>6.4242424242424239</c:v>
                </c:pt>
                <c:pt idx="20">
                  <c:v>6.4242424242424239</c:v>
                </c:pt>
                <c:pt idx="21">
                  <c:v>6.4242424242424239</c:v>
                </c:pt>
                <c:pt idx="22">
                  <c:v>6.4242424242424239</c:v>
                </c:pt>
                <c:pt idx="23">
                  <c:v>6.4242424242424239</c:v>
                </c:pt>
                <c:pt idx="24">
                  <c:v>6.4242424242424239</c:v>
                </c:pt>
                <c:pt idx="25">
                  <c:v>6.4242424242424239</c:v>
                </c:pt>
                <c:pt idx="26">
                  <c:v>6.4242424242424239</c:v>
                </c:pt>
                <c:pt idx="27">
                  <c:v>6.4242424242424239</c:v>
                </c:pt>
                <c:pt idx="28">
                  <c:v>6.4242424242424239</c:v>
                </c:pt>
                <c:pt idx="29">
                  <c:v>6.4242424242424239</c:v>
                </c:pt>
                <c:pt idx="30">
                  <c:v>6.4242424242424239</c:v>
                </c:pt>
                <c:pt idx="31">
                  <c:v>6.4242424242424239</c:v>
                </c:pt>
                <c:pt idx="32">
                  <c:v>6.4242424242424239</c:v>
                </c:pt>
                <c:pt idx="33">
                  <c:v>6.4242424242424239</c:v>
                </c:pt>
                <c:pt idx="34">
                  <c:v>6.4242424242424239</c:v>
                </c:pt>
                <c:pt idx="35">
                  <c:v>6.4242424242424239</c:v>
                </c:pt>
                <c:pt idx="36">
                  <c:v>6.4242424242424239</c:v>
                </c:pt>
                <c:pt idx="37">
                  <c:v>6.4242424242424239</c:v>
                </c:pt>
                <c:pt idx="38">
                  <c:v>6.4242424242424239</c:v>
                </c:pt>
                <c:pt idx="39">
                  <c:v>6.4242424242424239</c:v>
                </c:pt>
                <c:pt idx="40">
                  <c:v>6.4242424242424239</c:v>
                </c:pt>
                <c:pt idx="41">
                  <c:v>6.4242424242424239</c:v>
                </c:pt>
                <c:pt idx="42">
                  <c:v>6.4242424242424239</c:v>
                </c:pt>
                <c:pt idx="43">
                  <c:v>6.4242424242424239</c:v>
                </c:pt>
                <c:pt idx="44">
                  <c:v>6.4242424242424239</c:v>
                </c:pt>
                <c:pt idx="45">
                  <c:v>6.4242424242424239</c:v>
                </c:pt>
                <c:pt idx="46">
                  <c:v>6.4242424242424239</c:v>
                </c:pt>
                <c:pt idx="47">
                  <c:v>6.4242424242424239</c:v>
                </c:pt>
              </c:numCache>
            </c:numRef>
          </c:val>
          <c:smooth val="0"/>
        </c:ser>
        <c:ser>
          <c:idx val="1"/>
          <c:order val="2"/>
          <c:tx>
            <c:strRef>
              <c:f>Diagnostics!$A$395</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Diagnostics!$B$395:$AW$395</c:f>
              <c:numCache>
                <c:formatCode>0</c:formatCode>
                <c:ptCount val="48"/>
                <c:pt idx="0">
                  <c:v>16.979428594455193</c:v>
                </c:pt>
                <c:pt idx="1">
                  <c:v>16.979428594455193</c:v>
                </c:pt>
                <c:pt idx="2">
                  <c:v>16.979428594455193</c:v>
                </c:pt>
                <c:pt idx="3">
                  <c:v>16.979428594455193</c:v>
                </c:pt>
                <c:pt idx="4">
                  <c:v>16.979428594455193</c:v>
                </c:pt>
                <c:pt idx="5">
                  <c:v>16.979428594455193</c:v>
                </c:pt>
                <c:pt idx="6">
                  <c:v>16.979428594455193</c:v>
                </c:pt>
                <c:pt idx="7">
                  <c:v>16.979428594455193</c:v>
                </c:pt>
                <c:pt idx="8">
                  <c:v>16.979428594455193</c:v>
                </c:pt>
                <c:pt idx="9">
                  <c:v>16.979428594455193</c:v>
                </c:pt>
                <c:pt idx="10">
                  <c:v>16.979428594455193</c:v>
                </c:pt>
                <c:pt idx="11">
                  <c:v>16.979428594455193</c:v>
                </c:pt>
                <c:pt idx="12">
                  <c:v>16.979428594455193</c:v>
                </c:pt>
                <c:pt idx="13">
                  <c:v>16.979428594455193</c:v>
                </c:pt>
                <c:pt idx="14">
                  <c:v>16.979428594455193</c:v>
                </c:pt>
                <c:pt idx="15">
                  <c:v>16.979428594455193</c:v>
                </c:pt>
                <c:pt idx="16">
                  <c:v>16.979428594455193</c:v>
                </c:pt>
                <c:pt idx="17">
                  <c:v>16.979428594455193</c:v>
                </c:pt>
                <c:pt idx="18">
                  <c:v>16.979428594455193</c:v>
                </c:pt>
                <c:pt idx="19">
                  <c:v>16.979428594455193</c:v>
                </c:pt>
                <c:pt idx="20">
                  <c:v>16.979428594455193</c:v>
                </c:pt>
                <c:pt idx="21">
                  <c:v>16.979428594455193</c:v>
                </c:pt>
                <c:pt idx="22">
                  <c:v>16.979428594455193</c:v>
                </c:pt>
                <c:pt idx="23">
                  <c:v>16.979428594455193</c:v>
                </c:pt>
                <c:pt idx="24">
                  <c:v>16.979428594455193</c:v>
                </c:pt>
                <c:pt idx="25">
                  <c:v>16.979428594455193</c:v>
                </c:pt>
                <c:pt idx="26">
                  <c:v>16.979428594455193</c:v>
                </c:pt>
                <c:pt idx="27">
                  <c:v>16.979428594455193</c:v>
                </c:pt>
                <c:pt idx="28">
                  <c:v>16.979428594455193</c:v>
                </c:pt>
                <c:pt idx="29">
                  <c:v>16.979428594455193</c:v>
                </c:pt>
                <c:pt idx="30">
                  <c:v>16.979428594455193</c:v>
                </c:pt>
                <c:pt idx="31">
                  <c:v>16.979428594455193</c:v>
                </c:pt>
                <c:pt idx="32">
                  <c:v>16.979428594455193</c:v>
                </c:pt>
                <c:pt idx="33">
                  <c:v>16.979428594455193</c:v>
                </c:pt>
                <c:pt idx="34">
                  <c:v>16.979428594455193</c:v>
                </c:pt>
                <c:pt idx="35">
                  <c:v>16.979428594455193</c:v>
                </c:pt>
                <c:pt idx="36">
                  <c:v>16.979428594455193</c:v>
                </c:pt>
                <c:pt idx="37">
                  <c:v>16.979428594455193</c:v>
                </c:pt>
                <c:pt idx="38">
                  <c:v>16.979428594455193</c:v>
                </c:pt>
                <c:pt idx="39">
                  <c:v>16.979428594455193</c:v>
                </c:pt>
                <c:pt idx="40">
                  <c:v>16.979428594455193</c:v>
                </c:pt>
                <c:pt idx="41">
                  <c:v>16.979428594455193</c:v>
                </c:pt>
                <c:pt idx="42">
                  <c:v>16.979428594455193</c:v>
                </c:pt>
                <c:pt idx="43">
                  <c:v>16.979428594455193</c:v>
                </c:pt>
                <c:pt idx="44">
                  <c:v>16.979428594455193</c:v>
                </c:pt>
                <c:pt idx="45">
                  <c:v>16.979428594455193</c:v>
                </c:pt>
                <c:pt idx="46">
                  <c:v>16.979428594455193</c:v>
                </c:pt>
                <c:pt idx="47">
                  <c:v>16.979428594455193</c:v>
                </c:pt>
              </c:numCache>
            </c:numRef>
          </c:val>
          <c:smooth val="0"/>
        </c:ser>
        <c:ser>
          <c:idx val="2"/>
          <c:order val="3"/>
          <c:tx>
            <c:strRef>
              <c:f>Diagnostics!$A$396</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Diagnostics!$B$396:$AW$396</c:f>
              <c:numCache>
                <c:formatCode>0</c:formatCode>
                <c:ptCount val="48"/>
                <c:pt idx="0">
                  <c:v>-4.1309437459703435</c:v>
                </c:pt>
                <c:pt idx="1">
                  <c:v>-4.1309437459703435</c:v>
                </c:pt>
                <c:pt idx="2">
                  <c:v>-4.1309437459703435</c:v>
                </c:pt>
                <c:pt idx="3">
                  <c:v>-4.1309437459703435</c:v>
                </c:pt>
                <c:pt idx="4">
                  <c:v>-4.1309437459703435</c:v>
                </c:pt>
                <c:pt idx="5">
                  <c:v>-4.1309437459703435</c:v>
                </c:pt>
                <c:pt idx="6">
                  <c:v>-4.1309437459703435</c:v>
                </c:pt>
                <c:pt idx="7">
                  <c:v>-4.1309437459703435</c:v>
                </c:pt>
                <c:pt idx="8">
                  <c:v>-4.1309437459703435</c:v>
                </c:pt>
                <c:pt idx="9">
                  <c:v>-4.1309437459703435</c:v>
                </c:pt>
                <c:pt idx="10">
                  <c:v>-4.1309437459703435</c:v>
                </c:pt>
                <c:pt idx="11">
                  <c:v>-4.1309437459703435</c:v>
                </c:pt>
                <c:pt idx="12">
                  <c:v>-4.1309437459703435</c:v>
                </c:pt>
                <c:pt idx="13">
                  <c:v>-4.1309437459703435</c:v>
                </c:pt>
                <c:pt idx="14">
                  <c:v>-4.1309437459703435</c:v>
                </c:pt>
                <c:pt idx="15">
                  <c:v>-4.1309437459703435</c:v>
                </c:pt>
                <c:pt idx="16">
                  <c:v>-4.1309437459703435</c:v>
                </c:pt>
                <c:pt idx="17">
                  <c:v>-4.1309437459703435</c:v>
                </c:pt>
                <c:pt idx="18">
                  <c:v>-4.1309437459703435</c:v>
                </c:pt>
                <c:pt idx="19">
                  <c:v>-4.1309437459703435</c:v>
                </c:pt>
                <c:pt idx="20">
                  <c:v>-4.1309437459703435</c:v>
                </c:pt>
                <c:pt idx="21">
                  <c:v>-4.1309437459703435</c:v>
                </c:pt>
                <c:pt idx="22">
                  <c:v>-4.1309437459703435</c:v>
                </c:pt>
                <c:pt idx="23">
                  <c:v>-4.1309437459703435</c:v>
                </c:pt>
                <c:pt idx="24">
                  <c:v>-4.1309437459703435</c:v>
                </c:pt>
                <c:pt idx="25">
                  <c:v>-4.1309437459703435</c:v>
                </c:pt>
                <c:pt idx="26">
                  <c:v>-4.1309437459703435</c:v>
                </c:pt>
                <c:pt idx="27">
                  <c:v>-4.1309437459703435</c:v>
                </c:pt>
                <c:pt idx="28">
                  <c:v>-4.1309437459703435</c:v>
                </c:pt>
                <c:pt idx="29">
                  <c:v>-4.1309437459703435</c:v>
                </c:pt>
                <c:pt idx="30">
                  <c:v>-4.1309437459703435</c:v>
                </c:pt>
                <c:pt idx="31">
                  <c:v>-4.1309437459703435</c:v>
                </c:pt>
                <c:pt idx="32">
                  <c:v>-4.1309437459703435</c:v>
                </c:pt>
                <c:pt idx="33">
                  <c:v>-4.1309437459703435</c:v>
                </c:pt>
                <c:pt idx="34">
                  <c:v>-4.1309437459703435</c:v>
                </c:pt>
                <c:pt idx="35">
                  <c:v>-4.1309437459703435</c:v>
                </c:pt>
                <c:pt idx="36">
                  <c:v>-4.1309437459703435</c:v>
                </c:pt>
                <c:pt idx="37">
                  <c:v>-4.1309437459703435</c:v>
                </c:pt>
                <c:pt idx="38">
                  <c:v>-4.1309437459703435</c:v>
                </c:pt>
                <c:pt idx="39">
                  <c:v>-4.1309437459703435</c:v>
                </c:pt>
                <c:pt idx="40">
                  <c:v>-4.1309437459703435</c:v>
                </c:pt>
                <c:pt idx="41">
                  <c:v>-4.1309437459703435</c:v>
                </c:pt>
                <c:pt idx="42">
                  <c:v>-4.1309437459703435</c:v>
                </c:pt>
                <c:pt idx="43">
                  <c:v>-4.1309437459703435</c:v>
                </c:pt>
                <c:pt idx="44">
                  <c:v>-4.1309437459703435</c:v>
                </c:pt>
                <c:pt idx="45">
                  <c:v>-4.1309437459703435</c:v>
                </c:pt>
                <c:pt idx="46">
                  <c:v>-4.1309437459703435</c:v>
                </c:pt>
                <c:pt idx="47">
                  <c:v>-4.1309437459703435</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118336"/>
        <c:axId val="213120128"/>
      </c:lineChart>
      <c:dateAx>
        <c:axId val="213118336"/>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213120128"/>
        <c:crosses val="autoZero"/>
        <c:auto val="1"/>
        <c:lblOffset val="100"/>
        <c:baseTimeUnit val="months"/>
        <c:majorUnit val="1"/>
        <c:majorTimeUnit val="months"/>
      </c:dateAx>
      <c:valAx>
        <c:axId val="213120128"/>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118336"/>
        <c:crosses val="autoZero"/>
        <c:crossBetween val="between"/>
      </c:valAx>
    </c:plotArea>
    <c:legend>
      <c:legendPos val="r"/>
      <c:layout>
        <c:manualLayout>
          <c:xMode val="edge"/>
          <c:yMode val="edge"/>
          <c:x val="5.4824561403508934E-3"/>
          <c:y val="0.92945326278659612"/>
          <c:w val="0.98971496983929041"/>
          <c:h val="7.054673721340390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69096416666666649"/>
        </c:manualLayout>
      </c:layout>
      <c:lineChart>
        <c:grouping val="standard"/>
        <c:varyColors val="0"/>
        <c:ser>
          <c:idx val="4"/>
          <c:order val="0"/>
          <c:tx>
            <c:strRef>
              <c:f>Diagnostics!$A$362</c:f>
              <c:strCache>
                <c:ptCount val="1"/>
                <c:pt idx="0">
                  <c:v>Barium Studies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3"/>
            <c:marker>
              <c:spPr>
                <a:solidFill>
                  <a:schemeClr val="bg1"/>
                </a:solidFill>
                <a:ln w="25400">
                  <a:solidFill>
                    <a:srgbClr val="0070C0"/>
                  </a:solidFill>
                </a:ln>
              </c:spPr>
            </c:marker>
            <c:bubble3D val="0"/>
          </c:dPt>
          <c:dPt>
            <c:idx val="10"/>
            <c:marker>
              <c:spPr>
                <a:solidFill>
                  <a:schemeClr val="bg1"/>
                </a:solidFill>
                <a:ln w="25400">
                  <a:solidFill>
                    <a:srgbClr val="0070C0"/>
                  </a:solidFill>
                </a:ln>
              </c:spPr>
            </c:marker>
            <c:bubble3D val="0"/>
          </c:dPt>
          <c:dPt>
            <c:idx val="11"/>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Diagnostics!$B$362:$AW$362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ser>
          <c:idx val="3"/>
          <c:order val="1"/>
          <c:tx>
            <c:strRef>
              <c:f>Diagnostics!$A$403</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Diagnostics!$B$403:$AW$403</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Diagnostics!$A$406</c:f>
              <c:strCache>
                <c:ptCount val="1"/>
                <c:pt idx="0">
                  <c:v>Upper Control Limit </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Diagnostics!$B$406:$AW$406</c:f>
              <c:numCache>
                <c:formatCode>General</c:formatCode>
                <c:ptCount val="48"/>
              </c:numCache>
            </c:numRef>
          </c:val>
          <c:smooth val="0"/>
        </c:ser>
        <c:ser>
          <c:idx val="2"/>
          <c:order val="3"/>
          <c:tx>
            <c:strRef>
              <c:f>Diagnostics!$A$407</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Diagnostics!$B$407:$AW$407</c:f>
              <c:numCache>
                <c:formatCode>General</c:formatCode>
                <c:ptCount val="48"/>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63239296"/>
        <c:axId val="63240832"/>
      </c:lineChart>
      <c:dateAx>
        <c:axId val="632392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63240832"/>
        <c:crosses val="autoZero"/>
        <c:auto val="1"/>
        <c:lblOffset val="100"/>
        <c:baseTimeUnit val="months"/>
        <c:majorUnit val="1"/>
        <c:majorTimeUnit val="months"/>
      </c:dateAx>
      <c:valAx>
        <c:axId val="6324083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63239296"/>
        <c:crosses val="autoZero"/>
        <c:crossBetween val="between"/>
      </c:valAx>
    </c:plotArea>
    <c:legend>
      <c:legendPos val="r"/>
      <c:layout>
        <c:manualLayout>
          <c:xMode val="edge"/>
          <c:yMode val="edge"/>
          <c:x val="5.4824561403508934E-3"/>
          <c:y val="0.87301587301590033"/>
          <c:w val="0.95024128562878618"/>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68752590136814E-2"/>
          <c:y val="4.8959157883042399E-2"/>
          <c:w val="0.92026817300011421"/>
          <c:h val="0.7509289116638348"/>
        </c:manualLayout>
      </c:layout>
      <c:lineChart>
        <c:grouping val="standard"/>
        <c:varyColors val="0"/>
        <c:ser>
          <c:idx val="3"/>
          <c:order val="0"/>
          <c:tx>
            <c:strRef>
              <c:f>Diagnostics!$A$423</c:f>
              <c:strCache>
                <c:ptCount val="1"/>
                <c:pt idx="0">
                  <c:v>Total Vascular Labs Patients Over 6 Weeks Standard </c:v>
                </c:pt>
              </c:strCache>
            </c:strRef>
          </c:tx>
          <c:spPr>
            <a:ln w="25400">
              <a:solidFill>
                <a:srgbClr val="0070C0"/>
              </a:solidFill>
            </a:ln>
          </c:spPr>
          <c:marker>
            <c:symbol val="circle"/>
            <c:size val="5"/>
            <c:spPr>
              <a:solidFill>
                <a:srgbClr val="0070C0"/>
              </a:solidFill>
              <a:ln>
                <a:solidFill>
                  <a:srgbClr val="0070C0"/>
                </a:solidFill>
              </a:ln>
            </c:spPr>
          </c:marker>
          <c:dPt>
            <c:idx val="8"/>
            <c:bubble3D val="0"/>
            <c:spPr>
              <a:ln w="25400">
                <a:solidFill>
                  <a:srgbClr val="00B050"/>
                </a:solidFill>
              </a:ln>
            </c:spPr>
          </c:dPt>
          <c:dPt>
            <c:idx val="9"/>
            <c:marker>
              <c:spPr>
                <a:solidFill>
                  <a:schemeClr val="bg1"/>
                </a:solidFill>
                <a:ln>
                  <a:solidFill>
                    <a:srgbClr val="0070C0"/>
                  </a:solidFill>
                </a:ln>
              </c:spPr>
            </c:marker>
            <c:bubble3D val="0"/>
            <c:spPr>
              <a:ln w="25400">
                <a:solidFill>
                  <a:srgbClr val="00B050"/>
                </a:solidFill>
              </a:ln>
            </c:spPr>
          </c:dPt>
          <c:dPt>
            <c:idx val="10"/>
            <c:bubble3D val="0"/>
            <c:spPr>
              <a:ln w="25400">
                <a:solidFill>
                  <a:srgbClr val="00B050"/>
                </a:solidFill>
              </a:ln>
            </c:spPr>
          </c:dPt>
          <c:dPt>
            <c:idx val="11"/>
            <c:bubble3D val="0"/>
            <c:spPr>
              <a:ln w="25400">
                <a:solidFill>
                  <a:srgbClr val="00B050"/>
                </a:solidFill>
              </a:ln>
            </c:spPr>
          </c:dPt>
          <c:dPt>
            <c:idx val="12"/>
            <c:marker>
              <c:spPr>
                <a:solidFill>
                  <a:schemeClr val="bg1"/>
                </a:solidFill>
                <a:ln>
                  <a:solidFill>
                    <a:srgbClr val="0070C0"/>
                  </a:solidFill>
                </a:ln>
              </c:spPr>
            </c:marker>
            <c:bubble3D val="0"/>
            <c:spPr>
              <a:ln w="25400">
                <a:solidFill>
                  <a:srgbClr val="00B050"/>
                </a:solidFill>
              </a:ln>
            </c:spPr>
          </c:dPt>
          <c:dPt>
            <c:idx val="13"/>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2"/>
            <c:marker>
              <c:spPr>
                <a:solidFill>
                  <a:schemeClr val="bg1"/>
                </a:solidFill>
                <a:ln>
                  <a:solidFill>
                    <a:srgbClr val="0070C0"/>
                  </a:solidFill>
                </a:ln>
              </c:spPr>
            </c:marker>
            <c:bubble3D val="0"/>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pt idx="31">
                  <c:v>34</c:v>
                </c:pt>
                <c:pt idx="32">
                  <c:v>109</c:v>
                </c:pt>
              </c:numCache>
            </c:numRef>
          </c:val>
          <c:smooth val="0"/>
        </c:ser>
        <c:ser>
          <c:idx val="1"/>
          <c:order val="1"/>
          <c:tx>
            <c:strRef>
              <c:f>Diagnostics!$A$429</c:f>
              <c:strCache>
                <c:ptCount val="1"/>
                <c:pt idx="0">
                  <c:v>Mean</c:v>
                </c:pt>
              </c:strCache>
            </c:strRef>
          </c:tx>
          <c:spPr>
            <a:ln w="25400">
              <a:solidFill>
                <a:schemeClr val="tx1"/>
              </a:solidFill>
              <a:prstDash val="solid"/>
            </a:ln>
          </c:spPr>
          <c:marker>
            <c:symbol val="none"/>
          </c:marker>
          <c:dPt>
            <c:idx val="20"/>
            <c:bubble3D val="0"/>
            <c:spPr>
              <a:ln w="25400">
                <a:solidFill>
                  <a:prstClr val="black"/>
                </a:solidFill>
                <a:prstDash val="solid"/>
              </a:ln>
            </c:spPr>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Diagnostics!$B$429:$AW$429</c:f>
              <c:numCache>
                <c:formatCode>0</c:formatCode>
                <c:ptCount val="48"/>
                <c:pt idx="0">
                  <c:v>14.666666666666666</c:v>
                </c:pt>
                <c:pt idx="1">
                  <c:v>14.666666666666666</c:v>
                </c:pt>
                <c:pt idx="2">
                  <c:v>14.666666666666666</c:v>
                </c:pt>
                <c:pt idx="3">
                  <c:v>14.666666666666666</c:v>
                </c:pt>
                <c:pt idx="4">
                  <c:v>14.666666666666666</c:v>
                </c:pt>
                <c:pt idx="5">
                  <c:v>14.666666666666666</c:v>
                </c:pt>
                <c:pt idx="6">
                  <c:v>14.666666666666666</c:v>
                </c:pt>
                <c:pt idx="7">
                  <c:v>14.666666666666666</c:v>
                </c:pt>
                <c:pt idx="8">
                  <c:v>14.666666666666666</c:v>
                </c:pt>
                <c:pt idx="9">
                  <c:v>14.666666666666666</c:v>
                </c:pt>
                <c:pt idx="10">
                  <c:v>14.666666666666666</c:v>
                </c:pt>
                <c:pt idx="11">
                  <c:v>14.666666666666666</c:v>
                </c:pt>
                <c:pt idx="12">
                  <c:v>14.666666666666666</c:v>
                </c:pt>
                <c:pt idx="13">
                  <c:v>14.666666666666666</c:v>
                </c:pt>
                <c:pt idx="14">
                  <c:v>14.666666666666666</c:v>
                </c:pt>
                <c:pt idx="15">
                  <c:v>14.666666666666666</c:v>
                </c:pt>
                <c:pt idx="16">
                  <c:v>14.666666666666666</c:v>
                </c:pt>
                <c:pt idx="17">
                  <c:v>14.666666666666666</c:v>
                </c:pt>
                <c:pt idx="18">
                  <c:v>14.666666666666666</c:v>
                </c:pt>
                <c:pt idx="19">
                  <c:v>14.666666666666666</c:v>
                </c:pt>
                <c:pt idx="20">
                  <c:v>14.666666666666666</c:v>
                </c:pt>
                <c:pt idx="21">
                  <c:v>14.666666666666666</c:v>
                </c:pt>
                <c:pt idx="22">
                  <c:v>14.666666666666666</c:v>
                </c:pt>
                <c:pt idx="23">
                  <c:v>14.666666666666666</c:v>
                </c:pt>
                <c:pt idx="24">
                  <c:v>14.666666666666666</c:v>
                </c:pt>
                <c:pt idx="25">
                  <c:v>14.666666666666666</c:v>
                </c:pt>
                <c:pt idx="26">
                  <c:v>14.666666666666666</c:v>
                </c:pt>
                <c:pt idx="27">
                  <c:v>14.666666666666666</c:v>
                </c:pt>
                <c:pt idx="28">
                  <c:v>14.666666666666666</c:v>
                </c:pt>
                <c:pt idx="29">
                  <c:v>14.666666666666666</c:v>
                </c:pt>
                <c:pt idx="30">
                  <c:v>14.666666666666666</c:v>
                </c:pt>
                <c:pt idx="31">
                  <c:v>14.666666666666666</c:v>
                </c:pt>
                <c:pt idx="32">
                  <c:v>14.666666666666666</c:v>
                </c:pt>
                <c:pt idx="33">
                  <c:v>14.666666666666666</c:v>
                </c:pt>
                <c:pt idx="34">
                  <c:v>14.666666666666666</c:v>
                </c:pt>
                <c:pt idx="35">
                  <c:v>14.666666666666666</c:v>
                </c:pt>
                <c:pt idx="36">
                  <c:v>14.666666666666666</c:v>
                </c:pt>
                <c:pt idx="37">
                  <c:v>14.666666666666666</c:v>
                </c:pt>
                <c:pt idx="38">
                  <c:v>14.666666666666666</c:v>
                </c:pt>
                <c:pt idx="39">
                  <c:v>14.666666666666666</c:v>
                </c:pt>
                <c:pt idx="40">
                  <c:v>14.666666666666666</c:v>
                </c:pt>
                <c:pt idx="41">
                  <c:v>14.666666666666666</c:v>
                </c:pt>
                <c:pt idx="42">
                  <c:v>14.666666666666666</c:v>
                </c:pt>
                <c:pt idx="43">
                  <c:v>14.666666666666666</c:v>
                </c:pt>
                <c:pt idx="44">
                  <c:v>14.666666666666666</c:v>
                </c:pt>
                <c:pt idx="45">
                  <c:v>14.666666666666666</c:v>
                </c:pt>
                <c:pt idx="46">
                  <c:v>14.666666666666666</c:v>
                </c:pt>
                <c:pt idx="47">
                  <c:v>14.666666666666666</c:v>
                </c:pt>
              </c:numCache>
            </c:numRef>
          </c:val>
          <c:smooth val="0"/>
        </c:ser>
        <c:ser>
          <c:idx val="4"/>
          <c:order val="2"/>
          <c:tx>
            <c:strRef>
              <c:f>Diagnostics!$A$432</c:f>
              <c:strCache>
                <c:ptCount val="1"/>
                <c:pt idx="0">
                  <c:v>Upper Control Limit </c:v>
                </c:pt>
              </c:strCache>
            </c:strRef>
          </c:tx>
          <c:spPr>
            <a:ln w="25400">
              <a:solidFill>
                <a:schemeClr val="bg1">
                  <a:lumMod val="50000"/>
                </a:schemeClr>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Diagnostics!$B$432:$AW$432</c:f>
              <c:numCache>
                <c:formatCode>0</c:formatCode>
                <c:ptCount val="48"/>
                <c:pt idx="0">
                  <c:v>45.763229678123295</c:v>
                </c:pt>
                <c:pt idx="1">
                  <c:v>45.763229678123295</c:v>
                </c:pt>
                <c:pt idx="2">
                  <c:v>45.763229678123295</c:v>
                </c:pt>
                <c:pt idx="3">
                  <c:v>45.763229678123295</c:v>
                </c:pt>
                <c:pt idx="4">
                  <c:v>45.763229678123295</c:v>
                </c:pt>
                <c:pt idx="5">
                  <c:v>45.763229678123295</c:v>
                </c:pt>
                <c:pt idx="6">
                  <c:v>45.763229678123295</c:v>
                </c:pt>
                <c:pt idx="7">
                  <c:v>45.763229678123295</c:v>
                </c:pt>
                <c:pt idx="8">
                  <c:v>45.763229678123295</c:v>
                </c:pt>
                <c:pt idx="9">
                  <c:v>45.763229678123295</c:v>
                </c:pt>
                <c:pt idx="10">
                  <c:v>45.763229678123295</c:v>
                </c:pt>
                <c:pt idx="11">
                  <c:v>45.763229678123295</c:v>
                </c:pt>
                <c:pt idx="12">
                  <c:v>45.763229678123295</c:v>
                </c:pt>
                <c:pt idx="13">
                  <c:v>45.763229678123295</c:v>
                </c:pt>
                <c:pt idx="14">
                  <c:v>45.763229678123295</c:v>
                </c:pt>
                <c:pt idx="15">
                  <c:v>45.763229678123295</c:v>
                </c:pt>
                <c:pt idx="16">
                  <c:v>45.763229678123295</c:v>
                </c:pt>
                <c:pt idx="17">
                  <c:v>45.763229678123295</c:v>
                </c:pt>
                <c:pt idx="18">
                  <c:v>45.763229678123295</c:v>
                </c:pt>
                <c:pt idx="19">
                  <c:v>45.763229678123295</c:v>
                </c:pt>
                <c:pt idx="20">
                  <c:v>45.763229678123295</c:v>
                </c:pt>
                <c:pt idx="21">
                  <c:v>45.763229678123295</c:v>
                </c:pt>
                <c:pt idx="22">
                  <c:v>45.763229678123295</c:v>
                </c:pt>
                <c:pt idx="23">
                  <c:v>45.763229678123295</c:v>
                </c:pt>
                <c:pt idx="24">
                  <c:v>45.763229678123295</c:v>
                </c:pt>
                <c:pt idx="25">
                  <c:v>45.763229678123295</c:v>
                </c:pt>
                <c:pt idx="26">
                  <c:v>45.763229678123295</c:v>
                </c:pt>
                <c:pt idx="27">
                  <c:v>45.763229678123295</c:v>
                </c:pt>
                <c:pt idx="28">
                  <c:v>45.763229678123295</c:v>
                </c:pt>
                <c:pt idx="29">
                  <c:v>45.763229678123295</c:v>
                </c:pt>
                <c:pt idx="30">
                  <c:v>45.763229678123295</c:v>
                </c:pt>
                <c:pt idx="31">
                  <c:v>45.763229678123295</c:v>
                </c:pt>
                <c:pt idx="32">
                  <c:v>45.763229678123295</c:v>
                </c:pt>
                <c:pt idx="33">
                  <c:v>45.763229678123295</c:v>
                </c:pt>
                <c:pt idx="34">
                  <c:v>45.763229678123295</c:v>
                </c:pt>
                <c:pt idx="35">
                  <c:v>45.763229678123295</c:v>
                </c:pt>
                <c:pt idx="36">
                  <c:v>45.763229678123295</c:v>
                </c:pt>
                <c:pt idx="37">
                  <c:v>45.763229678123295</c:v>
                </c:pt>
                <c:pt idx="38">
                  <c:v>45.763229678123295</c:v>
                </c:pt>
                <c:pt idx="39">
                  <c:v>45.763229678123295</c:v>
                </c:pt>
                <c:pt idx="40">
                  <c:v>45.763229678123295</c:v>
                </c:pt>
                <c:pt idx="41">
                  <c:v>45.763229678123295</c:v>
                </c:pt>
                <c:pt idx="42">
                  <c:v>45.763229678123295</c:v>
                </c:pt>
                <c:pt idx="43">
                  <c:v>45.763229678123295</c:v>
                </c:pt>
                <c:pt idx="44">
                  <c:v>45.763229678123295</c:v>
                </c:pt>
                <c:pt idx="45">
                  <c:v>45.763229678123295</c:v>
                </c:pt>
                <c:pt idx="46">
                  <c:v>45.763229678123295</c:v>
                </c:pt>
                <c:pt idx="47">
                  <c:v>45.763229678123295</c:v>
                </c:pt>
              </c:numCache>
            </c:numRef>
          </c:val>
          <c:smooth val="0"/>
        </c:ser>
        <c:ser>
          <c:idx val="2"/>
          <c:order val="3"/>
          <c:tx>
            <c:strRef>
              <c:f>Diagnostics!$A$433</c:f>
              <c:strCache>
                <c:ptCount val="1"/>
                <c:pt idx="0">
                  <c:v>Lower Control Limit</c:v>
                </c:pt>
              </c:strCache>
            </c:strRef>
          </c:tx>
          <c:spPr>
            <a:ln w="31750">
              <a:solidFill>
                <a:schemeClr val="bg1">
                  <a:lumMod val="65000"/>
                </a:schemeClr>
              </a:solidFill>
              <a:prstDash val="sys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Diagnostics!$B$433:$AW$433</c:f>
              <c:numCache>
                <c:formatCode>0</c:formatCode>
                <c:ptCount val="48"/>
                <c:pt idx="0">
                  <c:v>-16.429896344789967</c:v>
                </c:pt>
                <c:pt idx="1">
                  <c:v>-16.429896344789967</c:v>
                </c:pt>
                <c:pt idx="2">
                  <c:v>-16.429896344789967</c:v>
                </c:pt>
                <c:pt idx="3">
                  <c:v>-16.429896344789967</c:v>
                </c:pt>
                <c:pt idx="4">
                  <c:v>-16.429896344789967</c:v>
                </c:pt>
                <c:pt idx="5">
                  <c:v>-16.429896344789967</c:v>
                </c:pt>
                <c:pt idx="6">
                  <c:v>-16.429896344789967</c:v>
                </c:pt>
                <c:pt idx="7">
                  <c:v>-16.429896344789967</c:v>
                </c:pt>
                <c:pt idx="8">
                  <c:v>-16.429896344789967</c:v>
                </c:pt>
                <c:pt idx="9">
                  <c:v>-16.429896344789967</c:v>
                </c:pt>
                <c:pt idx="10">
                  <c:v>-16.429896344789967</c:v>
                </c:pt>
                <c:pt idx="11">
                  <c:v>-16.429896344789967</c:v>
                </c:pt>
                <c:pt idx="12">
                  <c:v>-16.429896344789967</c:v>
                </c:pt>
                <c:pt idx="13">
                  <c:v>-16.429896344789967</c:v>
                </c:pt>
                <c:pt idx="14">
                  <c:v>-16.429896344789967</c:v>
                </c:pt>
                <c:pt idx="15">
                  <c:v>-16.429896344789967</c:v>
                </c:pt>
                <c:pt idx="16">
                  <c:v>-16.429896344789967</c:v>
                </c:pt>
                <c:pt idx="17">
                  <c:v>-16.429896344789967</c:v>
                </c:pt>
                <c:pt idx="18">
                  <c:v>-16.429896344789967</c:v>
                </c:pt>
                <c:pt idx="19">
                  <c:v>-16.429896344789967</c:v>
                </c:pt>
                <c:pt idx="20">
                  <c:v>-16.429896344789967</c:v>
                </c:pt>
                <c:pt idx="21">
                  <c:v>-16.429896344789967</c:v>
                </c:pt>
                <c:pt idx="22">
                  <c:v>-16.429896344789967</c:v>
                </c:pt>
                <c:pt idx="23">
                  <c:v>-16.429896344789967</c:v>
                </c:pt>
                <c:pt idx="24">
                  <c:v>-16.429896344789967</c:v>
                </c:pt>
                <c:pt idx="25">
                  <c:v>-16.429896344789967</c:v>
                </c:pt>
                <c:pt idx="26">
                  <c:v>-16.429896344789967</c:v>
                </c:pt>
                <c:pt idx="27">
                  <c:v>-16.429896344789967</c:v>
                </c:pt>
                <c:pt idx="28">
                  <c:v>-16.429896344789967</c:v>
                </c:pt>
                <c:pt idx="29">
                  <c:v>-16.429896344789967</c:v>
                </c:pt>
                <c:pt idx="30">
                  <c:v>-16.429896344789967</c:v>
                </c:pt>
                <c:pt idx="31">
                  <c:v>-16.429896344789967</c:v>
                </c:pt>
                <c:pt idx="32">
                  <c:v>-16.429896344789967</c:v>
                </c:pt>
                <c:pt idx="33">
                  <c:v>-16.429896344789967</c:v>
                </c:pt>
                <c:pt idx="34">
                  <c:v>-16.429896344789967</c:v>
                </c:pt>
                <c:pt idx="35">
                  <c:v>-16.429896344789967</c:v>
                </c:pt>
                <c:pt idx="36">
                  <c:v>-16.429896344789967</c:v>
                </c:pt>
                <c:pt idx="37">
                  <c:v>-16.429896344789967</c:v>
                </c:pt>
                <c:pt idx="38">
                  <c:v>-16.429896344789967</c:v>
                </c:pt>
                <c:pt idx="39">
                  <c:v>-16.429896344789967</c:v>
                </c:pt>
                <c:pt idx="40">
                  <c:v>-16.429896344789967</c:v>
                </c:pt>
                <c:pt idx="41">
                  <c:v>-16.429896344789967</c:v>
                </c:pt>
                <c:pt idx="42">
                  <c:v>-16.429896344789967</c:v>
                </c:pt>
                <c:pt idx="43">
                  <c:v>-16.429896344789967</c:v>
                </c:pt>
                <c:pt idx="44">
                  <c:v>-16.429896344789967</c:v>
                </c:pt>
                <c:pt idx="45">
                  <c:v>-16.429896344789967</c:v>
                </c:pt>
                <c:pt idx="46">
                  <c:v>-16.429896344789967</c:v>
                </c:pt>
                <c:pt idx="47">
                  <c:v>-16.429896344789967</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453056"/>
        <c:axId val="213458944"/>
      </c:lineChart>
      <c:dateAx>
        <c:axId val="213453056"/>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213458944"/>
        <c:crosses val="autoZero"/>
        <c:auto val="1"/>
        <c:lblOffset val="100"/>
        <c:baseTimeUnit val="months"/>
        <c:majorUnit val="1"/>
        <c:majorTimeUnit val="months"/>
      </c:dateAx>
      <c:valAx>
        <c:axId val="213458944"/>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453056"/>
        <c:crosses val="autoZero"/>
        <c:crossBetween val="between"/>
      </c:valAx>
    </c:plotArea>
    <c:legend>
      <c:legendPos val="r"/>
      <c:layout>
        <c:manualLayout>
          <c:xMode val="edge"/>
          <c:yMode val="edge"/>
          <c:x val="5.4824561403508934E-3"/>
          <c:y val="0.92239858906524719"/>
          <c:w val="0.9843261440145995"/>
          <c:h val="7.760137638297605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98081353368825E-2"/>
          <c:y val="4.8959157883042399E-2"/>
          <c:w val="0.90260996180598341"/>
          <c:h val="0.69096416666666649"/>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1"/>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chemeClr val="bg1"/>
                </a:solidFill>
                <a:ln w="25400">
                  <a:solidFill>
                    <a:srgbClr val="0070C0"/>
                  </a:solidFill>
                </a:ln>
              </c:spPr>
            </c:marker>
            <c:bubble3D val="0"/>
            <c:spPr>
              <a:ln w="25400" cap="rnd">
                <a:solidFill>
                  <a:srgbClr val="00B050"/>
                </a:solidFill>
                <a:round/>
                <a:headEnd type="none"/>
              </a:ln>
              <a:effectLst/>
            </c:spPr>
          </c:dPt>
          <c:dPt>
            <c:idx val="31"/>
            <c:marker>
              <c:spPr>
                <a:solidFill>
                  <a:schemeClr val="bg1"/>
                </a:solidFill>
                <a:ln w="25400">
                  <a:solidFill>
                    <a:srgbClr val="0070C0"/>
                  </a:solidFill>
                </a:ln>
              </c:spPr>
            </c:marker>
            <c:bubble3D val="0"/>
            <c:spPr>
              <a:ln w="25400" cap="rnd">
                <a:solidFill>
                  <a:srgbClr val="00B050"/>
                </a:solidFill>
                <a:round/>
                <a:headEnd type="none"/>
              </a:ln>
              <a:effectLst/>
            </c:spPr>
          </c:dPt>
          <c:dPt>
            <c:idx val="32"/>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pt idx="31">
                  <c:v>3558</c:v>
                </c:pt>
                <c:pt idx="32">
                  <c:v>3799</c:v>
                </c:pt>
              </c:numCache>
            </c:numRef>
          </c:val>
          <c:smooth val="0"/>
        </c:ser>
        <c:ser>
          <c:idx val="3"/>
          <c:order val="1"/>
          <c:tx>
            <c:strRef>
              <c:f>Diagnostics!$A$448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Diagnostics!$B$448:$AW$448</c:f>
              <c:numCache>
                <c:formatCode>#,##0</c:formatCode>
                <c:ptCount val="48"/>
                <c:pt idx="0">
                  <c:v>2251.3030303030305</c:v>
                </c:pt>
                <c:pt idx="1">
                  <c:v>2251.3030303030305</c:v>
                </c:pt>
                <c:pt idx="2">
                  <c:v>2251.3030303030305</c:v>
                </c:pt>
                <c:pt idx="3">
                  <c:v>2251.3030303030305</c:v>
                </c:pt>
                <c:pt idx="4">
                  <c:v>2251.3030303030305</c:v>
                </c:pt>
                <c:pt idx="5">
                  <c:v>2251.3030303030305</c:v>
                </c:pt>
                <c:pt idx="6">
                  <c:v>2251.3030303030305</c:v>
                </c:pt>
                <c:pt idx="7">
                  <c:v>2251.3030303030305</c:v>
                </c:pt>
                <c:pt idx="8">
                  <c:v>2251.3030303030305</c:v>
                </c:pt>
                <c:pt idx="9">
                  <c:v>2251.3030303030305</c:v>
                </c:pt>
                <c:pt idx="10">
                  <c:v>2251.3030303030305</c:v>
                </c:pt>
                <c:pt idx="11">
                  <c:v>2251.3030303030305</c:v>
                </c:pt>
                <c:pt idx="12">
                  <c:v>2251.3030303030305</c:v>
                </c:pt>
                <c:pt idx="13">
                  <c:v>2251.3030303030305</c:v>
                </c:pt>
                <c:pt idx="14">
                  <c:v>2251.3030303030305</c:v>
                </c:pt>
                <c:pt idx="15">
                  <c:v>2251.3030303030305</c:v>
                </c:pt>
                <c:pt idx="16">
                  <c:v>2251.3030303030305</c:v>
                </c:pt>
                <c:pt idx="17">
                  <c:v>2251.3030303030305</c:v>
                </c:pt>
                <c:pt idx="18">
                  <c:v>2251.3030303030305</c:v>
                </c:pt>
                <c:pt idx="19">
                  <c:v>2251.3030303030305</c:v>
                </c:pt>
                <c:pt idx="20">
                  <c:v>2251.3030303030305</c:v>
                </c:pt>
                <c:pt idx="21">
                  <c:v>2251.3030303030305</c:v>
                </c:pt>
                <c:pt idx="22">
                  <c:v>2251.3030303030305</c:v>
                </c:pt>
                <c:pt idx="23">
                  <c:v>2251.3030303030305</c:v>
                </c:pt>
                <c:pt idx="24">
                  <c:v>2251.3030303030305</c:v>
                </c:pt>
                <c:pt idx="25">
                  <c:v>2251.3030303030305</c:v>
                </c:pt>
                <c:pt idx="26">
                  <c:v>2251.3030303030305</c:v>
                </c:pt>
                <c:pt idx="27">
                  <c:v>2251.3030303030305</c:v>
                </c:pt>
                <c:pt idx="28">
                  <c:v>2251.3030303030305</c:v>
                </c:pt>
                <c:pt idx="29">
                  <c:v>2251.3030303030305</c:v>
                </c:pt>
                <c:pt idx="30">
                  <c:v>2251.3030303030305</c:v>
                </c:pt>
                <c:pt idx="31">
                  <c:v>2251.3030303030305</c:v>
                </c:pt>
                <c:pt idx="32">
                  <c:v>2251.3030303030305</c:v>
                </c:pt>
                <c:pt idx="33">
                  <c:v>2251.3030303030305</c:v>
                </c:pt>
                <c:pt idx="34">
                  <c:v>2251.3030303030305</c:v>
                </c:pt>
                <c:pt idx="35">
                  <c:v>2251.3030303030305</c:v>
                </c:pt>
                <c:pt idx="36">
                  <c:v>2251.3030303030305</c:v>
                </c:pt>
                <c:pt idx="37">
                  <c:v>2251.3030303030305</c:v>
                </c:pt>
                <c:pt idx="38">
                  <c:v>2251.3030303030305</c:v>
                </c:pt>
                <c:pt idx="39">
                  <c:v>2251.3030303030305</c:v>
                </c:pt>
                <c:pt idx="40">
                  <c:v>2251.3030303030305</c:v>
                </c:pt>
                <c:pt idx="41">
                  <c:v>2251.3030303030305</c:v>
                </c:pt>
                <c:pt idx="42">
                  <c:v>2251.3030303030305</c:v>
                </c:pt>
                <c:pt idx="43">
                  <c:v>2251.3030303030305</c:v>
                </c:pt>
                <c:pt idx="44">
                  <c:v>2251.3030303030305</c:v>
                </c:pt>
                <c:pt idx="45">
                  <c:v>2251.3030303030305</c:v>
                </c:pt>
                <c:pt idx="46">
                  <c:v>2251.3030303030305</c:v>
                </c:pt>
                <c:pt idx="47">
                  <c:v>2251.3030303030305</c:v>
                </c:pt>
              </c:numCache>
            </c:numRef>
          </c:val>
          <c:smooth val="0"/>
        </c:ser>
        <c:ser>
          <c:idx val="1"/>
          <c:order val="2"/>
          <c:tx>
            <c:strRef>
              <c:f>Diagnostics!$A$451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Diagnostics!$B$451:$AW$451</c:f>
              <c:numCache>
                <c:formatCode>#,##0</c:formatCode>
                <c:ptCount val="48"/>
                <c:pt idx="0">
                  <c:v>2781.6388015796265</c:v>
                </c:pt>
                <c:pt idx="1">
                  <c:v>2781.6388015796265</c:v>
                </c:pt>
                <c:pt idx="2">
                  <c:v>2781.6388015796265</c:v>
                </c:pt>
                <c:pt idx="3">
                  <c:v>2781.6388015796265</c:v>
                </c:pt>
                <c:pt idx="4">
                  <c:v>2781.6388015796265</c:v>
                </c:pt>
                <c:pt idx="5">
                  <c:v>2781.6388015796265</c:v>
                </c:pt>
                <c:pt idx="6">
                  <c:v>2781.6388015796265</c:v>
                </c:pt>
                <c:pt idx="7">
                  <c:v>2781.6388015796265</c:v>
                </c:pt>
                <c:pt idx="8">
                  <c:v>2781.6388015796265</c:v>
                </c:pt>
                <c:pt idx="9">
                  <c:v>2781.6388015796265</c:v>
                </c:pt>
                <c:pt idx="10">
                  <c:v>2781.6388015796265</c:v>
                </c:pt>
                <c:pt idx="11">
                  <c:v>2781.6388015796265</c:v>
                </c:pt>
                <c:pt idx="12">
                  <c:v>2781.6388015796265</c:v>
                </c:pt>
                <c:pt idx="13">
                  <c:v>2781.6388015796265</c:v>
                </c:pt>
                <c:pt idx="14">
                  <c:v>2781.6388015796265</c:v>
                </c:pt>
                <c:pt idx="15">
                  <c:v>2781.6388015796265</c:v>
                </c:pt>
                <c:pt idx="16">
                  <c:v>2781.6388015796265</c:v>
                </c:pt>
                <c:pt idx="17">
                  <c:v>2781.6388015796265</c:v>
                </c:pt>
                <c:pt idx="18">
                  <c:v>2781.6388015796265</c:v>
                </c:pt>
                <c:pt idx="19">
                  <c:v>2781.6388015796265</c:v>
                </c:pt>
                <c:pt idx="20">
                  <c:v>2781.6388015796265</c:v>
                </c:pt>
                <c:pt idx="21">
                  <c:v>2781.6388015796265</c:v>
                </c:pt>
                <c:pt idx="22">
                  <c:v>2781.6388015796265</c:v>
                </c:pt>
                <c:pt idx="23">
                  <c:v>2781.6388015796265</c:v>
                </c:pt>
                <c:pt idx="24">
                  <c:v>2781.6388015796265</c:v>
                </c:pt>
                <c:pt idx="25">
                  <c:v>2781.6388015796265</c:v>
                </c:pt>
                <c:pt idx="26">
                  <c:v>2781.6388015796265</c:v>
                </c:pt>
                <c:pt idx="27">
                  <c:v>2781.6388015796265</c:v>
                </c:pt>
                <c:pt idx="28">
                  <c:v>2781.6388015796265</c:v>
                </c:pt>
                <c:pt idx="29">
                  <c:v>2781.6388015796265</c:v>
                </c:pt>
                <c:pt idx="30">
                  <c:v>2781.6388015796265</c:v>
                </c:pt>
                <c:pt idx="31">
                  <c:v>2781.6388015796265</c:v>
                </c:pt>
                <c:pt idx="32">
                  <c:v>2781.6388015796265</c:v>
                </c:pt>
                <c:pt idx="33">
                  <c:v>2781.6388015796265</c:v>
                </c:pt>
                <c:pt idx="34">
                  <c:v>2781.6388015796265</c:v>
                </c:pt>
                <c:pt idx="35">
                  <c:v>2781.6388015796265</c:v>
                </c:pt>
                <c:pt idx="36">
                  <c:v>2781.6388015796265</c:v>
                </c:pt>
                <c:pt idx="37">
                  <c:v>2781.6388015796265</c:v>
                </c:pt>
                <c:pt idx="38">
                  <c:v>2781.6388015796265</c:v>
                </c:pt>
                <c:pt idx="39">
                  <c:v>2781.6388015796265</c:v>
                </c:pt>
                <c:pt idx="40">
                  <c:v>2781.6388015796265</c:v>
                </c:pt>
                <c:pt idx="41">
                  <c:v>2781.6388015796265</c:v>
                </c:pt>
                <c:pt idx="42">
                  <c:v>2781.6388015796265</c:v>
                </c:pt>
                <c:pt idx="43">
                  <c:v>2781.6388015796265</c:v>
                </c:pt>
                <c:pt idx="44">
                  <c:v>2781.6388015796265</c:v>
                </c:pt>
                <c:pt idx="45">
                  <c:v>2781.6388015796265</c:v>
                </c:pt>
                <c:pt idx="46">
                  <c:v>2781.6388015796265</c:v>
                </c:pt>
                <c:pt idx="47">
                  <c:v>2781.6388015796265</c:v>
                </c:pt>
              </c:numCache>
            </c:numRef>
          </c:val>
          <c:smooth val="0"/>
        </c:ser>
        <c:ser>
          <c:idx val="2"/>
          <c:order val="3"/>
          <c:tx>
            <c:strRef>
              <c:f>Diagnostics!$A$452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Diagnostics!$B$452:$AW$452</c:f>
              <c:numCache>
                <c:formatCode>#,##0</c:formatCode>
                <c:ptCount val="48"/>
                <c:pt idx="0">
                  <c:v>1720.9672590264347</c:v>
                </c:pt>
                <c:pt idx="1">
                  <c:v>1720.9672590264347</c:v>
                </c:pt>
                <c:pt idx="2">
                  <c:v>1720.9672590264347</c:v>
                </c:pt>
                <c:pt idx="3">
                  <c:v>1720.9672590264347</c:v>
                </c:pt>
                <c:pt idx="4">
                  <c:v>1720.9672590264347</c:v>
                </c:pt>
                <c:pt idx="5">
                  <c:v>1720.9672590264347</c:v>
                </c:pt>
                <c:pt idx="6">
                  <c:v>1720.9672590264347</c:v>
                </c:pt>
                <c:pt idx="7">
                  <c:v>1720.9672590264347</c:v>
                </c:pt>
                <c:pt idx="8">
                  <c:v>1720.9672590264347</c:v>
                </c:pt>
                <c:pt idx="9">
                  <c:v>1720.9672590264347</c:v>
                </c:pt>
                <c:pt idx="10">
                  <c:v>1720.9672590264347</c:v>
                </c:pt>
                <c:pt idx="11">
                  <c:v>1720.9672590264347</c:v>
                </c:pt>
                <c:pt idx="12">
                  <c:v>1720.9672590264347</c:v>
                </c:pt>
                <c:pt idx="13">
                  <c:v>1720.9672590264347</c:v>
                </c:pt>
                <c:pt idx="14">
                  <c:v>1720.9672590264347</c:v>
                </c:pt>
                <c:pt idx="15">
                  <c:v>1720.9672590264347</c:v>
                </c:pt>
                <c:pt idx="16">
                  <c:v>1720.9672590264347</c:v>
                </c:pt>
                <c:pt idx="17">
                  <c:v>1720.9672590264347</c:v>
                </c:pt>
                <c:pt idx="18">
                  <c:v>1720.9672590264347</c:v>
                </c:pt>
                <c:pt idx="19">
                  <c:v>1720.9672590264347</c:v>
                </c:pt>
                <c:pt idx="20">
                  <c:v>1720.9672590264347</c:v>
                </c:pt>
                <c:pt idx="21">
                  <c:v>1720.9672590264347</c:v>
                </c:pt>
                <c:pt idx="22">
                  <c:v>1720.9672590264347</c:v>
                </c:pt>
                <c:pt idx="23">
                  <c:v>1720.9672590264347</c:v>
                </c:pt>
                <c:pt idx="24">
                  <c:v>1720.9672590264347</c:v>
                </c:pt>
                <c:pt idx="25">
                  <c:v>1720.9672590264347</c:v>
                </c:pt>
                <c:pt idx="26">
                  <c:v>1720.9672590264347</c:v>
                </c:pt>
                <c:pt idx="27">
                  <c:v>1720.9672590264347</c:v>
                </c:pt>
                <c:pt idx="28">
                  <c:v>1720.9672590264347</c:v>
                </c:pt>
                <c:pt idx="29">
                  <c:v>1720.9672590264347</c:v>
                </c:pt>
                <c:pt idx="30">
                  <c:v>1720.9672590264347</c:v>
                </c:pt>
                <c:pt idx="31">
                  <c:v>1720.9672590264347</c:v>
                </c:pt>
                <c:pt idx="32">
                  <c:v>1720.9672590264347</c:v>
                </c:pt>
                <c:pt idx="33">
                  <c:v>1720.9672590264347</c:v>
                </c:pt>
                <c:pt idx="34">
                  <c:v>1720.9672590264347</c:v>
                </c:pt>
                <c:pt idx="35">
                  <c:v>1720.9672590264347</c:v>
                </c:pt>
                <c:pt idx="36">
                  <c:v>1720.9672590264347</c:v>
                </c:pt>
                <c:pt idx="37">
                  <c:v>1720.9672590264347</c:v>
                </c:pt>
                <c:pt idx="38">
                  <c:v>1720.9672590264347</c:v>
                </c:pt>
                <c:pt idx="39">
                  <c:v>1720.9672590264347</c:v>
                </c:pt>
                <c:pt idx="40">
                  <c:v>1720.9672590264347</c:v>
                </c:pt>
                <c:pt idx="41">
                  <c:v>1720.9672590264347</c:v>
                </c:pt>
                <c:pt idx="42">
                  <c:v>1720.9672590264347</c:v>
                </c:pt>
                <c:pt idx="43">
                  <c:v>1720.9672590264347</c:v>
                </c:pt>
                <c:pt idx="44">
                  <c:v>1720.9672590264347</c:v>
                </c:pt>
                <c:pt idx="45">
                  <c:v>1720.9672590264347</c:v>
                </c:pt>
                <c:pt idx="46">
                  <c:v>1720.9672590264347</c:v>
                </c:pt>
                <c:pt idx="47">
                  <c:v>1720.9672590264347</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537920"/>
        <c:axId val="213539456"/>
      </c:lineChart>
      <c:dateAx>
        <c:axId val="2135379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3539456"/>
        <c:crosses val="autoZero"/>
        <c:auto val="1"/>
        <c:lblOffset val="100"/>
        <c:baseTimeUnit val="months"/>
        <c:majorUnit val="1"/>
        <c:majorTimeUnit val="months"/>
      </c:dateAx>
      <c:valAx>
        <c:axId val="21353945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537920"/>
        <c:crosses val="autoZero"/>
        <c:crossBetween val="between"/>
      </c:valAx>
    </c:plotArea>
    <c:legend>
      <c:legendPos val="r"/>
      <c:layout>
        <c:manualLayout>
          <c:xMode val="edge"/>
          <c:yMode val="edge"/>
          <c:x val="5.4824561403508934E-3"/>
          <c:y val="0.87301587301590033"/>
          <c:w val="0.95024128562878618"/>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789"/>
          <c:h val="0.75445624852449578"/>
        </c:manualLayout>
      </c:layout>
      <c:lineChart>
        <c:grouping val="standard"/>
        <c:varyColors val="0"/>
        <c:ser>
          <c:idx val="4"/>
          <c:order val="0"/>
          <c:tx>
            <c:strRef>
              <c:f>Diagnostics!$A$363</c:f>
              <c:strCache>
                <c:ptCount val="1"/>
                <c:pt idx="0">
                  <c:v>Total Radiology Patients Over 6 Week Standard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pt idx="31">
                  <c:v>97</c:v>
                </c:pt>
                <c:pt idx="32">
                  <c:v>102</c:v>
                </c:pt>
              </c:numCache>
            </c:numRef>
          </c:val>
          <c:smooth val="0"/>
        </c:ser>
        <c:ser>
          <c:idx val="3"/>
          <c:order val="1"/>
          <c:tx>
            <c:strRef>
              <c:f>Diagnostics!$A$414</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Diagnostics!$B$414:$AW$414</c:f>
              <c:numCache>
                <c:formatCode>0</c:formatCode>
                <c:ptCount val="48"/>
                <c:pt idx="0">
                  <c:v>78.63636363636364</c:v>
                </c:pt>
                <c:pt idx="1">
                  <c:v>78.63636363636364</c:v>
                </c:pt>
                <c:pt idx="2">
                  <c:v>78.63636363636364</c:v>
                </c:pt>
                <c:pt idx="3">
                  <c:v>78.63636363636364</c:v>
                </c:pt>
                <c:pt idx="4">
                  <c:v>78.63636363636364</c:v>
                </c:pt>
                <c:pt idx="5">
                  <c:v>78.63636363636364</c:v>
                </c:pt>
                <c:pt idx="6">
                  <c:v>78.63636363636364</c:v>
                </c:pt>
                <c:pt idx="7">
                  <c:v>78.63636363636364</c:v>
                </c:pt>
                <c:pt idx="8">
                  <c:v>78.63636363636364</c:v>
                </c:pt>
                <c:pt idx="9">
                  <c:v>78.63636363636364</c:v>
                </c:pt>
                <c:pt idx="10">
                  <c:v>78.63636363636364</c:v>
                </c:pt>
                <c:pt idx="11">
                  <c:v>78.63636363636364</c:v>
                </c:pt>
                <c:pt idx="12">
                  <c:v>78.63636363636364</c:v>
                </c:pt>
                <c:pt idx="13">
                  <c:v>78.63636363636364</c:v>
                </c:pt>
                <c:pt idx="14">
                  <c:v>78.63636363636364</c:v>
                </c:pt>
                <c:pt idx="15">
                  <c:v>78.63636363636364</c:v>
                </c:pt>
                <c:pt idx="16">
                  <c:v>78.63636363636364</c:v>
                </c:pt>
                <c:pt idx="17">
                  <c:v>78.63636363636364</c:v>
                </c:pt>
                <c:pt idx="18">
                  <c:v>78.63636363636364</c:v>
                </c:pt>
                <c:pt idx="19">
                  <c:v>78.63636363636364</c:v>
                </c:pt>
                <c:pt idx="20">
                  <c:v>78.63636363636364</c:v>
                </c:pt>
                <c:pt idx="21">
                  <c:v>78.63636363636364</c:v>
                </c:pt>
                <c:pt idx="22">
                  <c:v>78.63636363636364</c:v>
                </c:pt>
                <c:pt idx="23">
                  <c:v>78.63636363636364</c:v>
                </c:pt>
                <c:pt idx="24">
                  <c:v>78.63636363636364</c:v>
                </c:pt>
                <c:pt idx="25">
                  <c:v>78.63636363636364</c:v>
                </c:pt>
                <c:pt idx="26">
                  <c:v>78.63636363636364</c:v>
                </c:pt>
                <c:pt idx="27">
                  <c:v>78.63636363636364</c:v>
                </c:pt>
                <c:pt idx="28">
                  <c:v>78.63636363636364</c:v>
                </c:pt>
                <c:pt idx="29">
                  <c:v>78.63636363636364</c:v>
                </c:pt>
                <c:pt idx="30">
                  <c:v>78.63636363636364</c:v>
                </c:pt>
                <c:pt idx="31">
                  <c:v>78.63636363636364</c:v>
                </c:pt>
                <c:pt idx="32">
                  <c:v>78.63636363636364</c:v>
                </c:pt>
                <c:pt idx="33">
                  <c:v>78.63636363636364</c:v>
                </c:pt>
                <c:pt idx="34">
                  <c:v>78.63636363636364</c:v>
                </c:pt>
                <c:pt idx="35">
                  <c:v>78.63636363636364</c:v>
                </c:pt>
                <c:pt idx="36">
                  <c:v>78.63636363636364</c:v>
                </c:pt>
                <c:pt idx="37">
                  <c:v>78.63636363636364</c:v>
                </c:pt>
                <c:pt idx="38">
                  <c:v>78.63636363636364</c:v>
                </c:pt>
                <c:pt idx="39">
                  <c:v>78.63636363636364</c:v>
                </c:pt>
                <c:pt idx="40">
                  <c:v>78.63636363636364</c:v>
                </c:pt>
                <c:pt idx="41">
                  <c:v>78.63636363636364</c:v>
                </c:pt>
                <c:pt idx="42">
                  <c:v>78.63636363636364</c:v>
                </c:pt>
                <c:pt idx="43">
                  <c:v>78.63636363636364</c:v>
                </c:pt>
                <c:pt idx="44">
                  <c:v>78.63636363636364</c:v>
                </c:pt>
                <c:pt idx="45">
                  <c:v>78.63636363636364</c:v>
                </c:pt>
                <c:pt idx="46">
                  <c:v>78.63636363636364</c:v>
                </c:pt>
                <c:pt idx="47">
                  <c:v>78.63636363636364</c:v>
                </c:pt>
              </c:numCache>
            </c:numRef>
          </c:val>
          <c:smooth val="0"/>
        </c:ser>
        <c:ser>
          <c:idx val="1"/>
          <c:order val="2"/>
          <c:tx>
            <c:strRef>
              <c:f>Diagnostics!$A$417</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Diagnostics!$B$417:$AW$417</c:f>
              <c:numCache>
                <c:formatCode>0</c:formatCode>
                <c:ptCount val="48"/>
                <c:pt idx="0">
                  <c:v>168.72944874274663</c:v>
                </c:pt>
                <c:pt idx="1">
                  <c:v>168.72944874274663</c:v>
                </c:pt>
                <c:pt idx="2">
                  <c:v>168.72944874274663</c:v>
                </c:pt>
                <c:pt idx="3">
                  <c:v>168.72944874274663</c:v>
                </c:pt>
                <c:pt idx="4">
                  <c:v>168.72944874274663</c:v>
                </c:pt>
                <c:pt idx="5">
                  <c:v>168.72944874274663</c:v>
                </c:pt>
                <c:pt idx="6">
                  <c:v>168.72944874274663</c:v>
                </c:pt>
                <c:pt idx="7">
                  <c:v>168.72944874274663</c:v>
                </c:pt>
                <c:pt idx="8">
                  <c:v>168.72944874274663</c:v>
                </c:pt>
                <c:pt idx="9">
                  <c:v>168.72944874274663</c:v>
                </c:pt>
                <c:pt idx="10">
                  <c:v>168.72944874274663</c:v>
                </c:pt>
                <c:pt idx="11">
                  <c:v>168.72944874274663</c:v>
                </c:pt>
                <c:pt idx="12">
                  <c:v>168.72944874274663</c:v>
                </c:pt>
                <c:pt idx="13">
                  <c:v>168.72944874274663</c:v>
                </c:pt>
                <c:pt idx="14">
                  <c:v>168.72944874274663</c:v>
                </c:pt>
                <c:pt idx="15">
                  <c:v>168.72944874274663</c:v>
                </c:pt>
                <c:pt idx="16">
                  <c:v>168.72944874274663</c:v>
                </c:pt>
                <c:pt idx="17">
                  <c:v>168.72944874274663</c:v>
                </c:pt>
                <c:pt idx="18">
                  <c:v>168.72944874274663</c:v>
                </c:pt>
                <c:pt idx="19">
                  <c:v>168.72944874274663</c:v>
                </c:pt>
                <c:pt idx="20">
                  <c:v>168.72944874274663</c:v>
                </c:pt>
                <c:pt idx="21">
                  <c:v>168.72944874274663</c:v>
                </c:pt>
                <c:pt idx="22">
                  <c:v>168.72944874274663</c:v>
                </c:pt>
                <c:pt idx="23">
                  <c:v>168.72944874274663</c:v>
                </c:pt>
                <c:pt idx="24">
                  <c:v>168.72944874274663</c:v>
                </c:pt>
                <c:pt idx="25">
                  <c:v>168.72944874274663</c:v>
                </c:pt>
                <c:pt idx="26">
                  <c:v>168.72944874274663</c:v>
                </c:pt>
                <c:pt idx="27">
                  <c:v>168.72944874274663</c:v>
                </c:pt>
                <c:pt idx="28">
                  <c:v>168.72944874274663</c:v>
                </c:pt>
                <c:pt idx="29">
                  <c:v>168.72944874274663</c:v>
                </c:pt>
                <c:pt idx="30">
                  <c:v>168.72944874274663</c:v>
                </c:pt>
                <c:pt idx="31">
                  <c:v>168.72944874274663</c:v>
                </c:pt>
                <c:pt idx="32">
                  <c:v>168.72944874274663</c:v>
                </c:pt>
                <c:pt idx="33">
                  <c:v>168.72944874274663</c:v>
                </c:pt>
                <c:pt idx="34">
                  <c:v>168.72944874274663</c:v>
                </c:pt>
                <c:pt idx="35">
                  <c:v>168.72944874274663</c:v>
                </c:pt>
                <c:pt idx="36">
                  <c:v>168.72944874274663</c:v>
                </c:pt>
                <c:pt idx="37">
                  <c:v>168.72944874274663</c:v>
                </c:pt>
                <c:pt idx="38">
                  <c:v>168.72944874274663</c:v>
                </c:pt>
                <c:pt idx="39">
                  <c:v>168.72944874274663</c:v>
                </c:pt>
                <c:pt idx="40">
                  <c:v>168.72944874274663</c:v>
                </c:pt>
                <c:pt idx="41">
                  <c:v>168.72944874274663</c:v>
                </c:pt>
                <c:pt idx="42">
                  <c:v>168.72944874274663</c:v>
                </c:pt>
                <c:pt idx="43">
                  <c:v>168.72944874274663</c:v>
                </c:pt>
                <c:pt idx="44">
                  <c:v>168.72944874274663</c:v>
                </c:pt>
                <c:pt idx="45">
                  <c:v>168.72944874274663</c:v>
                </c:pt>
                <c:pt idx="46">
                  <c:v>168.72944874274663</c:v>
                </c:pt>
                <c:pt idx="47">
                  <c:v>168.72944874274663</c:v>
                </c:pt>
              </c:numCache>
            </c:numRef>
          </c:val>
          <c:smooth val="0"/>
        </c:ser>
        <c:ser>
          <c:idx val="2"/>
          <c:order val="3"/>
          <c:tx>
            <c:strRef>
              <c:f>Diagnostics!$A$418</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Diagnostics!$B$418:$AW$418</c:f>
              <c:numCache>
                <c:formatCode>0</c:formatCode>
                <c:ptCount val="48"/>
                <c:pt idx="0">
                  <c:v>-11.456721470019346</c:v>
                </c:pt>
                <c:pt idx="1">
                  <c:v>-11.456721470019346</c:v>
                </c:pt>
                <c:pt idx="2">
                  <c:v>-11.456721470019346</c:v>
                </c:pt>
                <c:pt idx="3">
                  <c:v>-11.456721470019346</c:v>
                </c:pt>
                <c:pt idx="4">
                  <c:v>-11.456721470019346</c:v>
                </c:pt>
                <c:pt idx="5">
                  <c:v>-11.456721470019346</c:v>
                </c:pt>
                <c:pt idx="6">
                  <c:v>-11.456721470019346</c:v>
                </c:pt>
                <c:pt idx="7">
                  <c:v>-11.456721470019346</c:v>
                </c:pt>
                <c:pt idx="8">
                  <c:v>-11.456721470019346</c:v>
                </c:pt>
                <c:pt idx="9">
                  <c:v>-11.456721470019346</c:v>
                </c:pt>
                <c:pt idx="10">
                  <c:v>-11.456721470019346</c:v>
                </c:pt>
                <c:pt idx="11">
                  <c:v>-11.456721470019346</c:v>
                </c:pt>
                <c:pt idx="12">
                  <c:v>-11.456721470019346</c:v>
                </c:pt>
                <c:pt idx="13">
                  <c:v>-11.456721470019346</c:v>
                </c:pt>
                <c:pt idx="14">
                  <c:v>-11.456721470019346</c:v>
                </c:pt>
                <c:pt idx="15">
                  <c:v>-11.456721470019346</c:v>
                </c:pt>
                <c:pt idx="16">
                  <c:v>-11.456721470019346</c:v>
                </c:pt>
                <c:pt idx="17">
                  <c:v>-11.456721470019346</c:v>
                </c:pt>
                <c:pt idx="18">
                  <c:v>-11.456721470019346</c:v>
                </c:pt>
                <c:pt idx="19">
                  <c:v>-11.456721470019346</c:v>
                </c:pt>
                <c:pt idx="20">
                  <c:v>-11.456721470019346</c:v>
                </c:pt>
                <c:pt idx="21">
                  <c:v>-11.456721470019346</c:v>
                </c:pt>
                <c:pt idx="22">
                  <c:v>-11.456721470019346</c:v>
                </c:pt>
                <c:pt idx="23">
                  <c:v>-11.456721470019346</c:v>
                </c:pt>
                <c:pt idx="24">
                  <c:v>-11.456721470019346</c:v>
                </c:pt>
                <c:pt idx="25">
                  <c:v>-11.456721470019346</c:v>
                </c:pt>
                <c:pt idx="26">
                  <c:v>-11.456721470019346</c:v>
                </c:pt>
                <c:pt idx="27">
                  <c:v>-11.456721470019346</c:v>
                </c:pt>
                <c:pt idx="28">
                  <c:v>-11.456721470019346</c:v>
                </c:pt>
                <c:pt idx="29">
                  <c:v>-11.456721470019346</c:v>
                </c:pt>
                <c:pt idx="30">
                  <c:v>-11.456721470019346</c:v>
                </c:pt>
                <c:pt idx="31">
                  <c:v>-11.456721470019346</c:v>
                </c:pt>
                <c:pt idx="32">
                  <c:v>-11.456721470019346</c:v>
                </c:pt>
                <c:pt idx="33">
                  <c:v>-11.456721470019346</c:v>
                </c:pt>
                <c:pt idx="34">
                  <c:v>-11.456721470019346</c:v>
                </c:pt>
                <c:pt idx="35">
                  <c:v>-11.456721470019346</c:v>
                </c:pt>
                <c:pt idx="36">
                  <c:v>-11.456721470019346</c:v>
                </c:pt>
                <c:pt idx="37">
                  <c:v>-11.456721470019346</c:v>
                </c:pt>
                <c:pt idx="38">
                  <c:v>-11.456721470019346</c:v>
                </c:pt>
                <c:pt idx="39">
                  <c:v>-11.456721470019346</c:v>
                </c:pt>
                <c:pt idx="40">
                  <c:v>-11.456721470019346</c:v>
                </c:pt>
                <c:pt idx="41">
                  <c:v>-11.456721470019346</c:v>
                </c:pt>
                <c:pt idx="42">
                  <c:v>-11.456721470019346</c:v>
                </c:pt>
                <c:pt idx="43">
                  <c:v>-11.456721470019346</c:v>
                </c:pt>
                <c:pt idx="44">
                  <c:v>-11.456721470019346</c:v>
                </c:pt>
                <c:pt idx="45">
                  <c:v>-11.456721470019346</c:v>
                </c:pt>
                <c:pt idx="46">
                  <c:v>-11.456721470019346</c:v>
                </c:pt>
                <c:pt idx="47">
                  <c:v>-11.456721470019346</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3151104"/>
        <c:axId val="213161088"/>
      </c:lineChart>
      <c:dateAx>
        <c:axId val="213151104"/>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213161088"/>
        <c:crosses val="autoZero"/>
        <c:auto val="1"/>
        <c:lblOffset val="100"/>
        <c:baseTimeUnit val="months"/>
        <c:majorUnit val="1"/>
        <c:majorTimeUnit val="months"/>
      </c:dateAx>
      <c:valAx>
        <c:axId val="213161088"/>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151104"/>
        <c:crosses val="autoZero"/>
        <c:crossBetween val="between"/>
      </c:valAx>
    </c:plotArea>
    <c:legend>
      <c:legendPos val="r"/>
      <c:layout>
        <c:manualLayout>
          <c:xMode val="edge"/>
          <c:yMode val="edge"/>
          <c:x val="5.4824561403508934E-3"/>
          <c:y val="0.90828924162257563"/>
          <c:w val="0.98532900492701558"/>
          <c:h val="9.171075837742505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Patient Falls with Harm Rate per 1,000 Occupied Bed Days</a:t>
            </a:r>
          </a:p>
        </c:rich>
      </c:tx>
      <c:layout>
        <c:manualLayout>
          <c:xMode val="edge"/>
          <c:yMode val="edge"/>
          <c:x val="0.27791577320752076"/>
          <c:y val="2.2725214903692594E-2"/>
        </c:manualLayout>
      </c:layout>
      <c:overlay val="0"/>
      <c:spPr>
        <a:noFill/>
        <a:ln w="25400">
          <a:noFill/>
        </a:ln>
      </c:spPr>
    </c:title>
    <c:autoTitleDeleted val="0"/>
    <c:plotArea>
      <c:layout>
        <c:manualLayout>
          <c:layoutTarget val="inner"/>
          <c:xMode val="edge"/>
          <c:yMode val="edge"/>
          <c:x val="5.0943845835060085E-2"/>
          <c:y val="0.10565250409688642"/>
          <c:w val="0.91909748326663132"/>
          <c:h val="0.67474772506228609"/>
        </c:manualLayout>
      </c:layout>
      <c:lineChart>
        <c:grouping val="standard"/>
        <c:varyColors val="0"/>
        <c:ser>
          <c:idx val="3"/>
          <c:order val="0"/>
          <c:tx>
            <c:strRef>
              <c:f>Falls!$D$11</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Falls!$D$12:$D$119</c:f>
              <c:numCache>
                <c:formatCode>0.00</c:formatCode>
                <c:ptCount val="108"/>
                <c:pt idx="0">
                  <c:v>0.58845480380055692</c:v>
                </c:pt>
                <c:pt idx="1">
                  <c:v>0.51623264884708042</c:v>
                </c:pt>
                <c:pt idx="2">
                  <c:v>0.37092538464962388</c:v>
                </c:pt>
                <c:pt idx="3">
                  <c:v>0.41770471260423969</c:v>
                </c:pt>
                <c:pt idx="4">
                  <c:v>0.38047295715289159</c:v>
                </c:pt>
                <c:pt idx="5">
                  <c:v>0.38325189230621826</c:v>
                </c:pt>
                <c:pt idx="6">
                  <c:v>0.43009120463486522</c:v>
                </c:pt>
                <c:pt idx="7">
                  <c:v>0.35820742768687552</c:v>
                </c:pt>
                <c:pt idx="8">
                  <c:v>0.48382373537388118</c:v>
                </c:pt>
                <c:pt idx="9">
                  <c:v>0.36807557818538739</c:v>
                </c:pt>
                <c:pt idx="10">
                  <c:v>0.29853176649388008</c:v>
                </c:pt>
                <c:pt idx="11">
                  <c:v>0.29956189073480038</c:v>
                </c:pt>
                <c:pt idx="12">
                  <c:v>0.27839274588045021</c:v>
                </c:pt>
                <c:pt idx="13">
                  <c:v>0.4208378499011669</c:v>
                </c:pt>
                <c:pt idx="14">
                  <c:v>0.36364108624787339</c:v>
                </c:pt>
                <c:pt idx="15">
                  <c:v>0.34889130097689564</c:v>
                </c:pt>
                <c:pt idx="16">
                  <c:v>0.35525781567194481</c:v>
                </c:pt>
                <c:pt idx="17">
                  <c:v>0.36719385212579009</c:v>
                </c:pt>
                <c:pt idx="18">
                  <c:v>0.43981452393219317</c:v>
                </c:pt>
                <c:pt idx="19">
                  <c:v>0.34494653328734043</c:v>
                </c:pt>
                <c:pt idx="20">
                  <c:v>0.44067839290885508</c:v>
                </c:pt>
                <c:pt idx="21">
                  <c:v>0.27949593515694304</c:v>
                </c:pt>
                <c:pt idx="22">
                  <c:v>0.31068363344509314</c:v>
                </c:pt>
                <c:pt idx="23">
                  <c:v>0.36628247704629807</c:v>
                </c:pt>
                <c:pt idx="24">
                  <c:v>0.2900012608750473</c:v>
                </c:pt>
                <c:pt idx="25">
                  <c:v>0.40751305894120698</c:v>
                </c:pt>
                <c:pt idx="26">
                  <c:v>0.25564005879721352</c:v>
                </c:pt>
                <c:pt idx="27">
                  <c:v>0.20486031087552176</c:v>
                </c:pt>
                <c:pt idx="28">
                  <c:v>0.26580259727109334</c:v>
                </c:pt>
                <c:pt idx="29">
                  <c:v>0.14328140467878914</c:v>
                </c:pt>
                <c:pt idx="30">
                  <c:v>0.39810402955922419</c:v>
                </c:pt>
                <c:pt idx="31">
                  <c:v>0.21747473455289754</c:v>
                </c:pt>
                <c:pt idx="32">
                  <c:v>0.27583439905714785</c:v>
                </c:pt>
                <c:pt idx="33">
                  <c:v>0.35370267752926893</c:v>
                </c:pt>
                <c:pt idx="34">
                  <c:v>0.25256553410964006</c:v>
                </c:pt>
                <c:pt idx="35">
                  <c:v>0.35283239244695347</c:v>
                </c:pt>
                <c:pt idx="36">
                  <c:v>0.23850170717011449</c:v>
                </c:pt>
                <c:pt idx="37">
                  <c:v>0.17617597463065968</c:v>
                </c:pt>
                <c:pt idx="38">
                  <c:v>0.17974527526705014</c:v>
                </c:pt>
                <c:pt idx="39">
                  <c:v>0.34201892504718595</c:v>
                </c:pt>
                <c:pt idx="40">
                  <c:v>0.27773920288848769</c:v>
                </c:pt>
                <c:pt idx="41">
                  <c:v>0.27314230714202098</c:v>
                </c:pt>
                <c:pt idx="42">
                  <c:v>0.37171496896180012</c:v>
                </c:pt>
                <c:pt idx="43">
                  <c:v>0.32856908164941678</c:v>
                </c:pt>
                <c:pt idx="44">
                  <c:v>0.27699087189172178</c:v>
                </c:pt>
                <c:pt idx="45">
                  <c:v>0.33003689340987047</c:v>
                </c:pt>
                <c:pt idx="46">
                  <c:v>0.2196666235947797</c:v>
                </c:pt>
                <c:pt idx="47">
                  <c:v>0.32674780903924472</c:v>
                </c:pt>
                <c:pt idx="48">
                  <c:v>0.45490871088707197</c:v>
                </c:pt>
                <c:pt idx="49">
                  <c:v>0.23912548394443178</c:v>
                </c:pt>
                <c:pt idx="50">
                  <c:v>0.22510101408006841</c:v>
                </c:pt>
                <c:pt idx="51">
                  <c:v>0.17084708118439737</c:v>
                </c:pt>
                <c:pt idx="52">
                  <c:v>0.26612894971186424</c:v>
                </c:pt>
                <c:pt idx="53">
                  <c:v>0.13660627968559541</c:v>
                </c:pt>
                <c:pt idx="54">
                  <c:v>0.1823320266204759</c:v>
                </c:pt>
                <c:pt idx="55">
                  <c:v>0.17776662379353977</c:v>
                </c:pt>
                <c:pt idx="56">
                  <c:v>0.16647591301633544</c:v>
                </c:pt>
                <c:pt idx="57">
                  <c:v>0.12069884632019393</c:v>
                </c:pt>
                <c:pt idx="58">
                  <c:v>0.24243759986776131</c:v>
                </c:pt>
                <c:pt idx="59">
                  <c:v>0.18155776562909767</c:v>
                </c:pt>
                <c:pt idx="60">
                  <c:v>0.19074262461851474</c:v>
                </c:pt>
                <c:pt idx="61">
                  <c:v>0.16848135122043681</c:v>
                </c:pt>
                <c:pt idx="62">
                  <c:v>0.18820716072891525</c:v>
                </c:pt>
                <c:pt idx="63">
                  <c:v>0.26210602188585286</c:v>
                </c:pt>
                <c:pt idx="64">
                  <c:v>0.15265843764993239</c:v>
                </c:pt>
                <c:pt idx="65">
                  <c:v>0.19127988748241914</c:v>
                </c:pt>
                <c:pt idx="66">
                  <c:v>0.36851175444110856</c:v>
                </c:pt>
                <c:pt idx="67">
                  <c:v>0.21031192579309735</c:v>
                </c:pt>
                <c:pt idx="68">
                  <c:v>0.17607958797376416</c:v>
                </c:pt>
                <c:pt idx="69">
                  <c:v>0.25461489497135581</c:v>
                </c:pt>
                <c:pt idx="70">
                  <c:v>0.17946072053479295</c:v>
                </c:pt>
                <c:pt idx="71">
                  <c:v>0.13862674216492318</c:v>
                </c:pt>
                <c:pt idx="72">
                  <c:v>0.27002092662181321</c:v>
                </c:pt>
                <c:pt idx="73">
                  <c:v>0.23823087679320523</c:v>
                </c:pt>
                <c:pt idx="74">
                  <c:v>0.25919606021988462</c:v>
                </c:pt>
                <c:pt idx="75">
                  <c:v>0.19049433279359937</c:v>
                </c:pt>
                <c:pt idx="76">
                  <c:v>0.2311409960075646</c:v>
                </c:pt>
                <c:pt idx="77">
                  <c:v>0.20431865106675845</c:v>
                </c:pt>
                <c:pt idx="78">
                  <c:v>0.16648977128467671</c:v>
                </c:pt>
                <c:pt idx="79">
                  <c:v>0.18124440274638579</c:v>
                </c:pt>
                <c:pt idx="80">
                  <c:v>0.25500717207671464</c:v>
                </c:pt>
                <c:pt idx="81">
                  <c:v>0.32133343007888215</c:v>
                </c:pt>
                <c:pt idx="82">
                  <c:v>0.31926659901255405</c:v>
                </c:pt>
                <c:pt idx="83">
                  <c:v>0.25086758372705603</c:v>
                </c:pt>
                <c:pt idx="84">
                  <c:v>0.20743490365194606</c:v>
                </c:pt>
                <c:pt idx="85">
                  <c:v>0.28000000000000003</c:v>
                </c:pt>
                <c:pt idx="86">
                  <c:v>0.21165907293326056</c:v>
                </c:pt>
                <c:pt idx="87">
                  <c:v>0.29539188656951554</c:v>
                </c:pt>
                <c:pt idx="88">
                  <c:v>0.20556986129444096</c:v>
                </c:pt>
                <c:pt idx="89">
                  <c:v>0.20140310832130509</c:v>
                </c:pt>
                <c:pt idx="90">
                  <c:v>0.242023739372001</c:v>
                </c:pt>
                <c:pt idx="91">
                  <c:v>0.19805684231374404</c:v>
                </c:pt>
                <c:pt idx="92">
                  <c:v>0.30117890026675848</c:v>
                </c:pt>
              </c:numCache>
            </c:numRef>
          </c:val>
          <c:smooth val="0"/>
        </c:ser>
        <c:ser>
          <c:idx val="0"/>
          <c:order val="1"/>
          <c:tx>
            <c:strRef>
              <c:f>Falls!$E$11</c:f>
              <c:strCache>
                <c:ptCount val="1"/>
                <c:pt idx="0">
                  <c:v>Baseline Median</c:v>
                </c:pt>
              </c:strCache>
            </c:strRef>
          </c:tx>
          <c:spPr>
            <a:ln w="25400">
              <a:solidFill>
                <a:srgbClr val="0000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Falls!$E$12:$E$119</c:f>
              <c:numCache>
                <c:formatCode>0.00</c:formatCode>
                <c:ptCount val="108"/>
                <c:pt idx="0">
                  <c:v>0.38186242472955489</c:v>
                </c:pt>
                <c:pt idx="1">
                  <c:v>0.38186242472955489</c:v>
                </c:pt>
                <c:pt idx="2">
                  <c:v>0.38186242472955489</c:v>
                </c:pt>
                <c:pt idx="3">
                  <c:v>0.38186242472955489</c:v>
                </c:pt>
                <c:pt idx="4">
                  <c:v>0.38186242472955489</c:v>
                </c:pt>
                <c:pt idx="5">
                  <c:v>0.38186242472955489</c:v>
                </c:pt>
                <c:pt idx="6">
                  <c:v>0.38186242472955489</c:v>
                </c:pt>
                <c:pt idx="7">
                  <c:v>0.38186242472955489</c:v>
                </c:pt>
                <c:pt idx="8">
                  <c:v>0.38186242472955489</c:v>
                </c:pt>
                <c:pt idx="9">
                  <c:v>0.38186242472955489</c:v>
                </c:pt>
                <c:pt idx="10">
                  <c:v>0.38186242472955489</c:v>
                </c:pt>
                <c:pt idx="11">
                  <c:v>0.38186242472955489</c:v>
                </c:pt>
              </c:numCache>
            </c:numRef>
          </c:val>
          <c:smooth val="0"/>
        </c:ser>
        <c:ser>
          <c:idx val="1"/>
          <c:order val="2"/>
          <c:tx>
            <c:strRef>
              <c:f>Falls!$F$11</c:f>
              <c:strCache>
                <c:ptCount val="1"/>
                <c:pt idx="0">
                  <c:v>Extended baseline Median</c:v>
                </c:pt>
              </c:strCache>
            </c:strRef>
          </c:tx>
          <c:spPr>
            <a:ln w="25400">
              <a:solidFill>
                <a:srgbClr val="00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Falls!$F$12:$F$119</c:f>
              <c:numCache>
                <c:formatCode>0.00</c:formatCode>
                <c:ptCount val="108"/>
                <c:pt idx="12">
                  <c:v>0.38186242472955489</c:v>
                </c:pt>
                <c:pt idx="13">
                  <c:v>0.38186242472955489</c:v>
                </c:pt>
                <c:pt idx="14">
                  <c:v>0.38186242472955489</c:v>
                </c:pt>
                <c:pt idx="15">
                  <c:v>0.38186242472955489</c:v>
                </c:pt>
                <c:pt idx="16">
                  <c:v>0.38186242472955489</c:v>
                </c:pt>
                <c:pt idx="17">
                  <c:v>0.38186242472955489</c:v>
                </c:pt>
                <c:pt idx="18">
                  <c:v>0.38186242472955489</c:v>
                </c:pt>
                <c:pt idx="19">
                  <c:v>0.38186242472955489</c:v>
                </c:pt>
                <c:pt idx="20">
                  <c:v>0.38186242472955489</c:v>
                </c:pt>
                <c:pt idx="21">
                  <c:v>0.38186242472955489</c:v>
                </c:pt>
                <c:pt idx="22">
                  <c:v>0.38186242472955489</c:v>
                </c:pt>
                <c:pt idx="23">
                  <c:v>0.38186242472955489</c:v>
                </c:pt>
                <c:pt idx="24">
                  <c:v>0.38186242472955489</c:v>
                </c:pt>
                <c:pt idx="25">
                  <c:v>0.38186242472955489</c:v>
                </c:pt>
                <c:pt idx="26">
                  <c:v>0.38186242472955489</c:v>
                </c:pt>
                <c:pt idx="27">
                  <c:v>0.38186242472955489</c:v>
                </c:pt>
                <c:pt idx="28">
                  <c:v>0.38186242472955489</c:v>
                </c:pt>
                <c:pt idx="29">
                  <c:v>0.38186242472955489</c:v>
                </c:pt>
                <c:pt idx="30">
                  <c:v>0.38186242472955489</c:v>
                </c:pt>
              </c:numCache>
            </c:numRef>
          </c:val>
          <c:smooth val="0"/>
        </c:ser>
        <c:ser>
          <c:idx val="2"/>
          <c:order val="3"/>
          <c:tx>
            <c:strRef>
              <c:f>Falls!$G$11</c:f>
              <c:strCache>
                <c:ptCount val="1"/>
                <c:pt idx="0">
                  <c:v>Target Median (max)</c:v>
                </c:pt>
              </c:strCache>
            </c:strRef>
          </c:tx>
          <c:spPr>
            <a:ln w="25400">
              <a:solidFill>
                <a:srgbClr val="FF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Falls!$G$12:$G$119</c:f>
              <c:numCache>
                <c:formatCode>0.00</c:formatCode>
                <c:ptCount val="108"/>
                <c:pt idx="24">
                  <c:v>0.30548993978364392</c:v>
                </c:pt>
                <c:pt idx="25">
                  <c:v>0.30548993978364392</c:v>
                </c:pt>
                <c:pt idx="26">
                  <c:v>0.30548993978364392</c:v>
                </c:pt>
                <c:pt idx="27">
                  <c:v>0.30548993978364392</c:v>
                </c:pt>
                <c:pt idx="28">
                  <c:v>0.30548993978364392</c:v>
                </c:pt>
                <c:pt idx="29">
                  <c:v>0.30548993978364392</c:v>
                </c:pt>
                <c:pt idx="30">
                  <c:v>0.30548993978364392</c:v>
                </c:pt>
                <c:pt idx="31">
                  <c:v>0.30548993978364392</c:v>
                </c:pt>
                <c:pt idx="32">
                  <c:v>0.30548993978364392</c:v>
                </c:pt>
                <c:pt idx="33">
                  <c:v>0.30548993978364392</c:v>
                </c:pt>
                <c:pt idx="34">
                  <c:v>0.30548993978364392</c:v>
                </c:pt>
                <c:pt idx="35">
                  <c:v>0.30548993978364392</c:v>
                </c:pt>
                <c:pt idx="36">
                  <c:v>0.30548993978364392</c:v>
                </c:pt>
                <c:pt idx="37">
                  <c:v>0.30548993978364392</c:v>
                </c:pt>
                <c:pt idx="38">
                  <c:v>0.30548993978364392</c:v>
                </c:pt>
                <c:pt idx="39">
                  <c:v>0.30548993978364392</c:v>
                </c:pt>
                <c:pt idx="40">
                  <c:v>0.30548993978364392</c:v>
                </c:pt>
                <c:pt idx="41">
                  <c:v>0.30548993978364392</c:v>
                </c:pt>
                <c:pt idx="42">
                  <c:v>0.30548993978364392</c:v>
                </c:pt>
                <c:pt idx="43">
                  <c:v>0.30548993978364392</c:v>
                </c:pt>
                <c:pt idx="44">
                  <c:v>0.30548993978364392</c:v>
                </c:pt>
                <c:pt idx="45">
                  <c:v>0.30548993978364392</c:v>
                </c:pt>
                <c:pt idx="46">
                  <c:v>0.30548993978364392</c:v>
                </c:pt>
                <c:pt idx="47">
                  <c:v>0.30548993978364392</c:v>
                </c:pt>
                <c:pt idx="48">
                  <c:v>0.30548993978364392</c:v>
                </c:pt>
                <c:pt idx="49">
                  <c:v>0.30548993978364392</c:v>
                </c:pt>
                <c:pt idx="50">
                  <c:v>0.30548993978364392</c:v>
                </c:pt>
                <c:pt idx="51">
                  <c:v>0.30548993978364392</c:v>
                </c:pt>
                <c:pt idx="52">
                  <c:v>0.30548993978364392</c:v>
                </c:pt>
                <c:pt idx="53">
                  <c:v>0.30548993978364392</c:v>
                </c:pt>
                <c:pt idx="54">
                  <c:v>0.30548993978364392</c:v>
                </c:pt>
                <c:pt idx="55">
                  <c:v>0.30548993978364392</c:v>
                </c:pt>
                <c:pt idx="56">
                  <c:v>0.30548993978364392</c:v>
                </c:pt>
                <c:pt idx="57">
                  <c:v>0.30548993978364392</c:v>
                </c:pt>
                <c:pt idx="58">
                  <c:v>0.30548993978364392</c:v>
                </c:pt>
                <c:pt idx="59">
                  <c:v>0.30548993978364392</c:v>
                </c:pt>
                <c:pt idx="60">
                  <c:v>0.30548993978364392</c:v>
                </c:pt>
                <c:pt idx="61">
                  <c:v>0.30548993978364392</c:v>
                </c:pt>
                <c:pt idx="62">
                  <c:v>0.30548993978364392</c:v>
                </c:pt>
                <c:pt idx="63">
                  <c:v>0.30548993978364392</c:v>
                </c:pt>
                <c:pt idx="64">
                  <c:v>0.30548993978364392</c:v>
                </c:pt>
                <c:pt idx="65">
                  <c:v>0.30548993978364392</c:v>
                </c:pt>
                <c:pt idx="66">
                  <c:v>0.30548993978364392</c:v>
                </c:pt>
                <c:pt idx="67">
                  <c:v>0.30548993978364392</c:v>
                </c:pt>
                <c:pt idx="68">
                  <c:v>0.30548993978364392</c:v>
                </c:pt>
                <c:pt idx="69">
                  <c:v>0.30548993978364392</c:v>
                </c:pt>
                <c:pt idx="70">
                  <c:v>0.30548993978364392</c:v>
                </c:pt>
                <c:pt idx="71">
                  <c:v>0.30548993978364392</c:v>
                </c:pt>
                <c:pt idx="72">
                  <c:v>0.30548993978364392</c:v>
                </c:pt>
                <c:pt idx="73">
                  <c:v>0.30548993978364392</c:v>
                </c:pt>
                <c:pt idx="74">
                  <c:v>0.30548993978364392</c:v>
                </c:pt>
                <c:pt idx="75">
                  <c:v>0.30548993978364392</c:v>
                </c:pt>
                <c:pt idx="76">
                  <c:v>0.30548993978364392</c:v>
                </c:pt>
                <c:pt idx="77">
                  <c:v>0.30548993978364392</c:v>
                </c:pt>
                <c:pt idx="78">
                  <c:v>0.30548993978364392</c:v>
                </c:pt>
                <c:pt idx="79">
                  <c:v>0.30548993978364392</c:v>
                </c:pt>
                <c:pt idx="80">
                  <c:v>0.30548993978364392</c:v>
                </c:pt>
                <c:pt idx="81">
                  <c:v>0.30548993978364392</c:v>
                </c:pt>
                <c:pt idx="82">
                  <c:v>0.30548993978364392</c:v>
                </c:pt>
                <c:pt idx="83">
                  <c:v>0.30548993978364392</c:v>
                </c:pt>
                <c:pt idx="84">
                  <c:v>0.30548993978364392</c:v>
                </c:pt>
                <c:pt idx="85">
                  <c:v>0.30548993978364392</c:v>
                </c:pt>
                <c:pt idx="86">
                  <c:v>0.30548993978364392</c:v>
                </c:pt>
                <c:pt idx="87">
                  <c:v>0.30548993978364392</c:v>
                </c:pt>
                <c:pt idx="88">
                  <c:v>0.30548993978364392</c:v>
                </c:pt>
                <c:pt idx="89">
                  <c:v>0.30548993978364392</c:v>
                </c:pt>
                <c:pt idx="90">
                  <c:v>0.30548993978364392</c:v>
                </c:pt>
                <c:pt idx="91">
                  <c:v>0.30548993978364392</c:v>
                </c:pt>
                <c:pt idx="92">
                  <c:v>0.30548993978364392</c:v>
                </c:pt>
                <c:pt idx="93">
                  <c:v>0.30548993978364392</c:v>
                </c:pt>
                <c:pt idx="94">
                  <c:v>0.30548993978364392</c:v>
                </c:pt>
                <c:pt idx="95">
                  <c:v>0.30548993978364392</c:v>
                </c:pt>
                <c:pt idx="96">
                  <c:v>0.30548993978364392</c:v>
                </c:pt>
                <c:pt idx="97">
                  <c:v>0.30548993978364392</c:v>
                </c:pt>
                <c:pt idx="98">
                  <c:v>0.30548993978364392</c:v>
                </c:pt>
                <c:pt idx="99">
                  <c:v>0.30548993978364392</c:v>
                </c:pt>
                <c:pt idx="100">
                  <c:v>0.30548993978364392</c:v>
                </c:pt>
                <c:pt idx="101">
                  <c:v>0.30548993978364392</c:v>
                </c:pt>
                <c:pt idx="102">
                  <c:v>0.30548993978364392</c:v>
                </c:pt>
                <c:pt idx="103">
                  <c:v>0.30548993978364392</c:v>
                </c:pt>
                <c:pt idx="104">
                  <c:v>0.30548993978364392</c:v>
                </c:pt>
                <c:pt idx="105">
                  <c:v>0.30548993978364392</c:v>
                </c:pt>
                <c:pt idx="106">
                  <c:v>0.30548993978364392</c:v>
                </c:pt>
                <c:pt idx="107">
                  <c:v>0.30548993978364392</c:v>
                </c:pt>
              </c:numCache>
            </c:numRef>
          </c:val>
          <c:smooth val="0"/>
        </c:ser>
        <c:ser>
          <c:idx val="4"/>
          <c:order val="4"/>
          <c:tx>
            <c:strRef>
              <c:f>Falls!$H$11</c:f>
              <c:strCache>
                <c:ptCount val="1"/>
                <c:pt idx="0">
                  <c:v>New Median</c:v>
                </c:pt>
              </c:strCache>
            </c:strRef>
          </c:tx>
          <c:spPr>
            <a:ln w="25400">
              <a:solidFill>
                <a:srgbClr val="E69F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Falls!$H$12:$H$119</c:f>
              <c:numCache>
                <c:formatCode>0.00</c:formatCode>
                <c:ptCount val="108"/>
                <c:pt idx="31">
                  <c:v>0.27448835309958441</c:v>
                </c:pt>
                <c:pt idx="32">
                  <c:v>0.27448835309958441</c:v>
                </c:pt>
                <c:pt idx="33">
                  <c:v>0.27448835309958441</c:v>
                </c:pt>
                <c:pt idx="34">
                  <c:v>0.27448835309958441</c:v>
                </c:pt>
                <c:pt idx="35">
                  <c:v>0.27448835309958441</c:v>
                </c:pt>
                <c:pt idx="36">
                  <c:v>0.27448835309958441</c:v>
                </c:pt>
                <c:pt idx="37">
                  <c:v>0.27448835309958441</c:v>
                </c:pt>
                <c:pt idx="38">
                  <c:v>0.27448835309958441</c:v>
                </c:pt>
                <c:pt idx="39">
                  <c:v>0.27448835309958441</c:v>
                </c:pt>
                <c:pt idx="40">
                  <c:v>0.27448835309958441</c:v>
                </c:pt>
                <c:pt idx="41">
                  <c:v>0.27448835309958441</c:v>
                </c:pt>
                <c:pt idx="42">
                  <c:v>0.27448835309958441</c:v>
                </c:pt>
              </c:numCache>
            </c:numRef>
          </c:val>
          <c:smooth val="0"/>
        </c:ser>
        <c:ser>
          <c:idx val="5"/>
          <c:order val="5"/>
          <c:tx>
            <c:strRef>
              <c:f>Falls!$I$11</c:f>
              <c:strCache>
                <c:ptCount val="1"/>
                <c:pt idx="0">
                  <c:v>Extended New Median</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Falls!$I$12:$I$119</c:f>
              <c:numCache>
                <c:formatCode>0.00</c:formatCode>
                <c:ptCount val="108"/>
                <c:pt idx="43">
                  <c:v>0.27448835309958441</c:v>
                </c:pt>
                <c:pt idx="44">
                  <c:v>0.27448835309958441</c:v>
                </c:pt>
                <c:pt idx="45">
                  <c:v>0.27448835309958441</c:v>
                </c:pt>
                <c:pt idx="46">
                  <c:v>0.27448835309958441</c:v>
                </c:pt>
                <c:pt idx="47">
                  <c:v>0.27448835309958441</c:v>
                </c:pt>
                <c:pt idx="48">
                  <c:v>0.27448835309958441</c:v>
                </c:pt>
              </c:numCache>
            </c:numRef>
          </c:val>
          <c:smooth val="0"/>
        </c:ser>
        <c:ser>
          <c:idx val="6"/>
          <c:order val="6"/>
          <c:tx>
            <c:strRef>
              <c:f>Falls!$J$11</c:f>
              <c:strCache>
                <c:ptCount val="1"/>
                <c:pt idx="0">
                  <c:v>New Median 2</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Falls!$J$12:$J$119</c:f>
              <c:numCache>
                <c:formatCode>0.00</c:formatCode>
                <c:ptCount val="108"/>
                <c:pt idx="49">
                  <c:v>0.18194489612478679</c:v>
                </c:pt>
                <c:pt idx="50">
                  <c:v>0.18194489612478679</c:v>
                </c:pt>
                <c:pt idx="51">
                  <c:v>0.18194489612478679</c:v>
                </c:pt>
                <c:pt idx="52">
                  <c:v>0.18194489612478679</c:v>
                </c:pt>
                <c:pt idx="53">
                  <c:v>0.18194489612478679</c:v>
                </c:pt>
                <c:pt idx="54">
                  <c:v>0.18194489612478679</c:v>
                </c:pt>
                <c:pt idx="55">
                  <c:v>0.18194489612478679</c:v>
                </c:pt>
                <c:pt idx="56">
                  <c:v>0.18194489612478679</c:v>
                </c:pt>
                <c:pt idx="57">
                  <c:v>0.18194489612478679</c:v>
                </c:pt>
                <c:pt idx="58">
                  <c:v>0.18194489612478679</c:v>
                </c:pt>
                <c:pt idx="59">
                  <c:v>0.18194489612478679</c:v>
                </c:pt>
                <c:pt idx="60">
                  <c:v>0.18194489612478679</c:v>
                </c:pt>
              </c:numCache>
            </c:numRef>
          </c:val>
          <c:smooth val="0"/>
        </c:ser>
        <c:ser>
          <c:idx val="7"/>
          <c:order val="7"/>
          <c:tx>
            <c:strRef>
              <c:f>Falls!$K$11</c:f>
              <c:strCache>
                <c:ptCount val="1"/>
                <c:pt idx="0">
                  <c:v>Extended New Median 2</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Falls!$K$12:$K$119</c:f>
              <c:numCache>
                <c:formatCode>0.00</c:formatCode>
                <c:ptCount val="108"/>
                <c:pt idx="61">
                  <c:v>0.18194489612478679</c:v>
                </c:pt>
                <c:pt idx="62">
                  <c:v>0.18194489612478679</c:v>
                </c:pt>
                <c:pt idx="63">
                  <c:v>0.18194489612478679</c:v>
                </c:pt>
                <c:pt idx="64">
                  <c:v>0.18194489612478679</c:v>
                </c:pt>
                <c:pt idx="65">
                  <c:v>0.18194489612478679</c:v>
                </c:pt>
                <c:pt idx="66">
                  <c:v>0.18194489612478679</c:v>
                </c:pt>
                <c:pt idx="67">
                  <c:v>0.18194489612478679</c:v>
                </c:pt>
                <c:pt idx="68">
                  <c:v>0.18194489612478679</c:v>
                </c:pt>
                <c:pt idx="69">
                  <c:v>0.18194489612478679</c:v>
                </c:pt>
                <c:pt idx="70">
                  <c:v>0.18194489612478679</c:v>
                </c:pt>
                <c:pt idx="71">
                  <c:v>0.18194489612478679</c:v>
                </c:pt>
                <c:pt idx="72">
                  <c:v>0.18194489612478679</c:v>
                </c:pt>
                <c:pt idx="73">
                  <c:v>0.18194489612478679</c:v>
                </c:pt>
                <c:pt idx="74">
                  <c:v>0.18194489612478679</c:v>
                </c:pt>
                <c:pt idx="75">
                  <c:v>0.18194489612478679</c:v>
                </c:pt>
                <c:pt idx="76">
                  <c:v>0.18194489612478679</c:v>
                </c:pt>
                <c:pt idx="77">
                  <c:v>0.18194489612478679</c:v>
                </c:pt>
                <c:pt idx="78">
                  <c:v>0.18194489612478679</c:v>
                </c:pt>
                <c:pt idx="79">
                  <c:v>0.18194489612478679</c:v>
                </c:pt>
              </c:numCache>
            </c:numRef>
          </c:val>
          <c:smooth val="0"/>
        </c:ser>
        <c:ser>
          <c:idx val="8"/>
          <c:order val="8"/>
          <c:tx>
            <c:strRef>
              <c:f>Falls!$L$11</c:f>
              <c:strCache>
                <c:ptCount val="1"/>
                <c:pt idx="0">
                  <c:v>New Median 3</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Falls!$L$12:$L$119</c:f>
              <c:numCache>
                <c:formatCode>0.00</c:formatCode>
                <c:ptCount val="108"/>
                <c:pt idx="80">
                  <c:v>0.24644566154952852</c:v>
                </c:pt>
                <c:pt idx="81">
                  <c:v>0.24644566154952852</c:v>
                </c:pt>
                <c:pt idx="82">
                  <c:v>0.24644566154952852</c:v>
                </c:pt>
                <c:pt idx="83">
                  <c:v>0.24644566154952852</c:v>
                </c:pt>
                <c:pt idx="84">
                  <c:v>0.24644566154952852</c:v>
                </c:pt>
                <c:pt idx="85">
                  <c:v>0.24644566154952852</c:v>
                </c:pt>
                <c:pt idx="86">
                  <c:v>0.24644566154952852</c:v>
                </c:pt>
                <c:pt idx="87">
                  <c:v>0.24644566154952852</c:v>
                </c:pt>
                <c:pt idx="88">
                  <c:v>0.24644566154952852</c:v>
                </c:pt>
                <c:pt idx="89">
                  <c:v>0.24644566154952852</c:v>
                </c:pt>
                <c:pt idx="90">
                  <c:v>0.24644566154952852</c:v>
                </c:pt>
                <c:pt idx="91">
                  <c:v>0.24644566154952852</c:v>
                </c:pt>
              </c:numCache>
            </c:numRef>
          </c:val>
          <c:smooth val="0"/>
        </c:ser>
        <c:ser>
          <c:idx val="9"/>
          <c:order val="9"/>
          <c:tx>
            <c:strRef>
              <c:f>Falls!$M$11</c:f>
              <c:strCache>
                <c:ptCount val="1"/>
                <c:pt idx="0">
                  <c:v>Extended New Median 3</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numCache>
            </c:numRef>
          </c:cat>
          <c:val>
            <c:numRef>
              <c:f>Falls!$M$12:$M$119</c:f>
              <c:numCache>
                <c:formatCode>0.00</c:formatCode>
                <c:ptCount val="108"/>
                <c:pt idx="92">
                  <c:v>0.24644566154952852</c:v>
                </c:pt>
              </c:numCache>
            </c:numRef>
          </c:val>
          <c:smooth val="0"/>
        </c:ser>
        <c:dLbls>
          <c:showLegendKey val="0"/>
          <c:showVal val="0"/>
          <c:showCatName val="0"/>
          <c:showSerName val="0"/>
          <c:showPercent val="0"/>
          <c:showBubbleSize val="0"/>
        </c:dLbls>
        <c:marker val="1"/>
        <c:smooth val="0"/>
        <c:axId val="213660032"/>
        <c:axId val="213661568"/>
      </c:lineChart>
      <c:dateAx>
        <c:axId val="213660032"/>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13661568"/>
        <c:crossesAt val="0"/>
        <c:auto val="0"/>
        <c:lblOffset val="100"/>
        <c:baseTimeUnit val="months"/>
        <c:majorUnit val="3"/>
        <c:majorTimeUnit val="months"/>
        <c:minorUnit val="1"/>
        <c:minorTimeUnit val="months"/>
      </c:dateAx>
      <c:valAx>
        <c:axId val="21366156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60032"/>
        <c:crosses val="autoZero"/>
        <c:crossBetween val="between"/>
      </c:valAx>
      <c:spPr>
        <a:noFill/>
        <a:ln w="25400">
          <a:noFill/>
        </a:ln>
      </c:spPr>
    </c:plotArea>
    <c:legend>
      <c:legendPos val="r"/>
      <c:layout>
        <c:manualLayout>
          <c:xMode val="edge"/>
          <c:yMode val="edge"/>
          <c:x val="1.035191438997358E-2"/>
          <c:y val="0.89170896785109988"/>
          <c:w val="0.9776026845328547"/>
          <c:h val="0.10829103214890021"/>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no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90972222222234E-2"/>
          <c:y val="6.1904761904761914E-2"/>
          <c:w val="0.91107094907407404"/>
          <c:h val="0.71428571428571463"/>
        </c:manualLayout>
      </c:layout>
      <c:lineChart>
        <c:grouping val="standard"/>
        <c:varyColors val="0"/>
        <c:ser>
          <c:idx val="0"/>
          <c:order val="0"/>
          <c:tx>
            <c:strRef>
              <c:f>'HAI - C.Diff'!$B$10</c:f>
              <c:strCache>
                <c:ptCount val="1"/>
                <c:pt idx="0">
                  <c:v>Patients</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C.Diff'!$B$11:$B$82</c:f>
              <c:numCache>
                <c:formatCode>General</c:formatCode>
                <c:ptCount val="72"/>
                <c:pt idx="0">
                  <c:v>42</c:v>
                </c:pt>
                <c:pt idx="1">
                  <c:v>25</c:v>
                </c:pt>
                <c:pt idx="2">
                  <c:v>37</c:v>
                </c:pt>
                <c:pt idx="3">
                  <c:v>34</c:v>
                </c:pt>
                <c:pt idx="4">
                  <c:v>39</c:v>
                </c:pt>
                <c:pt idx="5">
                  <c:v>38</c:v>
                </c:pt>
                <c:pt idx="6">
                  <c:v>52</c:v>
                </c:pt>
                <c:pt idx="7">
                  <c:v>34</c:v>
                </c:pt>
                <c:pt idx="8">
                  <c:v>32</c:v>
                </c:pt>
                <c:pt idx="9">
                  <c:v>37</c:v>
                </c:pt>
                <c:pt idx="10">
                  <c:v>33</c:v>
                </c:pt>
                <c:pt idx="11">
                  <c:v>22</c:v>
                </c:pt>
                <c:pt idx="12">
                  <c:v>34</c:v>
                </c:pt>
                <c:pt idx="13">
                  <c:v>39</c:v>
                </c:pt>
                <c:pt idx="14">
                  <c:v>34</c:v>
                </c:pt>
                <c:pt idx="15">
                  <c:v>39</c:v>
                </c:pt>
                <c:pt idx="16">
                  <c:v>38</c:v>
                </c:pt>
                <c:pt idx="17">
                  <c:v>29</c:v>
                </c:pt>
                <c:pt idx="18">
                  <c:v>32</c:v>
                </c:pt>
                <c:pt idx="19">
                  <c:v>33</c:v>
                </c:pt>
                <c:pt idx="20">
                  <c:v>33</c:v>
                </c:pt>
                <c:pt idx="21">
                  <c:v>30</c:v>
                </c:pt>
                <c:pt idx="22">
                  <c:v>21</c:v>
                </c:pt>
                <c:pt idx="23">
                  <c:v>31</c:v>
                </c:pt>
                <c:pt idx="24">
                  <c:v>29</c:v>
                </c:pt>
                <c:pt idx="25">
                  <c:v>22</c:v>
                </c:pt>
                <c:pt idx="26">
                  <c:v>24</c:v>
                </c:pt>
                <c:pt idx="27">
                  <c:v>26</c:v>
                </c:pt>
                <c:pt idx="28">
                  <c:v>36</c:v>
                </c:pt>
                <c:pt idx="29">
                  <c:v>40</c:v>
                </c:pt>
                <c:pt idx="30">
                  <c:v>30</c:v>
                </c:pt>
                <c:pt idx="31">
                  <c:v>24</c:v>
                </c:pt>
                <c:pt idx="32">
                  <c:v>29</c:v>
                </c:pt>
                <c:pt idx="33">
                  <c:v>17</c:v>
                </c:pt>
                <c:pt idx="34">
                  <c:v>27</c:v>
                </c:pt>
                <c:pt idx="35">
                  <c:v>21</c:v>
                </c:pt>
                <c:pt idx="36">
                  <c:v>20</c:v>
                </c:pt>
                <c:pt idx="37">
                  <c:v>28</c:v>
                </c:pt>
                <c:pt idx="38">
                  <c:v>25</c:v>
                </c:pt>
                <c:pt idx="39">
                  <c:v>21</c:v>
                </c:pt>
                <c:pt idx="40">
                  <c:v>17</c:v>
                </c:pt>
                <c:pt idx="41">
                  <c:v>14</c:v>
                </c:pt>
                <c:pt idx="42">
                  <c:v>15</c:v>
                </c:pt>
                <c:pt idx="43">
                  <c:v>18</c:v>
                </c:pt>
                <c:pt idx="44">
                  <c:v>7</c:v>
                </c:pt>
                <c:pt idx="45">
                  <c:v>17</c:v>
                </c:pt>
                <c:pt idx="46">
                  <c:v>19</c:v>
                </c:pt>
                <c:pt idx="47">
                  <c:v>21</c:v>
                </c:pt>
                <c:pt idx="48">
                  <c:v>17</c:v>
                </c:pt>
                <c:pt idx="49">
                  <c:v>11</c:v>
                </c:pt>
                <c:pt idx="50">
                  <c:v>15</c:v>
                </c:pt>
                <c:pt idx="51">
                  <c:v>9</c:v>
                </c:pt>
                <c:pt idx="52">
                  <c:v>15</c:v>
                </c:pt>
                <c:pt idx="53">
                  <c:v>16</c:v>
                </c:pt>
                <c:pt idx="54">
                  <c:v>20</c:v>
                </c:pt>
                <c:pt idx="55">
                  <c:v>14</c:v>
                </c:pt>
                <c:pt idx="56">
                  <c:v>15</c:v>
                </c:pt>
              </c:numCache>
            </c:numRef>
          </c:val>
          <c:smooth val="0"/>
        </c:ser>
        <c:ser>
          <c:idx val="1"/>
          <c:order val="1"/>
          <c:tx>
            <c:strRef>
              <c:f>'HAI - C.Diff'!$I$10</c:f>
              <c:strCache>
                <c:ptCount val="1"/>
                <c:pt idx="0">
                  <c:v>Baseline Median</c:v>
                </c:pt>
              </c:strCache>
            </c:strRef>
          </c:tx>
          <c:spPr>
            <a:ln w="25400">
              <a:solidFill>
                <a:schemeClr val="tx1"/>
              </a:solidFill>
              <a:prstDash val="solid"/>
            </a:ln>
          </c:spPr>
          <c:marker>
            <c:symbol val="none"/>
          </c:marker>
          <c:dPt>
            <c:idx val="12"/>
            <c:bubble3D val="0"/>
            <c:spPr>
              <a:ln w="25400">
                <a:noFill/>
                <a:prstDash val="solid"/>
              </a:ln>
            </c:spPr>
          </c:dPt>
          <c:dPt>
            <c:idx val="13"/>
            <c:bubble3D val="0"/>
            <c:spPr>
              <a:ln w="25400">
                <a:noFill/>
                <a:prstDash val="solid"/>
              </a:ln>
            </c:spPr>
          </c:dPt>
          <c:dPt>
            <c:idx val="14"/>
            <c:bubble3D val="0"/>
            <c:spPr>
              <a:ln w="25400">
                <a:noFill/>
                <a:prstDash val="solid"/>
              </a:ln>
            </c:spPr>
          </c:dPt>
          <c:dPt>
            <c:idx val="15"/>
            <c:bubble3D val="0"/>
            <c:spPr>
              <a:ln w="25400">
                <a:noFill/>
                <a:prstDash val="solid"/>
              </a:ln>
            </c:spPr>
          </c:dPt>
          <c:dPt>
            <c:idx val="16"/>
            <c:bubble3D val="0"/>
            <c:spPr>
              <a:ln w="25400">
                <a:noFill/>
                <a:prstDash val="solid"/>
              </a:ln>
            </c:spPr>
          </c:dPt>
          <c:dPt>
            <c:idx val="17"/>
            <c:bubble3D val="0"/>
            <c:spPr>
              <a:ln w="25400">
                <a:noFill/>
                <a:prstDash val="solid"/>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C.Diff'!$I$11:$I$82</c:f>
              <c:numCache>
                <c:formatCode>General</c:formatCode>
                <c:ptCount val="72"/>
                <c:pt idx="0">
                  <c:v>35.5</c:v>
                </c:pt>
                <c:pt idx="1">
                  <c:v>35.5</c:v>
                </c:pt>
                <c:pt idx="2">
                  <c:v>35.5</c:v>
                </c:pt>
                <c:pt idx="3">
                  <c:v>35.5</c:v>
                </c:pt>
                <c:pt idx="4">
                  <c:v>35.5</c:v>
                </c:pt>
                <c:pt idx="5">
                  <c:v>35.5</c:v>
                </c:pt>
                <c:pt idx="6">
                  <c:v>35.5</c:v>
                </c:pt>
                <c:pt idx="7">
                  <c:v>35.5</c:v>
                </c:pt>
                <c:pt idx="8">
                  <c:v>35.5</c:v>
                </c:pt>
                <c:pt idx="9">
                  <c:v>35.5</c:v>
                </c:pt>
                <c:pt idx="10">
                  <c:v>35.5</c:v>
                </c:pt>
                <c:pt idx="11">
                  <c:v>35.5</c:v>
                </c:pt>
                <c:pt idx="12">
                  <c:v>0</c:v>
                </c:pt>
                <c:pt idx="13">
                  <c:v>0</c:v>
                </c:pt>
                <c:pt idx="14">
                  <c:v>0</c:v>
                </c:pt>
                <c:pt idx="15">
                  <c:v>0</c:v>
                </c:pt>
                <c:pt idx="16">
                  <c:v>0</c:v>
                </c:pt>
                <c:pt idx="17">
                  <c:v>0</c:v>
                </c:pt>
              </c:numCache>
            </c:numRef>
          </c:val>
          <c:smooth val="0"/>
        </c:ser>
        <c:ser>
          <c:idx val="4"/>
          <c:order val="2"/>
          <c:tx>
            <c:strRef>
              <c:f>'HAI - C.Diff'!$J$10</c:f>
              <c:strCache>
                <c:ptCount val="1"/>
                <c:pt idx="0">
                  <c:v>Extended Baseline Median</c:v>
                </c:pt>
              </c:strCache>
            </c:strRef>
          </c:tx>
          <c:spPr>
            <a:ln w="25400">
              <a:solidFill>
                <a:schemeClr val="tx1"/>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C.Diff'!$J$11:$J$27</c:f>
              <c:numCache>
                <c:formatCode>General</c:formatCode>
                <c:ptCount val="17"/>
                <c:pt idx="11">
                  <c:v>35.5</c:v>
                </c:pt>
                <c:pt idx="12">
                  <c:v>35.5</c:v>
                </c:pt>
                <c:pt idx="13">
                  <c:v>35.5</c:v>
                </c:pt>
                <c:pt idx="14">
                  <c:v>35.5</c:v>
                </c:pt>
                <c:pt idx="15">
                  <c:v>35.5</c:v>
                </c:pt>
                <c:pt idx="16">
                  <c:v>35.5</c:v>
                </c:pt>
              </c:numCache>
            </c:numRef>
          </c:val>
          <c:smooth val="0"/>
        </c:ser>
        <c:ser>
          <c:idx val="2"/>
          <c:order val="3"/>
          <c:tx>
            <c:strRef>
              <c:f>'HAI - C.Diff'!$K$10</c:f>
              <c:strCache>
                <c:ptCount val="1"/>
                <c:pt idx="0">
                  <c:v>New Median</c:v>
                </c:pt>
              </c:strCache>
            </c:strRef>
          </c:tx>
          <c:spPr>
            <a:ln w="25400">
              <a:solidFill>
                <a:srgbClr val="E6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C.Diff'!$K$11:$K$82</c:f>
              <c:numCache>
                <c:formatCode>General</c:formatCode>
                <c:ptCount val="72"/>
                <c:pt idx="17">
                  <c:v>29.5</c:v>
                </c:pt>
                <c:pt idx="18">
                  <c:v>29.5</c:v>
                </c:pt>
                <c:pt idx="19">
                  <c:v>29.5</c:v>
                </c:pt>
                <c:pt idx="20">
                  <c:v>29.5</c:v>
                </c:pt>
                <c:pt idx="21">
                  <c:v>29.5</c:v>
                </c:pt>
                <c:pt idx="22">
                  <c:v>29.5</c:v>
                </c:pt>
                <c:pt idx="23">
                  <c:v>29.5</c:v>
                </c:pt>
                <c:pt idx="24">
                  <c:v>29.5</c:v>
                </c:pt>
                <c:pt idx="25">
                  <c:v>29.5</c:v>
                </c:pt>
                <c:pt idx="26">
                  <c:v>29.5</c:v>
                </c:pt>
                <c:pt idx="27">
                  <c:v>29.5</c:v>
                </c:pt>
                <c:pt idx="28">
                  <c:v>29.5</c:v>
                </c:pt>
              </c:numCache>
            </c:numRef>
          </c:val>
          <c:smooth val="0"/>
        </c:ser>
        <c:ser>
          <c:idx val="5"/>
          <c:order val="4"/>
          <c:tx>
            <c:strRef>
              <c:f>'HAI - C.Diff'!$L$10</c:f>
              <c:strCache>
                <c:ptCount val="1"/>
                <c:pt idx="0">
                  <c:v>Extended New Median</c:v>
                </c:pt>
              </c:strCache>
            </c:strRef>
          </c:tx>
          <c:spPr>
            <a:ln w="25400">
              <a:solidFill>
                <a:srgbClr val="E6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C.Diff'!$L$11:$L$82</c:f>
              <c:numCache>
                <c:formatCode>General</c:formatCode>
                <c:ptCount val="72"/>
                <c:pt idx="28">
                  <c:v>29.5</c:v>
                </c:pt>
                <c:pt idx="29">
                  <c:v>29.5</c:v>
                </c:pt>
                <c:pt idx="30">
                  <c:v>29.5</c:v>
                </c:pt>
              </c:numCache>
            </c:numRef>
          </c:val>
          <c:smooth val="0"/>
        </c:ser>
        <c:ser>
          <c:idx val="3"/>
          <c:order val="5"/>
          <c:tx>
            <c:strRef>
              <c:f>'HAI - C.Diff'!$M$10</c:f>
              <c:strCache>
                <c:ptCount val="1"/>
                <c:pt idx="0">
                  <c:v>New Median 2</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C.Diff'!$M$11:$M$82</c:f>
              <c:numCache>
                <c:formatCode>General</c:formatCode>
                <c:ptCount val="72"/>
                <c:pt idx="31">
                  <c:v>21</c:v>
                </c:pt>
                <c:pt idx="32">
                  <c:v>21</c:v>
                </c:pt>
                <c:pt idx="33">
                  <c:v>21</c:v>
                </c:pt>
                <c:pt idx="34">
                  <c:v>21</c:v>
                </c:pt>
                <c:pt idx="35">
                  <c:v>21</c:v>
                </c:pt>
                <c:pt idx="36">
                  <c:v>21</c:v>
                </c:pt>
                <c:pt idx="37">
                  <c:v>21</c:v>
                </c:pt>
                <c:pt idx="38">
                  <c:v>21</c:v>
                </c:pt>
                <c:pt idx="39">
                  <c:v>21</c:v>
                </c:pt>
                <c:pt idx="40">
                  <c:v>21</c:v>
                </c:pt>
                <c:pt idx="41">
                  <c:v>21</c:v>
                </c:pt>
                <c:pt idx="42">
                  <c:v>21</c:v>
                </c:pt>
              </c:numCache>
            </c:numRef>
          </c:val>
          <c:smooth val="0"/>
        </c:ser>
        <c:ser>
          <c:idx val="6"/>
          <c:order val="6"/>
          <c:tx>
            <c:strRef>
              <c:f>'HAI - C.Diff'!$N$10</c:f>
              <c:strCache>
                <c:ptCount val="1"/>
                <c:pt idx="0">
                  <c:v>New Median 3</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C.Diff'!$N$11:$N$65</c:f>
              <c:numCache>
                <c:formatCode>General</c:formatCode>
                <c:ptCount val="55"/>
                <c:pt idx="43">
                  <c:v>16.5</c:v>
                </c:pt>
                <c:pt idx="44">
                  <c:v>16.5</c:v>
                </c:pt>
                <c:pt idx="45">
                  <c:v>16.5</c:v>
                </c:pt>
                <c:pt idx="46">
                  <c:v>16.5</c:v>
                </c:pt>
                <c:pt idx="47">
                  <c:v>16.5</c:v>
                </c:pt>
                <c:pt idx="48">
                  <c:v>16.5</c:v>
                </c:pt>
                <c:pt idx="49">
                  <c:v>16.5</c:v>
                </c:pt>
                <c:pt idx="50">
                  <c:v>16.5</c:v>
                </c:pt>
                <c:pt idx="51">
                  <c:v>16.5</c:v>
                </c:pt>
                <c:pt idx="52">
                  <c:v>16.5</c:v>
                </c:pt>
                <c:pt idx="53">
                  <c:v>16.5</c:v>
                </c:pt>
                <c:pt idx="54">
                  <c:v>16.5</c:v>
                </c:pt>
              </c:numCache>
            </c:numRef>
          </c:val>
          <c:smooth val="0"/>
        </c:ser>
        <c:ser>
          <c:idx val="7"/>
          <c:order val="7"/>
          <c:tx>
            <c:strRef>
              <c:f>'HAI - C.Diff'!$O$10</c:f>
              <c:strCache>
                <c:ptCount val="1"/>
                <c:pt idx="0">
                  <c:v>Extended New Median 3</c:v>
                </c:pt>
              </c:strCache>
            </c:strRef>
          </c:tx>
          <c:spPr>
            <a:ln w="25400">
              <a:solidFill>
                <a:srgbClr val="E3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C.Diff'!$O$11:$O$82</c:f>
              <c:numCache>
                <c:formatCode>General</c:formatCode>
                <c:ptCount val="72"/>
                <c:pt idx="54">
                  <c:v>16.5</c:v>
                </c:pt>
                <c:pt idx="55">
                  <c:v>16.5</c:v>
                </c:pt>
                <c:pt idx="56">
                  <c:v>16.5</c:v>
                </c:pt>
                <c:pt idx="57">
                  <c:v>16.5</c:v>
                </c:pt>
                <c:pt idx="58">
                  <c:v>16.5</c:v>
                </c:pt>
                <c:pt idx="59">
                  <c:v>16.5</c:v>
                </c:pt>
                <c:pt idx="60">
                  <c:v>16.5</c:v>
                </c:pt>
                <c:pt idx="61">
                  <c:v>16.5</c:v>
                </c:pt>
                <c:pt idx="62">
                  <c:v>16.5</c:v>
                </c:pt>
                <c:pt idx="63">
                  <c:v>16.5</c:v>
                </c:pt>
                <c:pt idx="64">
                  <c:v>16.5</c:v>
                </c:pt>
                <c:pt idx="65">
                  <c:v>16.5</c:v>
                </c:pt>
                <c:pt idx="66">
                  <c:v>16.5</c:v>
                </c:pt>
                <c:pt idx="67">
                  <c:v>16.5</c:v>
                </c:pt>
                <c:pt idx="68">
                  <c:v>16.5</c:v>
                </c:pt>
                <c:pt idx="69">
                  <c:v>16.5</c:v>
                </c:pt>
                <c:pt idx="70">
                  <c:v>16.5</c:v>
                </c:pt>
                <c:pt idx="71">
                  <c:v>16.5</c:v>
                </c:pt>
              </c:numCache>
            </c:numRef>
          </c:val>
          <c:smooth val="0"/>
        </c:ser>
        <c:dLbls>
          <c:showLegendKey val="0"/>
          <c:showVal val="0"/>
          <c:showCatName val="0"/>
          <c:showSerName val="0"/>
          <c:showPercent val="0"/>
          <c:showBubbleSize val="0"/>
        </c:dLbls>
        <c:marker val="1"/>
        <c:smooth val="0"/>
        <c:axId val="205207424"/>
        <c:axId val="205208960"/>
      </c:lineChart>
      <c:dateAx>
        <c:axId val="205207424"/>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205208960"/>
        <c:crosses val="autoZero"/>
        <c:auto val="1"/>
        <c:lblOffset val="100"/>
        <c:baseTimeUnit val="months"/>
        <c:majorUnit val="2"/>
        <c:majorTimeUnit val="months"/>
        <c:minorUnit val="1"/>
        <c:minorTimeUnit val="months"/>
      </c:dateAx>
      <c:valAx>
        <c:axId val="205208960"/>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05207424"/>
        <c:crosses val="autoZero"/>
        <c:crossBetween val="between"/>
      </c:valAx>
      <c:spPr>
        <a:solidFill>
          <a:srgbClr val="FFFFFF"/>
        </a:solidFill>
        <a:ln w="12700">
          <a:solidFill>
            <a:srgbClr val="808080"/>
          </a:solidFill>
          <a:prstDash val="solid"/>
        </a:ln>
      </c:spPr>
    </c:plotArea>
    <c:legend>
      <c:legendPos val="r"/>
      <c:layout>
        <c:manualLayout>
          <c:xMode val="edge"/>
          <c:yMode val="edge"/>
          <c:x val="6.6152149944873314E-3"/>
          <c:y val="0.89417989417989741"/>
          <c:w val="0.98970370370370353"/>
          <c:h val="0.10582010582010599"/>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51332737211714E-2"/>
          <c:y val="6.1904761904761914E-2"/>
          <c:w val="0.89931052444242521"/>
          <c:h val="0.72134038800705458"/>
        </c:manualLayout>
      </c:layout>
      <c:lineChart>
        <c:grouping val="standard"/>
        <c:varyColors val="0"/>
        <c:ser>
          <c:idx val="0"/>
          <c:order val="0"/>
          <c:tx>
            <c:strRef>
              <c:f>'HAI - C.Diff'!$F$10</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C.Diff'!$F$11:$F$82</c:f>
              <c:numCache>
                <c:formatCode>0.00</c:formatCode>
                <c:ptCount val="72"/>
                <c:pt idx="0">
                  <c:v>0.61629664411803553</c:v>
                </c:pt>
                <c:pt idx="1">
                  <c:v>0.4915699423322426</c:v>
                </c:pt>
                <c:pt idx="2">
                  <c:v>0.5086892935577435</c:v>
                </c:pt>
                <c:pt idx="3">
                  <c:v>0.50802345743094746</c:v>
                </c:pt>
                <c:pt idx="4">
                  <c:v>0.52237814865642573</c:v>
                </c:pt>
                <c:pt idx="5">
                  <c:v>0.52951882747291446</c:v>
                </c:pt>
                <c:pt idx="6">
                  <c:v>0.56322222175345638</c:v>
                </c:pt>
                <c:pt idx="7">
                  <c:v>0.5552614248266422</c:v>
                </c:pt>
                <c:pt idx="8">
                  <c:v>0.54579784827803235</c:v>
                </c:pt>
                <c:pt idx="9">
                  <c:v>0.5442721242941011</c:v>
                </c:pt>
                <c:pt idx="10">
                  <c:v>0.53769322933483477</c:v>
                </c:pt>
                <c:pt idx="11">
                  <c:v>0.51880579451140085</c:v>
                </c:pt>
                <c:pt idx="12">
                  <c:v>0.47718628510477046</c:v>
                </c:pt>
                <c:pt idx="13">
                  <c:v>0.51227351195070936</c:v>
                </c:pt>
                <c:pt idx="14">
                  <c:v>0.5005777696687298</c:v>
                </c:pt>
                <c:pt idx="15">
                  <c:v>0.51967466941928131</c:v>
                </c:pt>
                <c:pt idx="16">
                  <c:v>0.52852756242513732</c:v>
                </c:pt>
                <c:pt idx="17">
                  <c:v>0.51284644221809694</c:v>
                </c:pt>
                <c:pt idx="18">
                  <c:v>0.50576190105920982</c:v>
                </c:pt>
                <c:pt idx="19">
                  <c:v>0.50225260897345947</c:v>
                </c:pt>
                <c:pt idx="20">
                  <c:v>0.49952216127659232</c:v>
                </c:pt>
                <c:pt idx="21">
                  <c:v>0.49290420312856847</c:v>
                </c:pt>
                <c:pt idx="22">
                  <c:v>0.47566425461965911</c:v>
                </c:pt>
                <c:pt idx="23">
                  <c:v>0.47334341847894162</c:v>
                </c:pt>
                <c:pt idx="24">
                  <c:v>0.41708015129942039</c:v>
                </c:pt>
                <c:pt idx="25">
                  <c:v>0.3667428916598352</c:v>
                </c:pt>
                <c:pt idx="26">
                  <c:v>0.35955185456846583</c:v>
                </c:pt>
                <c:pt idx="27">
                  <c:v>0.36487648389124516</c:v>
                </c:pt>
                <c:pt idx="28">
                  <c:v>0.39707958112451774</c:v>
                </c:pt>
                <c:pt idx="29">
                  <c:v>0.42833081658729233</c:v>
                </c:pt>
                <c:pt idx="30">
                  <c:v>0.42791582254930338</c:v>
                </c:pt>
                <c:pt idx="31">
                  <c:v>0.41678093561005186</c:v>
                </c:pt>
                <c:pt idx="32">
                  <c:v>0.41616246982822097</c:v>
                </c:pt>
                <c:pt idx="33">
                  <c:v>0.39855369611791436</c:v>
                </c:pt>
                <c:pt idx="34">
                  <c:v>0.39724541665033258</c:v>
                </c:pt>
                <c:pt idx="35">
                  <c:v>0.38897605942117969</c:v>
                </c:pt>
                <c:pt idx="36">
                  <c:v>0.28854199728770524</c:v>
                </c:pt>
                <c:pt idx="37">
                  <c:v>0.34625039674524627</c:v>
                </c:pt>
                <c:pt idx="38">
                  <c:v>0.3510594300333747</c:v>
                </c:pt>
                <c:pt idx="39">
                  <c:v>0.34071961916729093</c:v>
                </c:pt>
                <c:pt idx="40">
                  <c:v>0.32283270673411574</c:v>
                </c:pt>
                <c:pt idx="41">
                  <c:v>0.30356310226919492</c:v>
                </c:pt>
                <c:pt idx="42">
                  <c:v>0.29291971210176865</c:v>
                </c:pt>
                <c:pt idx="43">
                  <c:v>0.29037854580384626</c:v>
                </c:pt>
                <c:pt idx="44">
                  <c:v>0.27036415593949087</c:v>
                </c:pt>
                <c:pt idx="45">
                  <c:v>0.26879814736046126</c:v>
                </c:pt>
                <c:pt idx="46">
                  <c:v>0.27020196588733786</c:v>
                </c:pt>
                <c:pt idx="47">
                  <c:v>0.27384147785584589</c:v>
                </c:pt>
                <c:pt idx="48">
                  <c:v>0.24803758498934894</c:v>
                </c:pt>
                <c:pt idx="49">
                  <c:v>0.20426624646181682</c:v>
                </c:pt>
                <c:pt idx="50">
                  <c:v>0.20912972852043149</c:v>
                </c:pt>
                <c:pt idx="51">
                  <c:v>0.1903049392671064</c:v>
                </c:pt>
                <c:pt idx="52">
                  <c:v>0.19655164321085197</c:v>
                </c:pt>
                <c:pt idx="53">
                  <c:v>0.20317789816136242</c:v>
                </c:pt>
                <c:pt idx="54">
                  <c:v>0.21864264663739638</c:v>
                </c:pt>
                <c:pt idx="55">
                  <c:v>0.21923756545115783</c:v>
                </c:pt>
                <c:pt idx="56">
                  <c:v>0.22138476168433552</c:v>
                </c:pt>
                <c:pt idx="57">
                  <c:v>0.19995475771138649</c:v>
                </c:pt>
                <c:pt idx="58">
                  <c:v>0.1823074320202748</c:v>
                </c:pt>
                <c:pt idx="59">
                  <c:v>0.16752246958578801</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ser>
        <c:ser>
          <c:idx val="1"/>
          <c:order val="1"/>
          <c:tx>
            <c:strRef>
              <c:f>'HAI - C.Diff'!$G$10</c:f>
              <c:strCache>
                <c:ptCount val="1"/>
                <c:pt idx="0">
                  <c:v>Target Rate (max)</c:v>
                </c:pt>
              </c:strCache>
            </c:strRef>
          </c:tx>
          <c:spPr>
            <a:ln w="25400">
              <a:solidFill>
                <a:srgbClr val="FF00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C.Diff'!$G$11:$G$82</c:f>
              <c:numCache>
                <c:formatCode>0.00</c:formatCode>
                <c:ptCount val="72"/>
                <c:pt idx="0">
                  <c:v>0.32</c:v>
                </c:pt>
                <c:pt idx="1">
                  <c:v>0.32</c:v>
                </c:pt>
                <c:pt idx="2">
                  <c:v>0.32</c:v>
                </c:pt>
                <c:pt idx="3">
                  <c:v>0.32</c:v>
                </c:pt>
                <c:pt idx="4">
                  <c:v>0.32</c:v>
                </c:pt>
                <c:pt idx="5">
                  <c:v>0.32</c:v>
                </c:pt>
                <c:pt idx="6">
                  <c:v>0.32</c:v>
                </c:pt>
                <c:pt idx="7">
                  <c:v>0.32</c:v>
                </c:pt>
                <c:pt idx="8">
                  <c:v>0.32</c:v>
                </c:pt>
                <c:pt idx="9">
                  <c:v>0.32</c:v>
                </c:pt>
                <c:pt idx="10">
                  <c:v>0.32</c:v>
                </c:pt>
                <c:pt idx="11">
                  <c:v>0.32</c:v>
                </c:pt>
                <c:pt idx="12">
                  <c:v>0.32</c:v>
                </c:pt>
                <c:pt idx="13">
                  <c:v>0.32</c:v>
                </c:pt>
                <c:pt idx="14">
                  <c:v>0.32</c:v>
                </c:pt>
                <c:pt idx="15">
                  <c:v>0.32</c:v>
                </c:pt>
                <c:pt idx="16">
                  <c:v>0.32</c:v>
                </c:pt>
                <c:pt idx="17">
                  <c:v>0.32</c:v>
                </c:pt>
                <c:pt idx="18">
                  <c:v>0.32</c:v>
                </c:pt>
                <c:pt idx="19">
                  <c:v>0.32</c:v>
                </c:pt>
                <c:pt idx="20">
                  <c:v>0.32</c:v>
                </c:pt>
                <c:pt idx="21">
                  <c:v>0.32</c:v>
                </c:pt>
                <c:pt idx="22">
                  <c:v>0.32</c:v>
                </c:pt>
                <c:pt idx="23">
                  <c:v>0.32</c:v>
                </c:pt>
                <c:pt idx="24">
                  <c:v>0.32</c:v>
                </c:pt>
                <c:pt idx="25">
                  <c:v>0.32</c:v>
                </c:pt>
                <c:pt idx="26">
                  <c:v>0.32</c:v>
                </c:pt>
                <c:pt idx="27">
                  <c:v>0.32</c:v>
                </c:pt>
                <c:pt idx="28">
                  <c:v>0.32</c:v>
                </c:pt>
                <c:pt idx="29">
                  <c:v>0.32</c:v>
                </c:pt>
                <c:pt idx="30">
                  <c:v>0.32</c:v>
                </c:pt>
                <c:pt idx="31">
                  <c:v>0.32</c:v>
                </c:pt>
                <c:pt idx="32">
                  <c:v>0.32</c:v>
                </c:pt>
                <c:pt idx="33">
                  <c:v>0.32</c:v>
                </c:pt>
                <c:pt idx="34">
                  <c:v>0.32</c:v>
                </c:pt>
                <c:pt idx="35">
                  <c:v>0.32</c:v>
                </c:pt>
                <c:pt idx="36">
                  <c:v>0.32</c:v>
                </c:pt>
                <c:pt idx="37">
                  <c:v>0.32</c:v>
                </c:pt>
                <c:pt idx="38">
                  <c:v>0.32</c:v>
                </c:pt>
                <c:pt idx="39">
                  <c:v>0.32</c:v>
                </c:pt>
                <c:pt idx="40">
                  <c:v>0.32</c:v>
                </c:pt>
                <c:pt idx="41">
                  <c:v>0.32</c:v>
                </c:pt>
                <c:pt idx="42">
                  <c:v>0.32</c:v>
                </c:pt>
                <c:pt idx="43">
                  <c:v>0.32</c:v>
                </c:pt>
                <c:pt idx="44">
                  <c:v>0.32</c:v>
                </c:pt>
                <c:pt idx="45">
                  <c:v>0.32</c:v>
                </c:pt>
                <c:pt idx="46">
                  <c:v>0.32</c:v>
                </c:pt>
                <c:pt idx="47">
                  <c:v>0.32</c:v>
                </c:pt>
                <c:pt idx="48">
                  <c:v>0.32</c:v>
                </c:pt>
                <c:pt idx="49">
                  <c:v>0.32</c:v>
                </c:pt>
                <c:pt idx="50">
                  <c:v>0.32</c:v>
                </c:pt>
                <c:pt idx="51">
                  <c:v>0.32</c:v>
                </c:pt>
                <c:pt idx="52">
                  <c:v>0.32</c:v>
                </c:pt>
                <c:pt idx="53">
                  <c:v>0.32</c:v>
                </c:pt>
                <c:pt idx="54">
                  <c:v>0.32</c:v>
                </c:pt>
                <c:pt idx="55">
                  <c:v>0.32</c:v>
                </c:pt>
                <c:pt idx="56">
                  <c:v>0.32</c:v>
                </c:pt>
                <c:pt idx="57">
                  <c:v>0.32</c:v>
                </c:pt>
                <c:pt idx="58">
                  <c:v>0.32</c:v>
                </c:pt>
                <c:pt idx="59">
                  <c:v>0.32</c:v>
                </c:pt>
                <c:pt idx="60">
                  <c:v>0.32</c:v>
                </c:pt>
                <c:pt idx="61">
                  <c:v>0.32</c:v>
                </c:pt>
                <c:pt idx="62">
                  <c:v>0.32</c:v>
                </c:pt>
                <c:pt idx="63">
                  <c:v>0.32</c:v>
                </c:pt>
                <c:pt idx="64">
                  <c:v>0.32</c:v>
                </c:pt>
                <c:pt idx="65">
                  <c:v>0.32</c:v>
                </c:pt>
                <c:pt idx="66">
                  <c:v>0.32</c:v>
                </c:pt>
                <c:pt idx="67">
                  <c:v>0.32</c:v>
                </c:pt>
                <c:pt idx="68">
                  <c:v>0.32</c:v>
                </c:pt>
                <c:pt idx="69">
                  <c:v>0.32</c:v>
                </c:pt>
                <c:pt idx="70">
                  <c:v>0.32</c:v>
                </c:pt>
                <c:pt idx="71">
                  <c:v>0.32</c:v>
                </c:pt>
              </c:numCache>
            </c:numRef>
          </c:val>
          <c:smooth val="0"/>
        </c:ser>
        <c:dLbls>
          <c:showLegendKey val="0"/>
          <c:showVal val="0"/>
          <c:showCatName val="0"/>
          <c:showSerName val="0"/>
          <c:showPercent val="0"/>
          <c:showBubbleSize val="0"/>
        </c:dLbls>
        <c:marker val="1"/>
        <c:smooth val="0"/>
        <c:axId val="214041728"/>
        <c:axId val="214043264"/>
      </c:lineChart>
      <c:dateAx>
        <c:axId val="214041728"/>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214043264"/>
        <c:crosses val="autoZero"/>
        <c:auto val="1"/>
        <c:lblOffset val="100"/>
        <c:baseTimeUnit val="months"/>
        <c:majorUnit val="2"/>
        <c:majorTimeUnit val="months"/>
        <c:minorUnit val="1"/>
        <c:minorTimeUnit val="months"/>
      </c:dateAx>
      <c:valAx>
        <c:axId val="214043264"/>
        <c:scaling>
          <c:orientation val="minMax"/>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overlay val="0"/>
          <c:spPr>
            <a:noFill/>
            <a:ln w="25400">
              <a:noFill/>
            </a:ln>
          </c:spPr>
        </c:title>
        <c:numFmt formatCode="0.0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14041728"/>
        <c:crosses val="autoZero"/>
        <c:crossBetween val="between"/>
        <c:majorUnit val="5.0000000000000024E-2"/>
      </c:valAx>
      <c:spPr>
        <a:solidFill>
          <a:srgbClr val="FFFFFF"/>
        </a:solidFill>
        <a:ln w="12700">
          <a:solidFill>
            <a:srgbClr val="808080"/>
          </a:solidFill>
          <a:prstDash val="solid"/>
        </a:ln>
      </c:spPr>
    </c:plotArea>
    <c:legend>
      <c:legendPos val="r"/>
      <c:layout>
        <c:manualLayout>
          <c:xMode val="edge"/>
          <c:yMode val="edge"/>
          <c:x val="0.41712605659683927"/>
          <c:y val="0.92592592592592549"/>
          <c:w val="0.20286659316427791"/>
          <c:h val="5.2910052910053414E-2"/>
        </c:manualLayout>
      </c:layout>
      <c:overlay val="0"/>
      <c:spPr>
        <a:solidFill>
          <a:schemeClr val="lt1"/>
        </a:solidFill>
        <a:ln w="12700" cap="flat" cmpd="sng" algn="ctr">
          <a:noFill/>
          <a:prstDash val="solid"/>
        </a:ln>
        <a:effectLst/>
      </c:spPr>
      <c:txPr>
        <a:bodyPr/>
        <a:lstStyle/>
        <a:p>
          <a:pPr>
            <a:defRPr sz="6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30787037039156E-2"/>
          <c:y val="6.1904761904761914E-2"/>
          <c:w val="0.90813113425925918"/>
          <c:h val="0.71428571428571463"/>
        </c:manualLayout>
      </c:layout>
      <c:lineChart>
        <c:grouping val="standard"/>
        <c:varyColors val="0"/>
        <c:ser>
          <c:idx val="0"/>
          <c:order val="0"/>
          <c:tx>
            <c:strRef>
              <c:f>'HAI - SAB'!$B$10</c:f>
              <c:strCache>
                <c:ptCount val="1"/>
                <c:pt idx="0">
                  <c:v>Patients</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dPt>
            <c:idx val="15"/>
            <c:bubble3D val="0"/>
            <c:spPr>
              <a:ln w="25400">
                <a:solidFill>
                  <a:srgbClr val="00B050"/>
                </a:solidFill>
                <a:prstDash val="solid"/>
              </a:ln>
            </c:spPr>
          </c:dPt>
          <c:dPt>
            <c:idx val="16"/>
            <c:bubble3D val="0"/>
            <c:spPr>
              <a:ln w="25400">
                <a:solidFill>
                  <a:srgbClr val="00B050"/>
                </a:solidFill>
                <a:prstDash val="solid"/>
              </a:ln>
            </c:spPr>
          </c:dPt>
          <c:dPt>
            <c:idx val="17"/>
            <c:bubble3D val="0"/>
            <c:spPr>
              <a:ln w="25400">
                <a:solidFill>
                  <a:srgbClr val="00B050"/>
                </a:solidFill>
                <a:prstDash val="solid"/>
              </a:ln>
            </c:spPr>
          </c:dPt>
          <c:dPt>
            <c:idx val="18"/>
            <c:bubble3D val="0"/>
            <c:spPr>
              <a:ln w="25400">
                <a:solidFill>
                  <a:srgbClr val="00B050"/>
                </a:solidFill>
                <a:prstDash val="solid"/>
              </a:ln>
            </c:spPr>
          </c:dPt>
          <c:dPt>
            <c:idx val="19"/>
            <c:bubble3D val="0"/>
            <c:spPr>
              <a:ln w="25400">
                <a:solidFill>
                  <a:srgbClr val="00B050"/>
                </a:solidFill>
                <a:prstDash val="solid"/>
              </a:ln>
            </c:spPr>
          </c:dPt>
          <c:dPt>
            <c:idx val="28"/>
            <c:bubble3D val="0"/>
            <c:spPr>
              <a:ln w="25400">
                <a:solidFill>
                  <a:srgbClr val="00B050"/>
                </a:solidFill>
                <a:prstDash val="solid"/>
              </a:ln>
            </c:spPr>
          </c:dPt>
          <c:dPt>
            <c:idx val="29"/>
            <c:bubble3D val="0"/>
            <c:spPr>
              <a:ln w="25400">
                <a:solidFill>
                  <a:srgbClr val="00B050"/>
                </a:solidFill>
                <a:prstDash val="solid"/>
              </a:ln>
            </c:spPr>
          </c:dPt>
          <c:dPt>
            <c:idx val="30"/>
            <c:bubble3D val="0"/>
            <c:spPr>
              <a:ln w="25400">
                <a:solidFill>
                  <a:srgbClr val="00B050"/>
                </a:solidFill>
                <a:prstDash val="solid"/>
              </a:ln>
            </c:spPr>
          </c:dPt>
          <c:dPt>
            <c:idx val="31"/>
            <c:bubble3D val="0"/>
            <c:spPr>
              <a:ln w="25400">
                <a:solidFill>
                  <a:srgbClr val="00B050"/>
                </a:solidFill>
                <a:prstDash val="solid"/>
              </a:ln>
            </c:spPr>
          </c:dPt>
          <c:dPt>
            <c:idx val="32"/>
            <c:bubble3D val="0"/>
            <c:spPr>
              <a:ln w="25400">
                <a:solidFill>
                  <a:srgbClr val="00B050"/>
                </a:solidFill>
                <a:prstDash val="solid"/>
              </a:ln>
            </c:spPr>
          </c:dPt>
          <c:dPt>
            <c:idx val="33"/>
            <c:bubble3D val="0"/>
            <c:spPr>
              <a:ln w="25400">
                <a:solidFill>
                  <a:srgbClr val="00B050"/>
                </a:solidFill>
                <a:prstDash val="solid"/>
              </a:ln>
            </c:spPr>
          </c:dPt>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SAB'!$B$11:$B$82</c:f>
              <c:numCache>
                <c:formatCode>General</c:formatCode>
                <c:ptCount val="72"/>
                <c:pt idx="0">
                  <c:v>19</c:v>
                </c:pt>
                <c:pt idx="1">
                  <c:v>18</c:v>
                </c:pt>
                <c:pt idx="2">
                  <c:v>17</c:v>
                </c:pt>
                <c:pt idx="3">
                  <c:v>21</c:v>
                </c:pt>
                <c:pt idx="4">
                  <c:v>18</c:v>
                </c:pt>
                <c:pt idx="5">
                  <c:v>20</c:v>
                </c:pt>
                <c:pt idx="6">
                  <c:v>25</c:v>
                </c:pt>
                <c:pt idx="7">
                  <c:v>24</c:v>
                </c:pt>
                <c:pt idx="8">
                  <c:v>21</c:v>
                </c:pt>
                <c:pt idx="9">
                  <c:v>16</c:v>
                </c:pt>
                <c:pt idx="10">
                  <c:v>21</c:v>
                </c:pt>
                <c:pt idx="11">
                  <c:v>23</c:v>
                </c:pt>
                <c:pt idx="12">
                  <c:v>17</c:v>
                </c:pt>
                <c:pt idx="13">
                  <c:v>10</c:v>
                </c:pt>
                <c:pt idx="14">
                  <c:v>24</c:v>
                </c:pt>
                <c:pt idx="15">
                  <c:v>22</c:v>
                </c:pt>
                <c:pt idx="16">
                  <c:v>26</c:v>
                </c:pt>
                <c:pt idx="17">
                  <c:v>24</c:v>
                </c:pt>
                <c:pt idx="18">
                  <c:v>29</c:v>
                </c:pt>
                <c:pt idx="19">
                  <c:v>27</c:v>
                </c:pt>
                <c:pt idx="20">
                  <c:v>19</c:v>
                </c:pt>
                <c:pt idx="21">
                  <c:v>28</c:v>
                </c:pt>
                <c:pt idx="22">
                  <c:v>27</c:v>
                </c:pt>
                <c:pt idx="23">
                  <c:v>29</c:v>
                </c:pt>
                <c:pt idx="24">
                  <c:v>35</c:v>
                </c:pt>
                <c:pt idx="25">
                  <c:v>22</c:v>
                </c:pt>
                <c:pt idx="26">
                  <c:v>23</c:v>
                </c:pt>
                <c:pt idx="27">
                  <c:v>17</c:v>
                </c:pt>
                <c:pt idx="28">
                  <c:v>16</c:v>
                </c:pt>
                <c:pt idx="29">
                  <c:v>18</c:v>
                </c:pt>
                <c:pt idx="30">
                  <c:v>8</c:v>
                </c:pt>
                <c:pt idx="31">
                  <c:v>16</c:v>
                </c:pt>
                <c:pt idx="32">
                  <c:v>20</c:v>
                </c:pt>
                <c:pt idx="33">
                  <c:v>20</c:v>
                </c:pt>
                <c:pt idx="34">
                  <c:v>23</c:v>
                </c:pt>
                <c:pt idx="35">
                  <c:v>25</c:v>
                </c:pt>
                <c:pt idx="36">
                  <c:v>13</c:v>
                </c:pt>
                <c:pt idx="37">
                  <c:v>22</c:v>
                </c:pt>
                <c:pt idx="38">
                  <c:v>26</c:v>
                </c:pt>
                <c:pt idx="39">
                  <c:v>20</c:v>
                </c:pt>
                <c:pt idx="40">
                  <c:v>30</c:v>
                </c:pt>
                <c:pt idx="41">
                  <c:v>13</c:v>
                </c:pt>
                <c:pt idx="42">
                  <c:v>23</c:v>
                </c:pt>
                <c:pt idx="43">
                  <c:v>14</c:v>
                </c:pt>
                <c:pt idx="44">
                  <c:v>22</c:v>
                </c:pt>
                <c:pt idx="45">
                  <c:v>18</c:v>
                </c:pt>
                <c:pt idx="46">
                  <c:v>19</c:v>
                </c:pt>
                <c:pt idx="47">
                  <c:v>20</c:v>
                </c:pt>
                <c:pt idx="48">
                  <c:v>23</c:v>
                </c:pt>
                <c:pt idx="49">
                  <c:v>11</c:v>
                </c:pt>
                <c:pt idx="50">
                  <c:v>15</c:v>
                </c:pt>
                <c:pt idx="51">
                  <c:v>9</c:v>
                </c:pt>
                <c:pt idx="52">
                  <c:v>25</c:v>
                </c:pt>
                <c:pt idx="53">
                  <c:v>18</c:v>
                </c:pt>
                <c:pt idx="54">
                  <c:v>24</c:v>
                </c:pt>
                <c:pt idx="55">
                  <c:v>15</c:v>
                </c:pt>
                <c:pt idx="56">
                  <c:v>18</c:v>
                </c:pt>
              </c:numCache>
            </c:numRef>
          </c:val>
          <c:smooth val="0"/>
        </c:ser>
        <c:ser>
          <c:idx val="1"/>
          <c:order val="1"/>
          <c:tx>
            <c:strRef>
              <c:f>'HAI - SAB'!$I$10</c:f>
              <c:strCache>
                <c:ptCount val="1"/>
                <c:pt idx="0">
                  <c:v>Baseline Median</c:v>
                </c:pt>
              </c:strCache>
            </c:strRef>
          </c:tx>
          <c:spPr>
            <a:ln w="25400">
              <a:solidFill>
                <a:schemeClr val="tx1"/>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SAB'!$I$11:$I$82</c:f>
              <c:numCache>
                <c:formatCode>General</c:formatCode>
                <c:ptCount val="7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ser>
        <c:ser>
          <c:idx val="2"/>
          <c:order val="2"/>
          <c:tx>
            <c:strRef>
              <c:f>'HAI - SAB'!$J$10</c:f>
              <c:strCache>
                <c:ptCount val="1"/>
                <c:pt idx="0">
                  <c:v>Extended Baseline Median</c:v>
                </c:pt>
              </c:strCache>
            </c:strRef>
          </c:tx>
          <c:spPr>
            <a:ln w="25400">
              <a:solidFill>
                <a:prstClr val="black"/>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SAB'!$J$11:$J$82</c:f>
              <c:numCache>
                <c:formatCode>General</c:formatCode>
                <c:ptCount val="72"/>
                <c:pt idx="11">
                  <c:v>20.5</c:v>
                </c:pt>
                <c:pt idx="12">
                  <c:v>20.5</c:v>
                </c:pt>
                <c:pt idx="13">
                  <c:v>20.5</c:v>
                </c:pt>
                <c:pt idx="14">
                  <c:v>20.5</c:v>
                </c:pt>
                <c:pt idx="15">
                  <c:v>20.5</c:v>
                </c:pt>
                <c:pt idx="16">
                  <c:v>20.5</c:v>
                </c:pt>
                <c:pt idx="17">
                  <c:v>20.5</c:v>
                </c:pt>
                <c:pt idx="18">
                  <c:v>20.5</c:v>
                </c:pt>
                <c:pt idx="19">
                  <c:v>20.5</c:v>
                </c:pt>
                <c:pt idx="20">
                  <c:v>20.5</c:v>
                </c:pt>
                <c:pt idx="21">
                  <c:v>20.5</c:v>
                </c:pt>
                <c:pt idx="22">
                  <c:v>20.5</c:v>
                </c:pt>
                <c:pt idx="23">
                  <c:v>20.5</c:v>
                </c:pt>
                <c:pt idx="24">
                  <c:v>20.5</c:v>
                </c:pt>
                <c:pt idx="25">
                  <c:v>20.5</c:v>
                </c:pt>
                <c:pt idx="26">
                  <c:v>20.5</c:v>
                </c:pt>
                <c:pt idx="27">
                  <c:v>20.5</c:v>
                </c:pt>
                <c:pt idx="28">
                  <c:v>20.5</c:v>
                </c:pt>
                <c:pt idx="29">
                  <c:v>20.5</c:v>
                </c:pt>
                <c:pt idx="30">
                  <c:v>20.5</c:v>
                </c:pt>
                <c:pt idx="31">
                  <c:v>20.5</c:v>
                </c:pt>
                <c:pt idx="32">
                  <c:v>20.5</c:v>
                </c:pt>
                <c:pt idx="33">
                  <c:v>20.5</c:v>
                </c:pt>
                <c:pt idx="34">
                  <c:v>20.5</c:v>
                </c:pt>
                <c:pt idx="35">
                  <c:v>20.5</c:v>
                </c:pt>
                <c:pt idx="36">
                  <c:v>20.5</c:v>
                </c:pt>
                <c:pt idx="37">
                  <c:v>20.5</c:v>
                </c:pt>
                <c:pt idx="38">
                  <c:v>20.5</c:v>
                </c:pt>
                <c:pt idx="39">
                  <c:v>20.5</c:v>
                </c:pt>
                <c:pt idx="40">
                  <c:v>20.5</c:v>
                </c:pt>
                <c:pt idx="41">
                  <c:v>20.5</c:v>
                </c:pt>
                <c:pt idx="42">
                  <c:v>20.5</c:v>
                </c:pt>
                <c:pt idx="43">
                  <c:v>20.5</c:v>
                </c:pt>
                <c:pt idx="44">
                  <c:v>20.5</c:v>
                </c:pt>
                <c:pt idx="45">
                  <c:v>20.5</c:v>
                </c:pt>
                <c:pt idx="46">
                  <c:v>20.5</c:v>
                </c:pt>
                <c:pt idx="47">
                  <c:v>20.5</c:v>
                </c:pt>
                <c:pt idx="48">
                  <c:v>20.5</c:v>
                </c:pt>
                <c:pt idx="49">
                  <c:v>20.5</c:v>
                </c:pt>
                <c:pt idx="50">
                  <c:v>20.5</c:v>
                </c:pt>
                <c:pt idx="51">
                  <c:v>20.5</c:v>
                </c:pt>
                <c:pt idx="52">
                  <c:v>20.5</c:v>
                </c:pt>
                <c:pt idx="53">
                  <c:v>20.5</c:v>
                </c:pt>
                <c:pt idx="54">
                  <c:v>20.5</c:v>
                </c:pt>
                <c:pt idx="55">
                  <c:v>20.5</c:v>
                </c:pt>
                <c:pt idx="56">
                  <c:v>20.5</c:v>
                </c:pt>
                <c:pt idx="57">
                  <c:v>20.5</c:v>
                </c:pt>
                <c:pt idx="58">
                  <c:v>20.5</c:v>
                </c:pt>
                <c:pt idx="59">
                  <c:v>20.5</c:v>
                </c:pt>
              </c:numCache>
            </c:numRef>
          </c:val>
          <c:smooth val="0"/>
        </c:ser>
        <c:dLbls>
          <c:showLegendKey val="0"/>
          <c:showVal val="0"/>
          <c:showCatName val="0"/>
          <c:showSerName val="0"/>
          <c:showPercent val="0"/>
          <c:showBubbleSize val="0"/>
        </c:dLbls>
        <c:marker val="1"/>
        <c:smooth val="0"/>
        <c:axId val="214153472"/>
        <c:axId val="214155264"/>
      </c:lineChart>
      <c:dateAx>
        <c:axId val="214153472"/>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214155264"/>
        <c:crosses val="autoZero"/>
        <c:auto val="1"/>
        <c:lblOffset val="100"/>
        <c:baseTimeUnit val="months"/>
        <c:majorUnit val="2"/>
        <c:majorTimeUnit val="months"/>
        <c:minorUnit val="1"/>
        <c:minorTimeUnit val="months"/>
      </c:dateAx>
      <c:valAx>
        <c:axId val="214155264"/>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318"/>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14153472"/>
        <c:crosses val="autoZero"/>
        <c:crossBetween val="between"/>
      </c:valAx>
      <c:spPr>
        <a:solidFill>
          <a:srgbClr val="FFFFFF"/>
        </a:solidFill>
        <a:ln w="12700">
          <a:solidFill>
            <a:srgbClr val="808080"/>
          </a:solidFill>
          <a:prstDash val="solid"/>
        </a:ln>
      </c:spPr>
    </c:plotArea>
    <c:legend>
      <c:legendPos val="r"/>
      <c:layout>
        <c:manualLayout>
          <c:xMode val="edge"/>
          <c:yMode val="edge"/>
          <c:x val="5.1451672179345827E-3"/>
          <c:y val="0.9003527336860665"/>
          <c:w val="0.98538772510104933"/>
          <c:h val="7.8483245149911923E-2"/>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30787037039156E-2"/>
          <c:y val="6.1904761904761914E-2"/>
          <c:w val="0.90813113425925918"/>
          <c:h val="0.71428571428571463"/>
        </c:manualLayout>
      </c:layout>
      <c:lineChart>
        <c:grouping val="standard"/>
        <c:varyColors val="0"/>
        <c:ser>
          <c:idx val="0"/>
          <c:order val="0"/>
          <c:tx>
            <c:strRef>
              <c:f>'HAI - SAB'!$F$10</c:f>
              <c:strCache>
                <c:ptCount val="1"/>
                <c:pt idx="0">
                  <c:v>Rate</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SAB'!$F$11:$F$82</c:f>
              <c:numCache>
                <c:formatCode>0.00</c:formatCode>
                <c:ptCount val="72"/>
                <c:pt idx="0">
                  <c:v>0.28250127621190574</c:v>
                </c:pt>
                <c:pt idx="1">
                  <c:v>0.27506703210106609</c:v>
                </c:pt>
                <c:pt idx="2">
                  <c:v>0.2676327879902265</c:v>
                </c:pt>
                <c:pt idx="3">
                  <c:v>0.28058781276188194</c:v>
                </c:pt>
                <c:pt idx="4">
                  <c:v>0.27942780396787481</c:v>
                </c:pt>
                <c:pt idx="5">
                  <c:v>0.28367013932471447</c:v>
                </c:pt>
                <c:pt idx="6">
                  <c:v>0.29678504375428777</c:v>
                </c:pt>
                <c:pt idx="7">
                  <c:v>0.30473123457533258</c:v>
                </c:pt>
                <c:pt idx="8">
                  <c:v>0.30589269685365122</c:v>
                </c:pt>
                <c:pt idx="9">
                  <c:v>0.29837691952069773</c:v>
                </c:pt>
                <c:pt idx="10">
                  <c:v>0.29906162617931098</c:v>
                </c:pt>
                <c:pt idx="11">
                  <c:v>0.3021159304611184</c:v>
                </c:pt>
                <c:pt idx="12">
                  <c:v>0.25341363067199335</c:v>
                </c:pt>
                <c:pt idx="13">
                  <c:v>0.20124023612187705</c:v>
                </c:pt>
                <c:pt idx="14">
                  <c:v>0.25341363067199335</c:v>
                </c:pt>
                <c:pt idx="15">
                  <c:v>0.27321075028163161</c:v>
                </c:pt>
                <c:pt idx="16">
                  <c:v>0.29717771227193862</c:v>
                </c:pt>
                <c:pt idx="17">
                  <c:v>0.3082127419657959</c:v>
                </c:pt>
                <c:pt idx="18">
                  <c:v>0.32607133382482389</c:v>
                </c:pt>
                <c:pt idx="19">
                  <c:v>0.33568605290087133</c:v>
                </c:pt>
                <c:pt idx="20">
                  <c:v>0.32982574206627496</c:v>
                </c:pt>
                <c:pt idx="21">
                  <c:v>0.33723105450360141</c:v>
                </c:pt>
                <c:pt idx="22">
                  <c:v>0.34188711779249925</c:v>
                </c:pt>
                <c:pt idx="23">
                  <c:v>0.34820962219255996</c:v>
                </c:pt>
                <c:pt idx="24">
                  <c:v>0.51063333122595767</c:v>
                </c:pt>
                <c:pt idx="25">
                  <c:v>0.41580142685542276</c:v>
                </c:pt>
                <c:pt idx="26">
                  <c:v>0.38905396664834868</c:v>
                </c:pt>
                <c:pt idx="27">
                  <c:v>0.35377616545539864</c:v>
                </c:pt>
                <c:pt idx="28">
                  <c:v>0.32969373494374293</c:v>
                </c:pt>
                <c:pt idx="29">
                  <c:v>0.31850230974957455</c:v>
                </c:pt>
                <c:pt idx="30">
                  <c:v>0.28899991475542086</c:v>
                </c:pt>
                <c:pt idx="31">
                  <c:v>0.28149165150243899</c:v>
                </c:pt>
                <c:pt idx="32">
                  <c:v>0.28211837041980825</c:v>
                </c:pt>
                <c:pt idx="33">
                  <c:v>0.28257470478188856</c:v>
                </c:pt>
                <c:pt idx="34">
                  <c:v>0.28689533189710198</c:v>
                </c:pt>
                <c:pt idx="35">
                  <c:v>0.29289988971053532</c:v>
                </c:pt>
                <c:pt idx="36">
                  <c:v>0.19578608111567944</c:v>
                </c:pt>
                <c:pt idx="37">
                  <c:v>0.26355818611726084</c:v>
                </c:pt>
                <c:pt idx="38">
                  <c:v>0.30622951148862682</c:v>
                </c:pt>
                <c:pt idx="39">
                  <c:v>0.30700308140129851</c:v>
                </c:pt>
                <c:pt idx="40">
                  <c:v>0.33791497328645143</c:v>
                </c:pt>
                <c:pt idx="41">
                  <c:v>0.3154180943150976</c:v>
                </c:pt>
                <c:pt idx="42">
                  <c:v>0.32061931146094075</c:v>
                </c:pt>
                <c:pt idx="43">
                  <c:v>0.3073420386003784</c:v>
                </c:pt>
                <c:pt idx="44">
                  <c:v>0.3105879956891065</c:v>
                </c:pt>
                <c:pt idx="45">
                  <c:v>0.30625133635792501</c:v>
                </c:pt>
                <c:pt idx="46">
                  <c:v>0.30410163998328366</c:v>
                </c:pt>
                <c:pt idx="47">
                  <c:v>0.30358188678672487</c:v>
                </c:pt>
                <c:pt idx="48">
                  <c:v>0.35553082297656585</c:v>
                </c:pt>
                <c:pt idx="49">
                  <c:v>0.26278365176528784</c:v>
                </c:pt>
                <c:pt idx="50">
                  <c:v>0.25247841051959025</c:v>
                </c:pt>
                <c:pt idx="51">
                  <c:v>0.22446283721026236</c:v>
                </c:pt>
                <c:pt idx="52">
                  <c:v>0.25719420744933585</c:v>
                </c:pt>
                <c:pt idx="53">
                  <c:v>0.26096033402922753</c:v>
                </c:pt>
                <c:pt idx="54">
                  <c:v>0.27627789577913681</c:v>
                </c:pt>
                <c:pt idx="55">
                  <c:v>0.27034646830960074</c:v>
                </c:pt>
                <c:pt idx="56">
                  <c:v>0.27088887555399344</c:v>
                </c:pt>
                <c:pt idx="57">
                  <c:v>0.24384120895854083</c:v>
                </c:pt>
                <c:pt idx="58">
                  <c:v>0.22170449597073125</c:v>
                </c:pt>
                <c:pt idx="59">
                  <c:v>0.2032525554506418</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ser>
        <c:ser>
          <c:idx val="1"/>
          <c:order val="1"/>
          <c:tx>
            <c:strRef>
              <c:f>'HAI - SAB'!$G$10</c:f>
              <c:strCache>
                <c:ptCount val="1"/>
                <c:pt idx="0">
                  <c:v>Target Rate (max)</c:v>
                </c:pt>
              </c:strCache>
            </c:strRef>
          </c:tx>
          <c:spPr>
            <a:ln w="25400">
              <a:solidFill>
                <a:srgbClr val="FF0000"/>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numCache>
            </c:numRef>
          </c:cat>
          <c:val>
            <c:numRef>
              <c:f>'HAI - SAB'!$G$11:$G$82</c:f>
              <c:numCache>
                <c:formatCode>0.00</c:formatCode>
                <c:ptCount val="72"/>
                <c:pt idx="0">
                  <c:v>0.24</c:v>
                </c:pt>
                <c:pt idx="1">
                  <c:v>0.24</c:v>
                </c:pt>
                <c:pt idx="2">
                  <c:v>0.24</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pt idx="51">
                  <c:v>0.24</c:v>
                </c:pt>
                <c:pt idx="52">
                  <c:v>0.24</c:v>
                </c:pt>
                <c:pt idx="53">
                  <c:v>0.24</c:v>
                </c:pt>
                <c:pt idx="54">
                  <c:v>0.24</c:v>
                </c:pt>
                <c:pt idx="55">
                  <c:v>0.24</c:v>
                </c:pt>
                <c:pt idx="56">
                  <c:v>0.24</c:v>
                </c:pt>
                <c:pt idx="57">
                  <c:v>0.24</c:v>
                </c:pt>
                <c:pt idx="58">
                  <c:v>0.24</c:v>
                </c:pt>
                <c:pt idx="59">
                  <c:v>0.24</c:v>
                </c:pt>
                <c:pt idx="60">
                  <c:v>0.24</c:v>
                </c:pt>
                <c:pt idx="61">
                  <c:v>0.24</c:v>
                </c:pt>
                <c:pt idx="62">
                  <c:v>0.24</c:v>
                </c:pt>
                <c:pt idx="63">
                  <c:v>0.24</c:v>
                </c:pt>
                <c:pt idx="64">
                  <c:v>0.24</c:v>
                </c:pt>
                <c:pt idx="65">
                  <c:v>0.24</c:v>
                </c:pt>
                <c:pt idx="66">
                  <c:v>0.24</c:v>
                </c:pt>
                <c:pt idx="67">
                  <c:v>0.24</c:v>
                </c:pt>
                <c:pt idx="68">
                  <c:v>0.24</c:v>
                </c:pt>
                <c:pt idx="69">
                  <c:v>0.24</c:v>
                </c:pt>
                <c:pt idx="70">
                  <c:v>0.24</c:v>
                </c:pt>
                <c:pt idx="71">
                  <c:v>0.24</c:v>
                </c:pt>
              </c:numCache>
            </c:numRef>
          </c:val>
          <c:smooth val="0"/>
        </c:ser>
        <c:dLbls>
          <c:showLegendKey val="0"/>
          <c:showVal val="0"/>
          <c:showCatName val="0"/>
          <c:showSerName val="0"/>
          <c:showPercent val="0"/>
          <c:showBubbleSize val="0"/>
        </c:dLbls>
        <c:marker val="1"/>
        <c:smooth val="0"/>
        <c:axId val="214623360"/>
        <c:axId val="214624896"/>
      </c:lineChart>
      <c:dateAx>
        <c:axId val="214623360"/>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214624896"/>
        <c:crosses val="autoZero"/>
        <c:auto val="1"/>
        <c:lblOffset val="100"/>
        <c:baseTimeUnit val="months"/>
        <c:majorUnit val="2"/>
        <c:majorTimeUnit val="months"/>
        <c:minorUnit val="1"/>
        <c:minorTimeUnit val="months"/>
      </c:dateAx>
      <c:valAx>
        <c:axId val="214624896"/>
        <c:scaling>
          <c:orientation val="minMax"/>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318"/>
            </c:manualLayout>
          </c:layout>
          <c:overlay val="0"/>
          <c:spPr>
            <a:noFill/>
            <a:ln w="25400">
              <a:noFill/>
            </a:ln>
          </c:spPr>
        </c:title>
        <c:numFmt formatCode="0.0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14623360"/>
        <c:crosses val="autoZero"/>
        <c:crossBetween val="between"/>
      </c:valAx>
      <c:spPr>
        <a:solidFill>
          <a:srgbClr val="FFFFFF"/>
        </a:solidFill>
        <a:ln w="12700">
          <a:solidFill>
            <a:srgbClr val="808080"/>
          </a:solidFill>
          <a:prstDash val="solid"/>
        </a:ln>
      </c:spPr>
    </c:plotArea>
    <c:legend>
      <c:legendPos val="r"/>
      <c:layout>
        <c:manualLayout>
          <c:xMode val="edge"/>
          <c:yMode val="edge"/>
          <c:x val="9.589930555555598E-3"/>
          <c:y val="0.87918871252204744"/>
          <c:w val="0.97941435185185044"/>
          <c:h val="0.12081128747795419"/>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891"/>
        </c:manualLayout>
      </c:layout>
      <c:lineChart>
        <c:grouping val="standard"/>
        <c:varyColors val="0"/>
        <c:ser>
          <c:idx val="4"/>
          <c:order val="0"/>
          <c:tx>
            <c:strRef>
              <c:f>'A&amp;E WT'!$A$16</c:f>
              <c:strCache>
                <c:ptCount val="1"/>
                <c:pt idx="0">
                  <c:v>RHSC</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WT'!$B$16:$AW$16</c:f>
              <c:numCache>
                <c:formatCode>0.0%</c:formatCode>
                <c:ptCount val="48"/>
                <c:pt idx="0">
                  <c:v>0.98481675392670154</c:v>
                </c:pt>
                <c:pt idx="1">
                  <c:v>0.98650752464971458</c:v>
                </c:pt>
                <c:pt idx="2">
                  <c:v>0.99079673941625035</c:v>
                </c:pt>
                <c:pt idx="3">
                  <c:v>0.98656859609849701</c:v>
                </c:pt>
                <c:pt idx="4">
                  <c:v>0.99011857707509876</c:v>
                </c:pt>
                <c:pt idx="5">
                  <c:v>0.98873377418564778</c:v>
                </c:pt>
                <c:pt idx="6">
                  <c:v>0.98581377353623934</c:v>
                </c:pt>
                <c:pt idx="7">
                  <c:v>0.97422680412371132</c:v>
                </c:pt>
                <c:pt idx="8">
                  <c:v>0.98346225660176045</c:v>
                </c:pt>
                <c:pt idx="9">
                  <c:v>0.97980871413390014</c:v>
                </c:pt>
                <c:pt idx="10">
                  <c:v>0.97550505050505054</c:v>
                </c:pt>
                <c:pt idx="11">
                  <c:v>0.97885970531710442</c:v>
                </c:pt>
                <c:pt idx="12">
                  <c:v>0.98250000000000004</c:v>
                </c:pt>
                <c:pt idx="13">
                  <c:v>0.98713195201744819</c:v>
                </c:pt>
                <c:pt idx="14">
                  <c:v>0.98203592814371254</c:v>
                </c:pt>
                <c:pt idx="15">
                  <c:v>0.99043919928294</c:v>
                </c:pt>
                <c:pt idx="16">
                  <c:v>0.98699999999999999</c:v>
                </c:pt>
                <c:pt idx="17">
                  <c:v>0.98599999999999999</c:v>
                </c:pt>
                <c:pt idx="18">
                  <c:v>0.9820100743583593</c:v>
                </c:pt>
                <c:pt idx="19">
                  <c:v>0.97199999999999998</c:v>
                </c:pt>
                <c:pt idx="20">
                  <c:v>0.97599999999999998</c:v>
                </c:pt>
                <c:pt idx="21">
                  <c:v>0.98199999999999998</c:v>
                </c:pt>
                <c:pt idx="22">
                  <c:v>0.97709999999999997</c:v>
                </c:pt>
                <c:pt idx="23">
                  <c:v>0.97699999999999998</c:v>
                </c:pt>
                <c:pt idx="24">
                  <c:v>0.98299999999999998</c:v>
                </c:pt>
                <c:pt idx="25">
                  <c:v>0.97799999999999998</c:v>
                </c:pt>
                <c:pt idx="26">
                  <c:v>0.98199999999999998</c:v>
                </c:pt>
                <c:pt idx="27">
                  <c:v>0.99</c:v>
                </c:pt>
                <c:pt idx="28">
                  <c:v>0.97899999999999998</c:v>
                </c:pt>
                <c:pt idx="29">
                  <c:v>0.98199999999999998</c:v>
                </c:pt>
                <c:pt idx="30">
                  <c:v>0.97799999999999998</c:v>
                </c:pt>
                <c:pt idx="31">
                  <c:v>0.96499999999999997</c:v>
                </c:pt>
                <c:pt idx="32">
                  <c:v>0.95599999999999996</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WT'!$A$17</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WT'!$B$17:$G$17</c:f>
              <c:numCache>
                <c:formatCode>0.0%</c:formatCode>
                <c:ptCount val="6"/>
                <c:pt idx="0">
                  <c:v>0.9876511851420724</c:v>
                </c:pt>
                <c:pt idx="1">
                  <c:v>0.9876511851420724</c:v>
                </c:pt>
                <c:pt idx="2">
                  <c:v>0.9876511851420724</c:v>
                </c:pt>
                <c:pt idx="3">
                  <c:v>0.9876511851420724</c:v>
                </c:pt>
                <c:pt idx="4">
                  <c:v>0.9876511851420724</c:v>
                </c:pt>
                <c:pt idx="5">
                  <c:v>0.9876511851420724</c:v>
                </c:pt>
              </c:numCache>
            </c:numRef>
          </c:val>
          <c:smooth val="0"/>
        </c:ser>
        <c:ser>
          <c:idx val="1"/>
          <c:order val="4"/>
          <c:tx>
            <c:strRef>
              <c:f>'A&amp;E WT'!$A$18</c:f>
              <c:strCache>
                <c:ptCount val="1"/>
                <c:pt idx="0">
                  <c:v>New Median</c:v>
                </c:pt>
              </c:strCache>
            </c:strRef>
          </c:tx>
          <c:spPr>
            <a:ln w="25400">
              <a:solidFill>
                <a:srgbClr val="E69F00"/>
              </a:solidFill>
              <a:prstDash val="solid"/>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WT'!$B$18:$M$18</c:f>
              <c:numCache>
                <c:formatCode>0.0%</c:formatCode>
                <c:ptCount val="12"/>
                <c:pt idx="6">
                  <c:v>0.97933420972550222</c:v>
                </c:pt>
                <c:pt idx="7">
                  <c:v>0.97933420972550222</c:v>
                </c:pt>
                <c:pt idx="8">
                  <c:v>0.97933420972550222</c:v>
                </c:pt>
                <c:pt idx="9">
                  <c:v>0.97933420972550222</c:v>
                </c:pt>
                <c:pt idx="10">
                  <c:v>0.97933420972550222</c:v>
                </c:pt>
                <c:pt idx="11">
                  <c:v>0.97933420972550222</c:v>
                </c:pt>
              </c:numCache>
            </c:numRef>
          </c:val>
          <c:smooth val="0"/>
        </c:ser>
        <c:ser>
          <c:idx val="2"/>
          <c:order val="5"/>
          <c:tx>
            <c:strRef>
              <c:f>'A&amp;E WT'!$A$19</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WT'!$B$19:$AW$19</c:f>
              <c:numCache>
                <c:formatCode>0.0%</c:formatCode>
                <c:ptCount val="48"/>
                <c:pt idx="11">
                  <c:v>0.97933420972550222</c:v>
                </c:pt>
                <c:pt idx="12">
                  <c:v>0.97933420972550222</c:v>
                </c:pt>
                <c:pt idx="13">
                  <c:v>0.97933420972550222</c:v>
                </c:pt>
                <c:pt idx="14">
                  <c:v>0.97933420972550222</c:v>
                </c:pt>
                <c:pt idx="15">
                  <c:v>0.97933420972550222</c:v>
                </c:pt>
                <c:pt idx="16">
                  <c:v>0.97933420972550222</c:v>
                </c:pt>
                <c:pt idx="17">
                  <c:v>0.97933420972550222</c:v>
                </c:pt>
                <c:pt idx="18">
                  <c:v>0.97933420972550222</c:v>
                </c:pt>
                <c:pt idx="19">
                  <c:v>0.97933420972550222</c:v>
                </c:pt>
                <c:pt idx="20">
                  <c:v>0.97933420972550222</c:v>
                </c:pt>
                <c:pt idx="21">
                  <c:v>0.97933420972550222</c:v>
                </c:pt>
                <c:pt idx="22">
                  <c:v>0.97933420972550222</c:v>
                </c:pt>
                <c:pt idx="23">
                  <c:v>0.97933420972550222</c:v>
                </c:pt>
                <c:pt idx="24">
                  <c:v>0.97933420972550222</c:v>
                </c:pt>
                <c:pt idx="25">
                  <c:v>0.97933420972550222</c:v>
                </c:pt>
                <c:pt idx="26">
                  <c:v>0.97933420972550222</c:v>
                </c:pt>
                <c:pt idx="27">
                  <c:v>0.97933420972550222</c:v>
                </c:pt>
                <c:pt idx="28">
                  <c:v>0.97933420972550222</c:v>
                </c:pt>
                <c:pt idx="29">
                  <c:v>0.97933420972550222</c:v>
                </c:pt>
                <c:pt idx="30">
                  <c:v>0.97933420972550222</c:v>
                </c:pt>
                <c:pt idx="31">
                  <c:v>0.97933420972550222</c:v>
                </c:pt>
                <c:pt idx="32">
                  <c:v>0.97933420972550222</c:v>
                </c:pt>
                <c:pt idx="33">
                  <c:v>0.97933420972550222</c:v>
                </c:pt>
                <c:pt idx="34">
                  <c:v>0.97933420972550222</c:v>
                </c:pt>
                <c:pt idx="35">
                  <c:v>0.97933420972550222</c:v>
                </c:pt>
                <c:pt idx="36">
                  <c:v>0.97933420972550222</c:v>
                </c:pt>
                <c:pt idx="37">
                  <c:v>0.97933420972550222</c:v>
                </c:pt>
                <c:pt idx="38">
                  <c:v>0.97933420972550222</c:v>
                </c:pt>
                <c:pt idx="39">
                  <c:v>0.97933420972550222</c:v>
                </c:pt>
                <c:pt idx="40">
                  <c:v>0.97933420972550222</c:v>
                </c:pt>
                <c:pt idx="41">
                  <c:v>0.97933420972550222</c:v>
                </c:pt>
                <c:pt idx="42">
                  <c:v>0.97933420972550222</c:v>
                </c:pt>
                <c:pt idx="43">
                  <c:v>0.97933420972550222</c:v>
                </c:pt>
                <c:pt idx="44">
                  <c:v>0.97933420972550222</c:v>
                </c:pt>
                <c:pt idx="45">
                  <c:v>0.97933420972550222</c:v>
                </c:pt>
                <c:pt idx="46">
                  <c:v>0.97933420972550222</c:v>
                </c:pt>
                <c:pt idx="47">
                  <c:v>0.97933420972550222</c:v>
                </c:pt>
              </c:numCache>
            </c:numRef>
          </c:val>
          <c:smooth val="0"/>
        </c:ser>
        <c:dLbls>
          <c:showLegendKey val="0"/>
          <c:showVal val="0"/>
          <c:showCatName val="0"/>
          <c:showSerName val="0"/>
          <c:showPercent val="0"/>
          <c:showBubbleSize val="0"/>
        </c:dLbls>
        <c:marker val="1"/>
        <c:smooth val="0"/>
        <c:axId val="187309440"/>
        <c:axId val="187323520"/>
      </c:lineChart>
      <c:dateAx>
        <c:axId val="1873094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7323520"/>
        <c:crosses val="autoZero"/>
        <c:auto val="1"/>
        <c:lblOffset val="100"/>
        <c:baseTimeUnit val="months"/>
        <c:majorUnit val="1"/>
        <c:majorTimeUnit val="months"/>
      </c:dateAx>
      <c:valAx>
        <c:axId val="187323520"/>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7309440"/>
        <c:crosses val="autoZero"/>
        <c:crossBetween val="between"/>
        <c:majorUnit val="2.0000000000000011E-2"/>
      </c:valAx>
    </c:plotArea>
    <c:legend>
      <c:legendPos val="r"/>
      <c:layout>
        <c:manualLayout>
          <c:xMode val="edge"/>
          <c:yMode val="edge"/>
          <c:x val="1.4986111111111235E-3"/>
          <c:y val="0.90201224846894057"/>
          <c:w val="0.97757067201592263"/>
          <c:h val="9.448818897637795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761"/>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pt idx="31">
                  <c:v>1251</c:v>
                </c:pt>
                <c:pt idx="32">
                  <c:v>1502</c:v>
                </c:pt>
              </c:numCache>
            </c:numRef>
          </c:val>
          <c:smooth val="0"/>
        </c:ser>
        <c:ser>
          <c:idx val="0"/>
          <c:order val="1"/>
          <c:tx>
            <c:strRef>
              <c:f>'Inpatient - TTG'!$A$20</c:f>
              <c:strCache>
                <c:ptCount val="1"/>
                <c:pt idx="0">
                  <c:v>Target (max)</c:v>
                </c:pt>
              </c:strCache>
            </c:strRef>
          </c:tx>
          <c:spPr>
            <a:ln w="25400">
              <a:solidFill>
                <a:srgbClr val="FF0000"/>
              </a:solidFill>
              <a:prstDash val="dash"/>
            </a:ln>
          </c:spPr>
          <c:marker>
            <c:symbol val="none"/>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TTG'!$B$20:$AW$20</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4674432"/>
        <c:axId val="214680320"/>
      </c:lineChart>
      <c:dateAx>
        <c:axId val="2146744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4680320"/>
        <c:crosses val="autoZero"/>
        <c:auto val="1"/>
        <c:lblOffset val="100"/>
        <c:baseTimeUnit val="months"/>
        <c:majorUnit val="1"/>
        <c:majorTimeUnit val="months"/>
      </c:dateAx>
      <c:valAx>
        <c:axId val="21468032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4674432"/>
        <c:crosses val="autoZero"/>
        <c:crossBetween val="between"/>
        <c:majorUnit val="100"/>
      </c:valAx>
    </c:plotArea>
    <c:legend>
      <c:legendPos val="r"/>
      <c:layout>
        <c:manualLayout>
          <c:xMode val="edge"/>
          <c:yMode val="edge"/>
          <c:x val="7.4237412715913484E-2"/>
          <c:y val="0.94973544973544977"/>
          <c:w val="0.877986034546133"/>
          <c:h val="3.4391534391531538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'Inpatient - TTG'!$A$26</c:f>
              <c:strCache>
                <c:ptCount val="1"/>
                <c:pt idx="0">
                  <c:v>% of patients seen within the 12 week Treatment Time Guarantee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pt idx="31">
                  <c:v>0.86146220570012388</c:v>
                </c:pt>
                <c:pt idx="32">
                  <c:v>0.87875910098132315</c:v>
                </c:pt>
              </c:numCache>
            </c:numRef>
          </c:val>
          <c:smooth val="0"/>
        </c:ser>
        <c:ser>
          <c:idx val="0"/>
          <c:order val="1"/>
          <c:tx>
            <c:strRef>
              <c:f>'Inpatient - TTG'!$A$27</c:f>
              <c:strCache>
                <c:ptCount val="1"/>
                <c:pt idx="0">
                  <c:v>Target (min)</c:v>
                </c:pt>
              </c:strCache>
            </c:strRef>
          </c:tx>
          <c:spPr>
            <a:ln w="25400">
              <a:solidFill>
                <a:srgbClr val="FF0000"/>
              </a:solidFill>
              <a:prstDash val="dash"/>
            </a:ln>
          </c:spPr>
          <c:marker>
            <c:symbol val="none"/>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TTG'!$B$27:$AW$27</c:f>
              <c:numCache>
                <c:formatCode>0.0%</c:formatCode>
                <c:ptCount val="4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205154944"/>
        <c:axId val="205160832"/>
      </c:lineChart>
      <c:dateAx>
        <c:axId val="205154944"/>
        <c:scaling>
          <c:orientation val="minMax"/>
        </c:scaling>
        <c:delete val="0"/>
        <c:axPos val="b"/>
        <c:numFmt formatCode="mmm\ yy" sourceLinked="0"/>
        <c:majorTickMark val="out"/>
        <c:minorTickMark val="none"/>
        <c:tickLblPos val="nextTo"/>
        <c:spPr>
          <a:ln>
            <a:solidFill>
              <a:schemeClr val="bg1">
                <a:lumMod val="50000"/>
              </a:schemeClr>
            </a:solidFill>
          </a:ln>
        </c:spPr>
        <c:txPr>
          <a:bodyPr rot="-5400000" vert="horz"/>
          <a:lstStyle/>
          <a:p>
            <a:pPr>
              <a:defRPr sz="800" b="0" i="0" u="none" strike="noStrike" baseline="0">
                <a:solidFill>
                  <a:srgbClr val="000000"/>
                </a:solidFill>
                <a:latin typeface="Arial"/>
                <a:ea typeface="Arial"/>
                <a:cs typeface="Arial"/>
              </a:defRPr>
            </a:pPr>
            <a:endParaRPr lang="en-US"/>
          </a:p>
        </c:txPr>
        <c:crossAx val="205160832"/>
        <c:crosses val="autoZero"/>
        <c:auto val="1"/>
        <c:lblOffset val="100"/>
        <c:baseTimeUnit val="months"/>
        <c:majorUnit val="1"/>
        <c:majorTimeUnit val="months"/>
      </c:dateAx>
      <c:valAx>
        <c:axId val="205160832"/>
        <c:scaling>
          <c:orientation val="minMax"/>
          <c:max val="1"/>
          <c:min val="0.5"/>
        </c:scaling>
        <c:delete val="0"/>
        <c:axPos val="l"/>
        <c:majorGridlines/>
        <c:numFmt formatCode="0.0%" sourceLinked="1"/>
        <c:majorTickMark val="out"/>
        <c:minorTickMark val="none"/>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205154944"/>
        <c:crosses val="autoZero"/>
        <c:crossBetween val="between"/>
      </c:valAx>
    </c:plotArea>
    <c:legend>
      <c:legendPos val="r"/>
      <c:layout>
        <c:manualLayout>
          <c:xMode val="edge"/>
          <c:yMode val="edge"/>
          <c:x val="0.19514884233737917"/>
          <c:y val="0.9285714285714286"/>
          <c:w val="0.6074972436604289"/>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805"/>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pt idx="31">
                  <c:v>1251</c:v>
                </c:pt>
                <c:pt idx="32">
                  <c:v>1502</c:v>
                </c:pt>
              </c:numCache>
            </c:numRef>
          </c:val>
          <c:smooth val="0"/>
        </c:ser>
        <c:dLbls>
          <c:showLegendKey val="0"/>
          <c:showVal val="0"/>
          <c:showCatName val="0"/>
          <c:showSerName val="0"/>
          <c:showPercent val="0"/>
          <c:showBubbleSize val="0"/>
        </c:dLbls>
        <c:marker val="1"/>
        <c:smooth val="0"/>
        <c:axId val="208145792"/>
        <c:axId val="213185664"/>
      </c:lineChart>
      <c:lineChart>
        <c:grouping val="standard"/>
        <c:varyColors val="0"/>
        <c:ser>
          <c:idx val="1"/>
          <c:order val="1"/>
          <c:tx>
            <c:strRef>
              <c:f>'Inpatient - TTG'!$A$26</c:f>
              <c:strCache>
                <c:ptCount val="1"/>
                <c:pt idx="0">
                  <c:v>% of patients seen within the 12 week Treatment Time Guarantee</c:v>
                </c:pt>
              </c:strCache>
            </c:strRef>
          </c:tx>
          <c:spPr>
            <a:ln w="25400">
              <a:solidFill>
                <a:srgbClr val="0070C0"/>
              </a:solidFill>
              <a:prstDash val="dash"/>
            </a:ln>
          </c:spPr>
          <c:marker>
            <c:symbol val="none"/>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pt idx="31">
                  <c:v>0.86146220570012388</c:v>
                </c:pt>
                <c:pt idx="32">
                  <c:v>0.87875910098132315</c:v>
                </c:pt>
              </c:numCache>
            </c:numRef>
          </c:val>
          <c:smooth val="0"/>
        </c:ser>
        <c:dLbls>
          <c:showLegendKey val="0"/>
          <c:showVal val="0"/>
          <c:showCatName val="0"/>
          <c:showSerName val="0"/>
          <c:showPercent val="0"/>
          <c:showBubbleSize val="0"/>
        </c:dLbls>
        <c:marker val="1"/>
        <c:smooth val="0"/>
        <c:axId val="213187200"/>
        <c:axId val="214106496"/>
      </c:lineChart>
      <c:dateAx>
        <c:axId val="2081457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3185664"/>
        <c:crosses val="autoZero"/>
        <c:auto val="1"/>
        <c:lblOffset val="100"/>
        <c:baseTimeUnit val="months"/>
        <c:majorUnit val="1"/>
        <c:majorTimeUnit val="months"/>
        <c:minorUnit val="1"/>
        <c:minorTimeUnit val="days"/>
      </c:dateAx>
      <c:valAx>
        <c:axId val="213185664"/>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08145792"/>
        <c:crosses val="autoZero"/>
        <c:crossBetween val="between"/>
        <c:majorUnit val="100"/>
      </c:valAx>
      <c:dateAx>
        <c:axId val="213187200"/>
        <c:scaling>
          <c:orientation val="minMax"/>
        </c:scaling>
        <c:delete val="1"/>
        <c:axPos val="b"/>
        <c:numFmt formatCode="mmm\ yy" sourceLinked="1"/>
        <c:majorTickMark val="out"/>
        <c:minorTickMark val="none"/>
        <c:tickLblPos val="none"/>
        <c:crossAx val="214106496"/>
        <c:crosses val="autoZero"/>
        <c:auto val="1"/>
        <c:lblOffset val="100"/>
        <c:baseTimeUnit val="days"/>
      </c:dateAx>
      <c:valAx>
        <c:axId val="214106496"/>
        <c:scaling>
          <c:orientation val="minMax"/>
          <c:max val="1"/>
        </c:scaling>
        <c:delete val="0"/>
        <c:axPos val="r"/>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3187200"/>
        <c:crosses val="max"/>
        <c:crossBetween val="between"/>
      </c:valAx>
    </c:plotArea>
    <c:legend>
      <c:legendPos val="b"/>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IVF!$A$13</c:f>
              <c:strCache>
                <c:ptCount val="1"/>
                <c:pt idx="0">
                  <c:v>% commenced within 12 months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IVF!$B$13:$AW$13</c:f>
              <c:numCache>
                <c:formatCode>0.0%</c:formatCode>
                <c:ptCount val="48"/>
                <c:pt idx="0">
                  <c:v>1</c:v>
                </c:pt>
                <c:pt idx="1">
                  <c:v>1</c:v>
                </c:pt>
                <c:pt idx="2">
                  <c:v>1</c:v>
                </c:pt>
                <c:pt idx="3">
                  <c:v>1</c:v>
                </c:pt>
                <c:pt idx="4">
                  <c:v>1</c:v>
                </c:pt>
                <c:pt idx="5">
                  <c:v>1</c:v>
                </c:pt>
                <c:pt idx="6">
                  <c:v>1</c:v>
                </c:pt>
                <c:pt idx="7">
                  <c:v>1</c:v>
                </c:pt>
                <c:pt idx="8">
                  <c:v>1</c:v>
                </c:pt>
                <c:pt idx="9">
                  <c:v>0.967741935483871</c:v>
                </c:pt>
                <c:pt idx="10">
                  <c:v>1</c:v>
                </c:pt>
                <c:pt idx="11">
                  <c:v>1</c:v>
                </c:pt>
                <c:pt idx="12">
                  <c:v>1</c:v>
                </c:pt>
                <c:pt idx="13">
                  <c:v>0.96551724137931039</c:v>
                </c:pt>
                <c:pt idx="14">
                  <c:v>1</c:v>
                </c:pt>
                <c:pt idx="15">
                  <c:v>1</c:v>
                </c:pt>
                <c:pt idx="16">
                  <c:v>1</c:v>
                </c:pt>
                <c:pt idx="17">
                  <c:v>1</c:v>
                </c:pt>
                <c:pt idx="18">
                  <c:v>1</c:v>
                </c:pt>
                <c:pt idx="19">
                  <c:v>0.97222222222222221</c:v>
                </c:pt>
                <c:pt idx="20">
                  <c:v>1</c:v>
                </c:pt>
                <c:pt idx="21">
                  <c:v>1</c:v>
                </c:pt>
                <c:pt idx="22">
                  <c:v>1</c:v>
                </c:pt>
                <c:pt idx="23">
                  <c:v>1</c:v>
                </c:pt>
                <c:pt idx="24">
                  <c:v>0.94117647058823528</c:v>
                </c:pt>
                <c:pt idx="25">
                  <c:v>1</c:v>
                </c:pt>
                <c:pt idx="26">
                  <c:v>1</c:v>
                </c:pt>
                <c:pt idx="27">
                  <c:v>1</c:v>
                </c:pt>
                <c:pt idx="28">
                  <c:v>1</c:v>
                </c:pt>
                <c:pt idx="29">
                  <c:v>1</c:v>
                </c:pt>
                <c:pt idx="30">
                  <c:v>1</c:v>
                </c:pt>
                <c:pt idx="31">
                  <c:v>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0"/>
          <c:order val="1"/>
          <c:tx>
            <c:strRef>
              <c:f>IVF!$A$14</c:f>
              <c:strCache>
                <c:ptCount val="1"/>
                <c:pt idx="0">
                  <c:v>Target</c:v>
                </c:pt>
              </c:strCache>
            </c:strRef>
          </c:tx>
          <c:spPr>
            <a:ln w="25400">
              <a:solidFill>
                <a:srgbClr val="FF0000"/>
              </a:solidFill>
              <a:prstDash val="dash"/>
            </a:ln>
          </c:spPr>
          <c:marker>
            <c:symbol val="none"/>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IVF!$B$14:$AW$14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214338560"/>
        <c:axId val="214344448"/>
      </c:lineChart>
      <c:dateAx>
        <c:axId val="2143385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4344448"/>
        <c:crosses val="autoZero"/>
        <c:auto val="1"/>
        <c:lblOffset val="100"/>
        <c:baseTimeUnit val="months"/>
        <c:majorUnit val="1"/>
        <c:majorTimeUnit val="months"/>
      </c:dateAx>
      <c:valAx>
        <c:axId val="214344448"/>
        <c:scaling>
          <c:orientation val="minMax"/>
          <c:max val="1"/>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4338560"/>
        <c:crosses val="autoZero"/>
        <c:crossBetween val="between"/>
      </c:valAx>
    </c:plotArea>
    <c:legend>
      <c:legendPos val="r"/>
      <c:layout>
        <c:manualLayout>
          <c:xMode val="edge"/>
          <c:yMode val="edge"/>
          <c:x val="0.19514884233737917"/>
          <c:y val="0.9285714285714286"/>
          <c:w val="0.6074972436604289"/>
          <c:h val="5.8201058201058246E-2"/>
        </c:manualLayout>
      </c:layout>
      <c:overlay val="0"/>
      <c:txPr>
        <a:bodyPr/>
        <a:lstStyle/>
        <a:p>
          <a:pPr>
            <a:defRPr sz="57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pt idx="31">
                  <c:v>23042</c:v>
                </c:pt>
                <c:pt idx="32">
                  <c:v>23940</c:v>
                </c:pt>
              </c:numCache>
            </c:numRef>
          </c:val>
          <c:smooth val="0"/>
        </c:ser>
        <c:ser>
          <c:idx val="0"/>
          <c:order val="1"/>
          <c:tx>
            <c:strRef>
              <c:f>Outpatient!$A$23</c:f>
              <c:strCache>
                <c:ptCount val="1"/>
                <c:pt idx="0">
                  <c:v>Target (max)</c:v>
                </c:pt>
              </c:strCache>
            </c:strRef>
          </c:tx>
          <c:spPr>
            <a:ln w="25400">
              <a:solidFill>
                <a:srgbClr val="FF0000"/>
              </a:solidFill>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Outpatient!$B$23:$AW$23</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5285760"/>
        <c:axId val="215287296"/>
      </c:lineChart>
      <c:dateAx>
        <c:axId val="2152857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287296"/>
        <c:crosses val="autoZero"/>
        <c:auto val="1"/>
        <c:lblOffset val="100"/>
        <c:baseTimeUnit val="months"/>
        <c:majorUnit val="1"/>
        <c:majorTimeUnit val="months"/>
      </c:dateAx>
      <c:valAx>
        <c:axId val="21528729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285760"/>
        <c:crosses val="autoZero"/>
        <c:crossBetween val="between"/>
        <c:majorUnit val="2000"/>
      </c:valAx>
    </c:plotArea>
    <c:legend>
      <c:legendPos val="r"/>
      <c:layout>
        <c:manualLayout>
          <c:xMode val="edge"/>
          <c:yMode val="edge"/>
          <c:x val="0.20102903344358689"/>
          <c:y val="0.93474426807760169"/>
          <c:w val="0.59827356200100057"/>
          <c:h val="6.525573192239893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Outpatient!$A$32</c:f>
              <c:strCache>
                <c:ptCount val="1"/>
                <c:pt idx="0">
                  <c:v>% of patients waiting 12 weeks or less for a new outpatient appointment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Outpatient!$B$32:$AW$32</c:f>
              <c:numCache>
                <c:formatCode>0.0%</c:formatCode>
                <c:ptCount val="48"/>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pt idx="31">
                  <c:v>0.63928112965340178</c:v>
                </c:pt>
                <c:pt idx="32">
                  <c:v>0.62038563998477736</c:v>
                </c:pt>
              </c:numCache>
            </c:numRef>
          </c:val>
          <c:smooth val="0"/>
        </c:ser>
        <c:ser>
          <c:idx val="0"/>
          <c:order val="1"/>
          <c:tx>
            <c:strRef>
              <c:f>Outpatient!$A$33</c:f>
              <c:strCache>
                <c:ptCount val="1"/>
                <c:pt idx="0">
                  <c:v>Target (min)</c:v>
                </c:pt>
              </c:strCache>
            </c:strRef>
          </c:tx>
          <c:spPr>
            <a:ln w="25400">
              <a:solidFill>
                <a:srgbClr val="FF0000"/>
              </a:solidFill>
              <a:prstDash val="dash"/>
            </a:ln>
          </c:spPr>
          <c:marker>
            <c:symbol val="none"/>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Outpatient!$B$33:$AW$33</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215334272"/>
        <c:axId val="215340160"/>
      </c:lineChart>
      <c:dateAx>
        <c:axId val="2153342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340160"/>
        <c:crosses val="autoZero"/>
        <c:auto val="1"/>
        <c:lblOffset val="100"/>
        <c:baseTimeUnit val="months"/>
        <c:majorUnit val="1"/>
        <c:majorTimeUnit val="months"/>
      </c:dateAx>
      <c:valAx>
        <c:axId val="215340160"/>
        <c:scaling>
          <c:orientation val="minMax"/>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334272"/>
        <c:crosses val="autoZero"/>
        <c:crossBetween val="between"/>
      </c:valAx>
    </c:plotArea>
    <c:legend>
      <c:legendPos val="r"/>
      <c:layout>
        <c:manualLayout>
          <c:xMode val="edge"/>
          <c:yMode val="edge"/>
          <c:x val="0.11074197120708749"/>
          <c:y val="0.9285714285714286"/>
          <c:w val="0.78294573643413012"/>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805"/>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pt idx="31">
                  <c:v>23042</c:v>
                </c:pt>
                <c:pt idx="32">
                  <c:v>23940</c:v>
                </c:pt>
              </c:numCache>
            </c:numRef>
          </c:val>
          <c:smooth val="0"/>
        </c:ser>
        <c:dLbls>
          <c:showLegendKey val="0"/>
          <c:showVal val="0"/>
          <c:showCatName val="0"/>
          <c:showSerName val="0"/>
          <c:showPercent val="0"/>
          <c:showBubbleSize val="0"/>
        </c:dLbls>
        <c:marker val="1"/>
        <c:smooth val="0"/>
        <c:axId val="215368064"/>
        <c:axId val="215369600"/>
      </c:lineChart>
      <c:lineChart>
        <c:grouping val="standard"/>
        <c:varyColors val="0"/>
        <c:ser>
          <c:idx val="0"/>
          <c:order val="1"/>
          <c:tx>
            <c:strRef>
              <c:f>Outpatient!$A$32</c:f>
              <c:strCache>
                <c:ptCount val="1"/>
                <c:pt idx="0">
                  <c:v>% of patients waiting 12 weeks or less for a new outpatient appointment</c:v>
                </c:pt>
              </c:strCache>
            </c:strRef>
          </c:tx>
          <c:spPr>
            <a:ln w="25400">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Outpatient!$B$32:$AV$32</c:f>
              <c:numCache>
                <c:formatCode>0.0%</c:formatCode>
                <c:ptCount val="47"/>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pt idx="31">
                  <c:v>0.63928112965340178</c:v>
                </c:pt>
                <c:pt idx="32">
                  <c:v>0.62038563998477736</c:v>
                </c:pt>
              </c:numCache>
            </c:numRef>
          </c:val>
          <c:smooth val="0"/>
        </c:ser>
        <c:dLbls>
          <c:showLegendKey val="0"/>
          <c:showVal val="0"/>
          <c:showCatName val="0"/>
          <c:showSerName val="0"/>
          <c:showPercent val="0"/>
          <c:showBubbleSize val="0"/>
        </c:dLbls>
        <c:marker val="1"/>
        <c:smooth val="0"/>
        <c:axId val="215385216"/>
        <c:axId val="215371136"/>
      </c:lineChart>
      <c:dateAx>
        <c:axId val="2153680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369600"/>
        <c:crosses val="autoZero"/>
        <c:auto val="1"/>
        <c:lblOffset val="100"/>
        <c:baseTimeUnit val="months"/>
        <c:majorUnit val="1"/>
        <c:majorTimeUnit val="months"/>
        <c:minorUnit val="1"/>
        <c:minorTimeUnit val="days"/>
      </c:dateAx>
      <c:valAx>
        <c:axId val="21536960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368064"/>
        <c:crosses val="autoZero"/>
        <c:crossBetween val="between"/>
        <c:majorUnit val="2000"/>
      </c:valAx>
      <c:valAx>
        <c:axId val="215371136"/>
        <c:scaling>
          <c:orientation val="minMax"/>
        </c:scaling>
        <c:delete val="0"/>
        <c:axPos val="r"/>
        <c:numFmt formatCode="0.0%" sourceLinked="1"/>
        <c:majorTickMark val="out"/>
        <c:minorTickMark val="none"/>
        <c:tickLblPos val="nextTo"/>
        <c:crossAx val="215385216"/>
        <c:crosses val="max"/>
        <c:crossBetween val="between"/>
      </c:valAx>
      <c:dateAx>
        <c:axId val="215385216"/>
        <c:scaling>
          <c:orientation val="minMax"/>
        </c:scaling>
        <c:delete val="1"/>
        <c:axPos val="b"/>
        <c:numFmt formatCode="mmm\ yy" sourceLinked="1"/>
        <c:majorTickMark val="out"/>
        <c:minorTickMark val="none"/>
        <c:tickLblPos val="none"/>
        <c:crossAx val="215371136"/>
        <c:crosses val="autoZero"/>
        <c:auto val="1"/>
        <c:lblOffset val="100"/>
        <c:baseTimeUnit val="days"/>
        <c:majorUnit val="1"/>
        <c:minorUnit val="1"/>
      </c:dateAx>
    </c:plotArea>
    <c:legend>
      <c:legendPos val="b"/>
      <c:layout>
        <c:manualLayout>
          <c:xMode val="edge"/>
          <c:yMode val="edge"/>
          <c:x val="0.11017683980241168"/>
          <c:y val="0.933525253787721"/>
          <c:w val="0.77964620464339263"/>
          <c:h val="5.236539876959827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88285312650592E-2"/>
          <c:y val="3.9855072463769126E-2"/>
          <c:w val="0.9545551000881447"/>
          <c:h val="0.76882722222223165"/>
        </c:manualLayout>
      </c:layout>
      <c:lineChart>
        <c:grouping val="standard"/>
        <c:varyColors val="0"/>
        <c:ser>
          <c:idx val="0"/>
          <c:order val="0"/>
          <c:tx>
            <c:strRef>
              <c:f>'Patient Experience'!$B$11</c:f>
              <c:strCache>
                <c:ptCount val="1"/>
                <c:pt idx="0">
                  <c:v>Average of Weighted Response Scores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'Patient Experience'!$B$12:$B$59</c:f>
              <c:numCache>
                <c:formatCode>0.0</c:formatCode>
                <c:ptCount val="48"/>
                <c:pt idx="0">
                  <c:v>8.5</c:v>
                </c:pt>
                <c:pt idx="1">
                  <c:v>8.6</c:v>
                </c:pt>
                <c:pt idx="2">
                  <c:v>8.5</c:v>
                </c:pt>
                <c:pt idx="3">
                  <c:v>8.6999999999999993</c:v>
                </c:pt>
                <c:pt idx="4">
                  <c:v>8.6999999999999993</c:v>
                </c:pt>
                <c:pt idx="5">
                  <c:v>8.6999999999999993</c:v>
                </c:pt>
                <c:pt idx="6">
                  <c:v>8.6</c:v>
                </c:pt>
                <c:pt idx="7">
                  <c:v>8.6999999999999993</c:v>
                </c:pt>
                <c:pt idx="8">
                  <c:v>8.6999999999999993</c:v>
                </c:pt>
                <c:pt idx="9">
                  <c:v>8.4</c:v>
                </c:pt>
                <c:pt idx="10">
                  <c:v>8.6999999999999993</c:v>
                </c:pt>
                <c:pt idx="11">
                  <c:v>8.5</c:v>
                </c:pt>
                <c:pt idx="12">
                  <c:v>8.6999999999999993</c:v>
                </c:pt>
                <c:pt idx="13">
                  <c:v>8.9</c:v>
                </c:pt>
                <c:pt idx="14">
                  <c:v>8.8000000000000007</c:v>
                </c:pt>
                <c:pt idx="15">
                  <c:v>9.1</c:v>
                </c:pt>
                <c:pt idx="16">
                  <c:v>9</c:v>
                </c:pt>
                <c:pt idx="17">
                  <c:v>9</c:v>
                </c:pt>
                <c:pt idx="18">
                  <c:v>8.9</c:v>
                </c:pt>
                <c:pt idx="19">
                  <c:v>9</c:v>
                </c:pt>
                <c:pt idx="20">
                  <c:v>8.9</c:v>
                </c:pt>
                <c:pt idx="21">
                  <c:v>8.8000000000000007</c:v>
                </c:pt>
                <c:pt idx="22">
                  <c:v>8.9</c:v>
                </c:pt>
                <c:pt idx="23">
                  <c:v>8.8000000000000007</c:v>
                </c:pt>
                <c:pt idx="24">
                  <c:v>8.9</c:v>
                </c:pt>
                <c:pt idx="25">
                  <c:v>9</c:v>
                </c:pt>
                <c:pt idx="26">
                  <c:v>8.9</c:v>
                </c:pt>
                <c:pt idx="27">
                  <c:v>8.9</c:v>
                </c:pt>
                <c:pt idx="28">
                  <c:v>8.9</c:v>
                </c:pt>
                <c:pt idx="29">
                  <c:v>9</c:v>
                </c:pt>
                <c:pt idx="30">
                  <c:v>9</c:v>
                </c:pt>
                <c:pt idx="31">
                  <c:v>8.8000000000000007</c:v>
                </c:pt>
              </c:numCache>
            </c:numRef>
          </c:val>
          <c:smooth val="0"/>
        </c:ser>
        <c:ser>
          <c:idx val="1"/>
          <c:order val="1"/>
          <c:tx>
            <c:strRef>
              <c:f>'Patient Experience'!$C$11</c:f>
              <c:strCache>
                <c:ptCount val="1"/>
                <c:pt idx="0">
                  <c:v>Target (min)</c:v>
                </c:pt>
              </c:strCache>
            </c:strRef>
          </c:tx>
          <c:spPr>
            <a:ln w="25400">
              <a:solidFill>
                <a:srgbClr val="FF0000"/>
              </a:solidFill>
              <a:prstDash val="sysDash"/>
            </a:ln>
          </c:spPr>
          <c:marker>
            <c:symbol val="none"/>
          </c:marker>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'Patient Experience'!$C$12:$C$59</c:f>
              <c:numCache>
                <c:formatCode>0.0</c:formatCode>
                <c:ptCount val="48"/>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numCache>
            </c:numRef>
          </c:val>
          <c:smooth val="0"/>
        </c:ser>
        <c:dLbls>
          <c:showLegendKey val="0"/>
          <c:showVal val="0"/>
          <c:showCatName val="0"/>
          <c:showSerName val="0"/>
          <c:showPercent val="0"/>
          <c:showBubbleSize val="0"/>
        </c:dLbls>
        <c:marker val="1"/>
        <c:smooth val="0"/>
        <c:axId val="215143168"/>
        <c:axId val="215144704"/>
      </c:lineChart>
      <c:dateAx>
        <c:axId val="2151431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144704"/>
        <c:crosses val="autoZero"/>
        <c:auto val="1"/>
        <c:lblOffset val="100"/>
        <c:baseTimeUnit val="months"/>
        <c:majorUnit val="1"/>
        <c:majorTimeUnit val="months"/>
      </c:dateAx>
      <c:valAx>
        <c:axId val="215144704"/>
        <c:scaling>
          <c:orientation val="minMax"/>
          <c:max val="10"/>
          <c:min val="0"/>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143168"/>
        <c:crosses val="autoZero"/>
        <c:crossBetween val="between"/>
        <c:majorUnit val="1"/>
      </c:valAx>
    </c:plotArea>
    <c:legend>
      <c:legendPos val="r"/>
      <c:layout>
        <c:manualLayout>
          <c:xMode val="edge"/>
          <c:yMode val="edge"/>
          <c:x val="0.34781098889651657"/>
          <c:y val="0.92796511547167715"/>
          <c:w val="0.32833956946120901"/>
          <c:h val="6.52174033801308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150720155466"/>
          <c:h val="0.75521638888888887"/>
        </c:manualLayout>
      </c:layout>
      <c:lineChart>
        <c:grouping val="standard"/>
        <c:varyColors val="0"/>
        <c:ser>
          <c:idx val="4"/>
          <c:order val="0"/>
          <c:tx>
            <c:strRef>
              <c:f>'P.R. Surveillance Endoscopy'!$A$40</c:f>
              <c:strCache>
                <c:ptCount val="1"/>
                <c:pt idx="0">
                  <c:v>Total Planned Repeat Surveillance Endoscopy Patients Waiting &amp; Overdue Appointment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Endoscopy'!$B$17:$AW$17</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pt idx="29">
                  <c:v>4434</c:v>
                </c:pt>
                <c:pt idx="30">
                  <c:v>4437</c:v>
                </c:pt>
                <c:pt idx="31">
                  <c:v>4371</c:v>
                </c:pt>
                <c:pt idx="32">
                  <c:v>4416</c:v>
                </c:pt>
              </c:numCache>
            </c:numRef>
          </c:val>
          <c:smooth val="0"/>
        </c:ser>
        <c:ser>
          <c:idx val="0"/>
          <c:order val="1"/>
          <c:tx>
            <c:strRef>
              <c:f>'P.R. Surveillance Endoscopy'!$A$38</c:f>
              <c:strCache>
                <c:ptCount val="1"/>
                <c:pt idx="0">
                  <c:v>Target (max)</c:v>
                </c:pt>
              </c:strCache>
            </c:strRef>
          </c:tx>
          <c:spPr>
            <a:ln>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215217280"/>
        <c:axId val="215218816"/>
      </c:lineChart>
      <c:dateAx>
        <c:axId val="21521728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218816"/>
        <c:crosses val="autoZero"/>
        <c:auto val="1"/>
        <c:lblOffset val="100"/>
        <c:baseTimeUnit val="months"/>
        <c:majorUnit val="1"/>
        <c:majorTimeUnit val="months"/>
      </c:dateAx>
      <c:valAx>
        <c:axId val="21521881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217280"/>
        <c:crosses val="autoZero"/>
        <c:crossBetween val="between"/>
      </c:valAx>
    </c:plotArea>
    <c:legend>
      <c:legendPos val="r"/>
      <c:layout>
        <c:manualLayout>
          <c:xMode val="edge"/>
          <c:yMode val="edge"/>
          <c:x val="3.7418468932372134E-2"/>
          <c:y val="0.93386243386243351"/>
          <c:w val="0.92173017507723198"/>
          <c:h val="4.76190476190480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50221858469122E-2"/>
          <c:y val="2.9451131676073643E-2"/>
          <c:w val="0.93356080489938753"/>
          <c:h val="0.7832397110155046"/>
        </c:manualLayout>
      </c:layout>
      <c:lineChart>
        <c:grouping val="standard"/>
        <c:varyColors val="0"/>
        <c:ser>
          <c:idx val="0"/>
          <c:order val="0"/>
          <c:tx>
            <c:strRef>
              <c:f>'P.R. Surveillance Endoscopy'!$A$153</c:f>
              <c:strCache>
                <c:ptCount val="1"/>
                <c:pt idx="0">
                  <c:v>Total &gt; 6 Weeks Overdue</c:v>
                </c:pt>
              </c:strCache>
            </c:strRef>
          </c:tx>
          <c:spPr>
            <a:ln w="25400">
              <a:solidFill>
                <a:srgbClr val="0070C0"/>
              </a:solidFill>
            </a:ln>
          </c:spPr>
          <c:marker>
            <c:symbol val="circle"/>
            <c:size val="5"/>
          </c:marker>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Endoscopy'!$B$153:$AW$153</c:f>
              <c:numCache>
                <c:formatCode>#,##0</c:formatCode>
                <c:ptCount val="48"/>
                <c:pt idx="0">
                  <c:v>613</c:v>
                </c:pt>
                <c:pt idx="1">
                  <c:v>632</c:v>
                </c:pt>
                <c:pt idx="2">
                  <c:v>632</c:v>
                </c:pt>
                <c:pt idx="3">
                  <c:v>811</c:v>
                </c:pt>
                <c:pt idx="4">
                  <c:v>920</c:v>
                </c:pt>
                <c:pt idx="5">
                  <c:v>1068</c:v>
                </c:pt>
                <c:pt idx="6">
                  <c:v>1116</c:v>
                </c:pt>
                <c:pt idx="7">
                  <c:v>1357</c:v>
                </c:pt>
                <c:pt idx="8">
                  <c:v>1598</c:v>
                </c:pt>
                <c:pt idx="9">
                  <c:v>1751</c:v>
                </c:pt>
                <c:pt idx="10">
                  <c:v>1781</c:v>
                </c:pt>
                <c:pt idx="11">
                  <c:v>1868</c:v>
                </c:pt>
                <c:pt idx="12">
                  <c:v>2043</c:v>
                </c:pt>
                <c:pt idx="13">
                  <c:v>2179</c:v>
                </c:pt>
                <c:pt idx="14">
                  <c:v>2443</c:v>
                </c:pt>
                <c:pt idx="15">
                  <c:v>2580</c:v>
                </c:pt>
                <c:pt idx="16">
                  <c:v>2632</c:v>
                </c:pt>
                <c:pt idx="17">
                  <c:v>2811</c:v>
                </c:pt>
                <c:pt idx="18">
                  <c:v>3088</c:v>
                </c:pt>
                <c:pt idx="19">
                  <c:v>3289</c:v>
                </c:pt>
                <c:pt idx="20">
                  <c:v>3251</c:v>
                </c:pt>
                <c:pt idx="21">
                  <c:v>3613</c:v>
                </c:pt>
                <c:pt idx="22">
                  <c:v>3644</c:v>
                </c:pt>
                <c:pt idx="23">
                  <c:v>3564</c:v>
                </c:pt>
                <c:pt idx="24">
                  <c:v>3717</c:v>
                </c:pt>
                <c:pt idx="25">
                  <c:v>3837</c:v>
                </c:pt>
                <c:pt idx="26">
                  <c:v>3365</c:v>
                </c:pt>
                <c:pt idx="27">
                  <c:v>3923</c:v>
                </c:pt>
                <c:pt idx="28">
                  <c:v>3951</c:v>
                </c:pt>
                <c:pt idx="29">
                  <c:v>3961</c:v>
                </c:pt>
                <c:pt idx="30">
                  <c:v>3845</c:v>
                </c:pt>
                <c:pt idx="31">
                  <c:v>3545</c:v>
                </c:pt>
                <c:pt idx="32">
                  <c:v>3551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Endoscopy'!$A$38</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Endoscopy'!$A$154</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Endoscopy'!$B$154:$M$154</c:f>
              <c:numCache>
                <c:formatCode>#,##0</c:formatCode>
                <c:ptCount val="12"/>
                <c:pt idx="0">
                  <c:v>1092</c:v>
                </c:pt>
                <c:pt idx="1">
                  <c:v>1092</c:v>
                </c:pt>
                <c:pt idx="2">
                  <c:v>1092</c:v>
                </c:pt>
                <c:pt idx="3">
                  <c:v>1092</c:v>
                </c:pt>
                <c:pt idx="4">
                  <c:v>1092</c:v>
                </c:pt>
                <c:pt idx="5">
                  <c:v>1092</c:v>
                </c:pt>
                <c:pt idx="6">
                  <c:v>1092</c:v>
                </c:pt>
                <c:pt idx="7">
                  <c:v>1092</c:v>
                </c:pt>
                <c:pt idx="8">
                  <c:v>1092</c:v>
                </c:pt>
                <c:pt idx="9">
                  <c:v>1092</c:v>
                </c:pt>
                <c:pt idx="10">
                  <c:v>1092</c:v>
                </c:pt>
                <c:pt idx="11">
                  <c:v>1092</c:v>
                </c:pt>
              </c:numCache>
            </c:numRef>
          </c:val>
          <c:smooth val="0"/>
        </c:ser>
        <c:ser>
          <c:idx val="4"/>
          <c:order val="3"/>
          <c:tx>
            <c:strRef>
              <c:f>'P.R. Surveillance Endoscopy'!$A$155</c:f>
              <c:strCache>
                <c:ptCount val="1"/>
                <c:pt idx="0">
                  <c:v>New Median</c:v>
                </c:pt>
              </c:strCache>
            </c:strRef>
          </c:tx>
          <c:spPr>
            <a:ln w="25400">
              <a:solidFill>
                <a:srgbClr val="E69F00"/>
              </a:solidFill>
            </a:ln>
          </c:spPr>
          <c:marker>
            <c:symbol val="none"/>
          </c:marker>
          <c:dPt>
            <c:idx val="12"/>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Endoscopy'!$B$155:$AW$155</c:f>
              <c:numCache>
                <c:formatCode>#,##0</c:formatCode>
                <c:ptCount val="48"/>
                <c:pt idx="12">
                  <c:v>2949.5</c:v>
                </c:pt>
                <c:pt idx="13">
                  <c:v>2949.5</c:v>
                </c:pt>
                <c:pt idx="14">
                  <c:v>2949.5</c:v>
                </c:pt>
                <c:pt idx="15">
                  <c:v>2949.5</c:v>
                </c:pt>
                <c:pt idx="16">
                  <c:v>2949.5</c:v>
                </c:pt>
                <c:pt idx="17">
                  <c:v>2949.5</c:v>
                </c:pt>
                <c:pt idx="18">
                  <c:v>2949.5</c:v>
                </c:pt>
                <c:pt idx="19">
                  <c:v>2949.5</c:v>
                </c:pt>
                <c:pt idx="20">
                  <c:v>2949.5</c:v>
                </c:pt>
                <c:pt idx="21">
                  <c:v>2949.5</c:v>
                </c:pt>
                <c:pt idx="22">
                  <c:v>2949.5</c:v>
                </c:pt>
                <c:pt idx="23">
                  <c:v>2949.5</c:v>
                </c:pt>
              </c:numCache>
            </c:numRef>
          </c:val>
          <c:smooth val="0"/>
        </c:ser>
        <c:ser>
          <c:idx val="5"/>
          <c:order val="4"/>
          <c:tx>
            <c:strRef>
              <c:f>'P.R. Surveillance Endoscopy'!$A$156</c:f>
              <c:strCache>
                <c:ptCount val="1"/>
                <c:pt idx="0">
                  <c:v>Temporary New Median</c:v>
                </c:pt>
              </c:strCache>
            </c:strRef>
          </c:tx>
          <c:spPr>
            <a:ln w="25400">
              <a:solidFill>
                <a:srgbClr val="E69F00"/>
              </a:solidFill>
              <a:prstDash val="solid"/>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Endoscopy'!$B$156:$AW$156</c:f>
              <c:numCache>
                <c:formatCode>#,##0</c:formatCode>
                <c:ptCount val="48"/>
                <c:pt idx="24">
                  <c:v>3634</c:v>
                </c:pt>
                <c:pt idx="25">
                  <c:v>3634</c:v>
                </c:pt>
                <c:pt idx="26">
                  <c:v>3634</c:v>
                </c:pt>
                <c:pt idx="27">
                  <c:v>3634</c:v>
                </c:pt>
                <c:pt idx="28">
                  <c:v>3634</c:v>
                </c:pt>
                <c:pt idx="29">
                  <c:v>3634</c:v>
                </c:pt>
                <c:pt idx="30">
                  <c:v>3634</c:v>
                </c:pt>
                <c:pt idx="31">
                  <c:v>3634</c:v>
                </c:pt>
                <c:pt idx="32">
                  <c:v>3634</c:v>
                </c:pt>
                <c:pt idx="33">
                  <c:v>3634</c:v>
                </c:pt>
                <c:pt idx="34">
                  <c:v>3634</c:v>
                </c:pt>
                <c:pt idx="35">
                  <c:v>3634</c:v>
                </c:pt>
              </c:numCache>
            </c:numRef>
          </c:val>
          <c:smooth val="0"/>
        </c:ser>
        <c:dLbls>
          <c:showLegendKey val="0"/>
          <c:showVal val="0"/>
          <c:showCatName val="0"/>
          <c:showSerName val="0"/>
          <c:showPercent val="0"/>
          <c:showBubbleSize val="0"/>
        </c:dLbls>
        <c:marker val="1"/>
        <c:smooth val="0"/>
        <c:axId val="215991040"/>
        <c:axId val="215992576"/>
      </c:lineChart>
      <c:dateAx>
        <c:axId val="215991040"/>
        <c:scaling>
          <c:orientation val="minMax"/>
        </c:scaling>
        <c:delete val="0"/>
        <c:axPos val="b"/>
        <c:numFmt formatCode="mmm\ yy" sourceLinked="0"/>
        <c:majorTickMark val="out"/>
        <c:minorTickMark val="none"/>
        <c:tickLblPos val="nextTo"/>
        <c:txPr>
          <a:bodyPr rot="-5400000" vert="horz"/>
          <a:lstStyle/>
          <a:p>
            <a:pPr>
              <a:defRPr sz="800">
                <a:solidFill>
                  <a:schemeClr val="tx1"/>
                </a:solidFill>
                <a:latin typeface="Arial" pitchFamily="34" charset="0"/>
                <a:cs typeface="Arial" pitchFamily="34" charset="0"/>
              </a:defRPr>
            </a:pPr>
            <a:endParaRPr lang="en-US"/>
          </a:p>
        </c:txPr>
        <c:crossAx val="215992576"/>
        <c:crosses val="autoZero"/>
        <c:auto val="1"/>
        <c:lblOffset val="100"/>
        <c:baseTimeUnit val="months"/>
        <c:majorUnit val="1"/>
        <c:majorTimeUnit val="months"/>
      </c:dateAx>
      <c:valAx>
        <c:axId val="215992576"/>
        <c:scaling>
          <c:orientation val="minMax"/>
        </c:scaling>
        <c:delete val="0"/>
        <c:axPos val="l"/>
        <c:majorGridlines/>
        <c:numFmt formatCode="#,##0" sourceLinked="0"/>
        <c:majorTickMark val="out"/>
        <c:minorTickMark val="none"/>
        <c:tickLblPos val="nextTo"/>
        <c:txPr>
          <a:bodyPr/>
          <a:lstStyle/>
          <a:p>
            <a:pPr>
              <a:defRPr sz="800">
                <a:solidFill>
                  <a:schemeClr val="tx1"/>
                </a:solidFill>
                <a:latin typeface="Arial" pitchFamily="34" charset="0"/>
                <a:cs typeface="Arial" pitchFamily="34" charset="0"/>
              </a:defRPr>
            </a:pPr>
            <a:endParaRPr lang="en-US"/>
          </a:p>
        </c:txPr>
        <c:crossAx val="215991040"/>
        <c:crosses val="autoZero"/>
        <c:crossBetween val="between"/>
      </c:valAx>
    </c:plotArea>
    <c:legend>
      <c:legendPos val="b"/>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223711397803E-3"/>
          <c:y val="0.94051384040912422"/>
          <c:w val="0.98403497892119096"/>
          <c:h val="5.0565870624196693E-2"/>
        </c:manualLayout>
      </c:layout>
      <c:overlay val="0"/>
      <c:txPr>
        <a:bodyPr/>
        <a:lstStyle/>
        <a:p>
          <a:pPr>
            <a:defRPr sz="8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766" l="0.70000000000000062" r="0.70000000000000062" t="0.750000000000007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891"/>
        </c:manualLayout>
      </c:layout>
      <c:lineChart>
        <c:grouping val="standard"/>
        <c:varyColors val="0"/>
        <c:ser>
          <c:idx val="4"/>
          <c:order val="0"/>
          <c:tx>
            <c:strRef>
              <c:f>'A&amp;E WT'!$A$20</c:f>
              <c:strCache>
                <c:ptCount val="1"/>
                <c:pt idx="0">
                  <c:v>SJH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WT'!$B$20:$AW$20</c:f>
              <c:numCache>
                <c:formatCode>0.0%</c:formatCode>
                <c:ptCount val="48"/>
                <c:pt idx="0">
                  <c:v>0.93286138387759765</c:v>
                </c:pt>
                <c:pt idx="1">
                  <c:v>0.9359197907585004</c:v>
                </c:pt>
                <c:pt idx="2">
                  <c:v>0.94688922610015169</c:v>
                </c:pt>
                <c:pt idx="3">
                  <c:v>0.94427095844343023</c:v>
                </c:pt>
                <c:pt idx="4">
                  <c:v>0.95279912184412729</c:v>
                </c:pt>
                <c:pt idx="5">
                  <c:v>0.96563418494234687</c:v>
                </c:pt>
                <c:pt idx="6">
                  <c:v>0.94644883140458358</c:v>
                </c:pt>
                <c:pt idx="7">
                  <c:v>0.9514837494112105</c:v>
                </c:pt>
                <c:pt idx="8">
                  <c:v>0.94416590701914316</c:v>
                </c:pt>
                <c:pt idx="9">
                  <c:v>0.90829884556741447</c:v>
                </c:pt>
                <c:pt idx="10">
                  <c:v>0.86932344763670066</c:v>
                </c:pt>
                <c:pt idx="11">
                  <c:v>0.92527060782681103</c:v>
                </c:pt>
                <c:pt idx="12">
                  <c:v>0.94607523374646663</c:v>
                </c:pt>
                <c:pt idx="13">
                  <c:v>0.94600518031480374</c:v>
                </c:pt>
                <c:pt idx="14">
                  <c:v>0.96791554543572755</c:v>
                </c:pt>
                <c:pt idx="15">
                  <c:v>0.96770525358198767</c:v>
                </c:pt>
                <c:pt idx="16">
                  <c:v>0.96599999999999997</c:v>
                </c:pt>
                <c:pt idx="17">
                  <c:v>0.96450000000000002</c:v>
                </c:pt>
                <c:pt idx="18">
                  <c:v>0.9383011079730611</c:v>
                </c:pt>
                <c:pt idx="19">
                  <c:v>0.97599999999999998</c:v>
                </c:pt>
                <c:pt idx="20">
                  <c:v>0.94399999999999995</c:v>
                </c:pt>
                <c:pt idx="21">
                  <c:v>0.94099999999999995</c:v>
                </c:pt>
                <c:pt idx="22">
                  <c:v>0.9546</c:v>
                </c:pt>
                <c:pt idx="23">
                  <c:v>0.95499999999999996</c:v>
                </c:pt>
                <c:pt idx="24">
                  <c:v>0.96799999999999997</c:v>
                </c:pt>
                <c:pt idx="25">
                  <c:v>0.97499999999999998</c:v>
                </c:pt>
                <c:pt idx="26">
                  <c:v>0.96899999999999997</c:v>
                </c:pt>
                <c:pt idx="27">
                  <c:v>0.97699999999999998</c:v>
                </c:pt>
                <c:pt idx="28">
                  <c:v>0.96399999999999997</c:v>
                </c:pt>
                <c:pt idx="29">
                  <c:v>0.96</c:v>
                </c:pt>
                <c:pt idx="30">
                  <c:v>0.95599999999999996</c:v>
                </c:pt>
                <c:pt idx="31">
                  <c:v>0.95399999999999996</c:v>
                </c:pt>
                <c:pt idx="32">
                  <c:v>0.79500000000000004</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WT'!$A$21</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WT'!$B$21:$G$21</c:f>
              <c:numCache>
                <c:formatCode>0.0%</c:formatCode>
                <c:ptCount val="6"/>
                <c:pt idx="0">
                  <c:v>0.94558009227179096</c:v>
                </c:pt>
                <c:pt idx="1">
                  <c:v>0.94558009227179096</c:v>
                </c:pt>
                <c:pt idx="2">
                  <c:v>0.94558009227179096</c:v>
                </c:pt>
                <c:pt idx="3">
                  <c:v>0.94558009227179096</c:v>
                </c:pt>
                <c:pt idx="4">
                  <c:v>0.94558009227179096</c:v>
                </c:pt>
                <c:pt idx="5">
                  <c:v>0.94558009227179096</c:v>
                </c:pt>
              </c:numCache>
            </c:numRef>
          </c:val>
          <c:smooth val="0"/>
        </c:ser>
        <c:ser>
          <c:idx val="1"/>
          <c:order val="4"/>
          <c:tx>
            <c:strRef>
              <c:f>'A&amp;E WT'!$A$22</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WT'!$B$22:$AW$22</c:f>
              <c:numCache>
                <c:formatCode>0.0%</c:formatCode>
                <c:ptCount val="48"/>
                <c:pt idx="5">
                  <c:v>0.94558009227179096</c:v>
                </c:pt>
                <c:pt idx="6">
                  <c:v>0.94558009227179096</c:v>
                </c:pt>
                <c:pt idx="7">
                  <c:v>0.94558009227179096</c:v>
                </c:pt>
                <c:pt idx="8">
                  <c:v>0.94558009227179096</c:v>
                </c:pt>
                <c:pt idx="9">
                  <c:v>0.94558009227179096</c:v>
                </c:pt>
                <c:pt idx="10">
                  <c:v>0.94558009227179096</c:v>
                </c:pt>
                <c:pt idx="11">
                  <c:v>0.94558009227179096</c:v>
                </c:pt>
                <c:pt idx="12">
                  <c:v>0.94558009227179096</c:v>
                </c:pt>
                <c:pt idx="13">
                  <c:v>0.94558009227179096</c:v>
                </c:pt>
                <c:pt idx="14">
                  <c:v>0.94558009227179096</c:v>
                </c:pt>
                <c:pt idx="15">
                  <c:v>0.94558009227179096</c:v>
                </c:pt>
                <c:pt idx="16">
                  <c:v>0.94558009227179096</c:v>
                </c:pt>
                <c:pt idx="17">
                  <c:v>0.94558009227179096</c:v>
                </c:pt>
                <c:pt idx="18">
                  <c:v>0.94558009227179096</c:v>
                </c:pt>
                <c:pt idx="19">
                  <c:v>0.94558009227179096</c:v>
                </c:pt>
                <c:pt idx="20">
                  <c:v>0.94558009227179096</c:v>
                </c:pt>
                <c:pt idx="21">
                  <c:v>0.94558009227179096</c:v>
                </c:pt>
              </c:numCache>
            </c:numRef>
          </c:val>
          <c:smooth val="0"/>
        </c:ser>
        <c:ser>
          <c:idx val="2"/>
          <c:order val="5"/>
          <c:tx>
            <c:strRef>
              <c:f>'A&amp;E WT'!$A$23</c:f>
              <c:strCache>
                <c:ptCount val="1"/>
                <c:pt idx="0">
                  <c:v>New Median</c:v>
                </c:pt>
              </c:strCache>
            </c:strRef>
          </c:tx>
          <c:spPr>
            <a:ln w="25400">
              <a:solidFill>
                <a:srgbClr val="E69F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WT'!$B$23:$AI$23</c:f>
              <c:numCache>
                <c:formatCode>0.0%</c:formatCode>
                <c:ptCount val="34"/>
                <c:pt idx="22">
                  <c:v>0.96849999999999992</c:v>
                </c:pt>
                <c:pt idx="23">
                  <c:v>0.96849999999999992</c:v>
                </c:pt>
                <c:pt idx="24">
                  <c:v>0.96849999999999992</c:v>
                </c:pt>
                <c:pt idx="25">
                  <c:v>0.96849999999999992</c:v>
                </c:pt>
                <c:pt idx="26">
                  <c:v>0.96849999999999992</c:v>
                </c:pt>
                <c:pt idx="27">
                  <c:v>0.96849999999999992</c:v>
                </c:pt>
              </c:numCache>
            </c:numRef>
          </c:val>
          <c:smooth val="0"/>
        </c:ser>
        <c:ser>
          <c:idx val="3"/>
          <c:order val="6"/>
          <c:tx>
            <c:strRef>
              <c:f>'A&amp;E WT'!$A$24</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'A&amp;E WT'!$B$24:$AW$24</c:f>
              <c:numCache>
                <c:formatCode>0.0%</c:formatCode>
                <c:ptCount val="48"/>
                <c:pt idx="27">
                  <c:v>0.96849999999999992</c:v>
                </c:pt>
                <c:pt idx="28">
                  <c:v>0.96849999999999992</c:v>
                </c:pt>
                <c:pt idx="29">
                  <c:v>0.96849999999999992</c:v>
                </c:pt>
                <c:pt idx="30">
                  <c:v>0.96849999999999992</c:v>
                </c:pt>
                <c:pt idx="31">
                  <c:v>0.96849999999999992</c:v>
                </c:pt>
                <c:pt idx="32">
                  <c:v>0.96849999999999992</c:v>
                </c:pt>
                <c:pt idx="33">
                  <c:v>0.96849999999999992</c:v>
                </c:pt>
                <c:pt idx="34">
                  <c:v>0.96849999999999992</c:v>
                </c:pt>
                <c:pt idx="35">
                  <c:v>0.96849999999999992</c:v>
                </c:pt>
                <c:pt idx="36">
                  <c:v>0.96849999999999992</c:v>
                </c:pt>
                <c:pt idx="37">
                  <c:v>0.96849999999999992</c:v>
                </c:pt>
                <c:pt idx="38">
                  <c:v>0.96849999999999992</c:v>
                </c:pt>
                <c:pt idx="39">
                  <c:v>0.96849999999999992</c:v>
                </c:pt>
                <c:pt idx="40">
                  <c:v>0.96849999999999992</c:v>
                </c:pt>
                <c:pt idx="41">
                  <c:v>0.96849999999999992</c:v>
                </c:pt>
                <c:pt idx="42">
                  <c:v>0.96849999999999992</c:v>
                </c:pt>
                <c:pt idx="43">
                  <c:v>0.96849999999999992</c:v>
                </c:pt>
                <c:pt idx="44">
                  <c:v>0.96849999999999992</c:v>
                </c:pt>
                <c:pt idx="45">
                  <c:v>0.96849999999999992</c:v>
                </c:pt>
                <c:pt idx="46">
                  <c:v>0.96849999999999992</c:v>
                </c:pt>
                <c:pt idx="47">
                  <c:v>0.96849999999999992</c:v>
                </c:pt>
              </c:numCache>
            </c:numRef>
          </c:val>
          <c:smooth val="0"/>
        </c:ser>
        <c:dLbls>
          <c:showLegendKey val="0"/>
          <c:showVal val="0"/>
          <c:showCatName val="0"/>
          <c:showSerName val="0"/>
          <c:showPercent val="0"/>
          <c:showBubbleSize val="0"/>
        </c:dLbls>
        <c:marker val="1"/>
        <c:smooth val="0"/>
        <c:axId val="188483840"/>
        <c:axId val="188502016"/>
      </c:lineChart>
      <c:dateAx>
        <c:axId val="1884838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88502016"/>
        <c:crosses val="autoZero"/>
        <c:auto val="1"/>
        <c:lblOffset val="100"/>
        <c:baseTimeUnit val="months"/>
        <c:majorUnit val="1"/>
        <c:majorTimeUnit val="months"/>
      </c:dateAx>
      <c:valAx>
        <c:axId val="188502016"/>
        <c:scaling>
          <c:orientation val="minMax"/>
          <c:max val="1"/>
          <c:min val="0.70000000000000029"/>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8483840"/>
        <c:crosses val="autoZero"/>
        <c:crossBetween val="between"/>
        <c:majorUnit val="2.0000000000000011E-2"/>
      </c:valAx>
    </c:plotArea>
    <c:legend>
      <c:legendPos val="r"/>
      <c:layout>
        <c:manualLayout>
          <c:xMode val="edge"/>
          <c:yMode val="edge"/>
          <c:x val="1.4986111111111235E-3"/>
          <c:y val="0.90201224846894057"/>
          <c:w val="0.98982624337229108"/>
          <c:h val="9.79877515310586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881374698902886E-2"/>
          <c:y val="3.7703513281920141E-2"/>
          <c:w val="0.9408839993708189"/>
          <c:h val="0.7840120370557796"/>
        </c:manualLayout>
      </c:layout>
      <c:lineChart>
        <c:grouping val="standard"/>
        <c:varyColors val="0"/>
        <c:ser>
          <c:idx val="0"/>
          <c:order val="0"/>
          <c:tx>
            <c:strRef>
              <c:f>'P.R. Surveillance Endoscopy'!$A$202</c:f>
              <c:strCache>
                <c:ptCount val="1"/>
                <c:pt idx="0">
                  <c:v>Upper Endoscopy &gt; 6 Weeks Overdue</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Endoscopy'!$B$202:$AW$202</c:f>
              <c:numCache>
                <c:formatCode>#,##0</c:formatCode>
                <c:ptCount val="48"/>
                <c:pt idx="0">
                  <c:v>172</c:v>
                </c:pt>
                <c:pt idx="1">
                  <c:v>178</c:v>
                </c:pt>
                <c:pt idx="2">
                  <c:v>183</c:v>
                </c:pt>
                <c:pt idx="3">
                  <c:v>220</c:v>
                </c:pt>
                <c:pt idx="4">
                  <c:v>250</c:v>
                </c:pt>
                <c:pt idx="5">
                  <c:v>284</c:v>
                </c:pt>
                <c:pt idx="6">
                  <c:v>308</c:v>
                </c:pt>
                <c:pt idx="7">
                  <c:v>365</c:v>
                </c:pt>
                <c:pt idx="8">
                  <c:v>417</c:v>
                </c:pt>
                <c:pt idx="9">
                  <c:v>469</c:v>
                </c:pt>
                <c:pt idx="10">
                  <c:v>499</c:v>
                </c:pt>
                <c:pt idx="11">
                  <c:v>492</c:v>
                </c:pt>
                <c:pt idx="12">
                  <c:v>528</c:v>
                </c:pt>
                <c:pt idx="13">
                  <c:v>533</c:v>
                </c:pt>
                <c:pt idx="14">
                  <c:v>586</c:v>
                </c:pt>
                <c:pt idx="15">
                  <c:v>605</c:v>
                </c:pt>
                <c:pt idx="16">
                  <c:v>637</c:v>
                </c:pt>
                <c:pt idx="17">
                  <c:v>675</c:v>
                </c:pt>
                <c:pt idx="18">
                  <c:v>700</c:v>
                </c:pt>
                <c:pt idx="19">
                  <c:v>706</c:v>
                </c:pt>
                <c:pt idx="20">
                  <c:v>674</c:v>
                </c:pt>
                <c:pt idx="21">
                  <c:v>721</c:v>
                </c:pt>
                <c:pt idx="22">
                  <c:v>714</c:v>
                </c:pt>
                <c:pt idx="23">
                  <c:v>643</c:v>
                </c:pt>
                <c:pt idx="24">
                  <c:v>649</c:v>
                </c:pt>
                <c:pt idx="25">
                  <c:v>679</c:v>
                </c:pt>
                <c:pt idx="26">
                  <c:v>372</c:v>
                </c:pt>
                <c:pt idx="27">
                  <c:v>762</c:v>
                </c:pt>
                <c:pt idx="28">
                  <c:v>794</c:v>
                </c:pt>
                <c:pt idx="29">
                  <c:v>800</c:v>
                </c:pt>
                <c:pt idx="30">
                  <c:v>799</c:v>
                </c:pt>
                <c:pt idx="31">
                  <c:v>467</c:v>
                </c:pt>
                <c:pt idx="32">
                  <c:v>482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Endoscopy'!$A$38</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Endoscopy'!$A$203</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Endoscopy'!$B$203:$M$203</c:f>
              <c:numCache>
                <c:formatCode>#,##0</c:formatCode>
                <c:ptCount val="12"/>
                <c:pt idx="0">
                  <c:v>296</c:v>
                </c:pt>
                <c:pt idx="1">
                  <c:v>296</c:v>
                </c:pt>
                <c:pt idx="2">
                  <c:v>296</c:v>
                </c:pt>
                <c:pt idx="3">
                  <c:v>296</c:v>
                </c:pt>
                <c:pt idx="4">
                  <c:v>296</c:v>
                </c:pt>
                <c:pt idx="5">
                  <c:v>296</c:v>
                </c:pt>
                <c:pt idx="6">
                  <c:v>296</c:v>
                </c:pt>
                <c:pt idx="7">
                  <c:v>296</c:v>
                </c:pt>
                <c:pt idx="8">
                  <c:v>296</c:v>
                </c:pt>
                <c:pt idx="9">
                  <c:v>296</c:v>
                </c:pt>
                <c:pt idx="10">
                  <c:v>296</c:v>
                </c:pt>
                <c:pt idx="11">
                  <c:v>296</c:v>
                </c:pt>
              </c:numCache>
            </c:numRef>
          </c:val>
          <c:smooth val="0"/>
        </c:ser>
        <c:ser>
          <c:idx val="4"/>
          <c:order val="3"/>
          <c:tx>
            <c:strRef>
              <c:f>'P.R. Surveillance Endoscopy'!$A$204</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Endoscopy'!$B$204:$AW$204</c:f>
              <c:numCache>
                <c:formatCode>#,##0</c:formatCode>
                <c:ptCount val="48"/>
                <c:pt idx="12">
                  <c:v>658.5</c:v>
                </c:pt>
                <c:pt idx="13">
                  <c:v>658.5</c:v>
                </c:pt>
                <c:pt idx="14">
                  <c:v>658.5</c:v>
                </c:pt>
                <c:pt idx="15">
                  <c:v>658.5</c:v>
                </c:pt>
                <c:pt idx="16">
                  <c:v>658.5</c:v>
                </c:pt>
                <c:pt idx="17">
                  <c:v>658.5</c:v>
                </c:pt>
                <c:pt idx="18">
                  <c:v>658.5</c:v>
                </c:pt>
                <c:pt idx="19">
                  <c:v>658.5</c:v>
                </c:pt>
                <c:pt idx="20">
                  <c:v>658.5</c:v>
                </c:pt>
                <c:pt idx="21">
                  <c:v>658.5</c:v>
                </c:pt>
                <c:pt idx="22">
                  <c:v>658.5</c:v>
                </c:pt>
                <c:pt idx="23">
                  <c:v>658.5</c:v>
                </c:pt>
                <c:pt idx="24">
                  <c:v>0</c:v>
                </c:pt>
              </c:numCache>
            </c:numRef>
          </c:val>
          <c:smooth val="0"/>
        </c:ser>
        <c:ser>
          <c:idx val="5"/>
          <c:order val="4"/>
          <c:tx>
            <c:strRef>
              <c:f>'P.R. Surveillance Endoscopy'!$A$205</c:f>
              <c:strCache>
                <c:ptCount val="1"/>
                <c:pt idx="0">
                  <c:v>Extended New Median</c:v>
                </c:pt>
              </c:strCache>
            </c:strRef>
          </c:tx>
          <c:spPr>
            <a:ln w="25400">
              <a:solidFill>
                <a:srgbClr val="E69F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Endoscopy'!$B$205:$AW$205</c:f>
              <c:numCache>
                <c:formatCode>#,##0</c:formatCode>
                <c:ptCount val="48"/>
                <c:pt idx="23">
                  <c:v>658.5</c:v>
                </c:pt>
                <c:pt idx="24">
                  <c:v>658.5</c:v>
                </c:pt>
                <c:pt idx="25">
                  <c:v>658.5</c:v>
                </c:pt>
                <c:pt idx="26">
                  <c:v>658.5</c:v>
                </c:pt>
                <c:pt idx="27">
                  <c:v>658.5</c:v>
                </c:pt>
                <c:pt idx="28">
                  <c:v>658.5</c:v>
                </c:pt>
                <c:pt idx="29">
                  <c:v>658.5</c:v>
                </c:pt>
                <c:pt idx="30">
                  <c:v>658.5</c:v>
                </c:pt>
                <c:pt idx="31">
                  <c:v>658.5</c:v>
                </c:pt>
                <c:pt idx="32">
                  <c:v>658.5</c:v>
                </c:pt>
                <c:pt idx="33">
                  <c:v>658.5</c:v>
                </c:pt>
                <c:pt idx="34">
                  <c:v>658.5</c:v>
                </c:pt>
                <c:pt idx="35">
                  <c:v>658.5</c:v>
                </c:pt>
                <c:pt idx="36">
                  <c:v>658.5</c:v>
                </c:pt>
                <c:pt idx="37">
                  <c:v>658.5</c:v>
                </c:pt>
                <c:pt idx="38">
                  <c:v>658.5</c:v>
                </c:pt>
                <c:pt idx="39">
                  <c:v>658.5</c:v>
                </c:pt>
                <c:pt idx="40">
                  <c:v>658.5</c:v>
                </c:pt>
                <c:pt idx="41">
                  <c:v>658.5</c:v>
                </c:pt>
                <c:pt idx="42">
                  <c:v>658.5</c:v>
                </c:pt>
                <c:pt idx="43">
                  <c:v>658.5</c:v>
                </c:pt>
                <c:pt idx="44">
                  <c:v>658.5</c:v>
                </c:pt>
                <c:pt idx="45">
                  <c:v>658.5</c:v>
                </c:pt>
                <c:pt idx="46">
                  <c:v>658.5</c:v>
                </c:pt>
                <c:pt idx="47">
                  <c:v>658.5</c:v>
                </c:pt>
              </c:numCache>
            </c:numRef>
          </c:val>
          <c:smooth val="0"/>
        </c:ser>
        <c:dLbls>
          <c:showLegendKey val="0"/>
          <c:showVal val="0"/>
          <c:showCatName val="0"/>
          <c:showSerName val="0"/>
          <c:showPercent val="0"/>
          <c:showBubbleSize val="0"/>
        </c:dLbls>
        <c:marker val="1"/>
        <c:smooth val="0"/>
        <c:axId val="216025344"/>
        <c:axId val="216035328"/>
      </c:lineChart>
      <c:dateAx>
        <c:axId val="216025344"/>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216035328"/>
        <c:crosses val="autoZero"/>
        <c:auto val="1"/>
        <c:lblOffset val="100"/>
        <c:baseTimeUnit val="months"/>
        <c:majorUnit val="1"/>
        <c:majorTimeUnit val="months"/>
      </c:dateAx>
      <c:valAx>
        <c:axId val="216035328"/>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216025344"/>
        <c:crosses val="autoZero"/>
        <c:crossBetween val="between"/>
      </c:valAx>
    </c:plotArea>
    <c:legend>
      <c:legendPos val="b"/>
      <c:layout>
        <c:manualLayout>
          <c:xMode val="edge"/>
          <c:yMode val="edge"/>
          <c:x val="6.9488728715021899E-3"/>
          <c:y val="0.92952924586225316"/>
          <c:w val="0.97937014042458348"/>
          <c:h val="6.037663029910560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877" l="0.70000000000000062" r="0.70000000000000062" t="0.750000000000008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113580802399685E-2"/>
          <c:y val="2.9451112955354148E-2"/>
          <c:w val="0.93425661792275949"/>
          <c:h val="0.77224891875662072"/>
        </c:manualLayout>
      </c:layout>
      <c:lineChart>
        <c:grouping val="standard"/>
        <c:varyColors val="0"/>
        <c:ser>
          <c:idx val="0"/>
          <c:order val="0"/>
          <c:tx>
            <c:strRef>
              <c:f>'P.R. Surveillance Endoscopy'!$A$190</c:f>
              <c:strCache>
                <c:ptCount val="1"/>
                <c:pt idx="0">
                  <c:v>Flexible Sigmoidoscopy &gt; 6 Weeks Overdue</c:v>
                </c:pt>
              </c:strCache>
            </c:strRef>
          </c:tx>
          <c:spPr>
            <a:ln w="25400">
              <a:solidFill>
                <a:srgbClr val="0070C0"/>
              </a:solidFill>
            </a:ln>
          </c:spPr>
          <c:marker>
            <c:symbol val="circle"/>
            <c:size val="5"/>
          </c:marker>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dPt>
            <c:idx val="31"/>
            <c:bubble3D val="0"/>
            <c:spPr>
              <a:ln w="25400">
                <a:solidFill>
                  <a:srgbClr val="00B050"/>
                </a:solidFill>
              </a:ln>
            </c:spPr>
          </c:dPt>
          <c:dPt>
            <c:idx val="32"/>
            <c:bubble3D val="0"/>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Endoscopy'!$B$190:$AW$190</c:f>
              <c:numCache>
                <c:formatCode>#,##0</c:formatCode>
                <c:ptCount val="48"/>
                <c:pt idx="0">
                  <c:v>68</c:v>
                </c:pt>
                <c:pt idx="1">
                  <c:v>74</c:v>
                </c:pt>
                <c:pt idx="2">
                  <c:v>78</c:v>
                </c:pt>
                <c:pt idx="3">
                  <c:v>96</c:v>
                </c:pt>
                <c:pt idx="4">
                  <c:v>102</c:v>
                </c:pt>
                <c:pt idx="5">
                  <c:v>112</c:v>
                </c:pt>
                <c:pt idx="6">
                  <c:v>117</c:v>
                </c:pt>
                <c:pt idx="7">
                  <c:v>131</c:v>
                </c:pt>
                <c:pt idx="8">
                  <c:v>141</c:v>
                </c:pt>
                <c:pt idx="9">
                  <c:v>153</c:v>
                </c:pt>
                <c:pt idx="10">
                  <c:v>156</c:v>
                </c:pt>
                <c:pt idx="11">
                  <c:v>162</c:v>
                </c:pt>
                <c:pt idx="12">
                  <c:v>174</c:v>
                </c:pt>
                <c:pt idx="13">
                  <c:v>183</c:v>
                </c:pt>
                <c:pt idx="14">
                  <c:v>198</c:v>
                </c:pt>
                <c:pt idx="15">
                  <c:v>196</c:v>
                </c:pt>
                <c:pt idx="16">
                  <c:v>190</c:v>
                </c:pt>
                <c:pt idx="17">
                  <c:v>206</c:v>
                </c:pt>
                <c:pt idx="18">
                  <c:v>213</c:v>
                </c:pt>
                <c:pt idx="19">
                  <c:v>214</c:v>
                </c:pt>
                <c:pt idx="20">
                  <c:v>205</c:v>
                </c:pt>
                <c:pt idx="21">
                  <c:v>225</c:v>
                </c:pt>
                <c:pt idx="22">
                  <c:v>218</c:v>
                </c:pt>
                <c:pt idx="23">
                  <c:v>207</c:v>
                </c:pt>
                <c:pt idx="24">
                  <c:v>217</c:v>
                </c:pt>
                <c:pt idx="25">
                  <c:v>211</c:v>
                </c:pt>
                <c:pt idx="26">
                  <c:v>85</c:v>
                </c:pt>
                <c:pt idx="27">
                  <c:v>198</c:v>
                </c:pt>
                <c:pt idx="28">
                  <c:v>203</c:v>
                </c:pt>
                <c:pt idx="29">
                  <c:v>187</c:v>
                </c:pt>
                <c:pt idx="30">
                  <c:v>177</c:v>
                </c:pt>
                <c:pt idx="31">
                  <c:v>124</c:v>
                </c:pt>
                <c:pt idx="32">
                  <c:v>133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Endoscopy'!$A$38</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Endoscopy'!$A$191</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Endoscopy'!$B$191:$AW$191</c:f>
              <c:numCache>
                <c:formatCode>#,##0</c:formatCode>
                <c:ptCount val="48"/>
                <c:pt idx="0">
                  <c:v>114.5</c:v>
                </c:pt>
                <c:pt idx="1">
                  <c:v>114.5</c:v>
                </c:pt>
                <c:pt idx="2">
                  <c:v>114.5</c:v>
                </c:pt>
                <c:pt idx="3">
                  <c:v>114.5</c:v>
                </c:pt>
                <c:pt idx="4">
                  <c:v>114.5</c:v>
                </c:pt>
                <c:pt idx="5">
                  <c:v>114.5</c:v>
                </c:pt>
                <c:pt idx="6">
                  <c:v>114.5</c:v>
                </c:pt>
                <c:pt idx="7">
                  <c:v>114.5</c:v>
                </c:pt>
                <c:pt idx="8">
                  <c:v>114.5</c:v>
                </c:pt>
                <c:pt idx="9">
                  <c:v>114.5</c:v>
                </c:pt>
                <c:pt idx="10">
                  <c:v>114.5</c:v>
                </c:pt>
                <c:pt idx="11">
                  <c:v>114.5</c:v>
                </c:pt>
              </c:numCache>
            </c:numRef>
          </c:val>
          <c:smooth val="0"/>
        </c:ser>
        <c:ser>
          <c:idx val="4"/>
          <c:order val="3"/>
          <c:tx>
            <c:strRef>
              <c:f>'P.R. Surveillance Endoscopy'!$A$192</c:f>
              <c:strCache>
                <c:ptCount val="1"/>
                <c:pt idx="0">
                  <c:v>New Median</c:v>
                </c:pt>
              </c:strCache>
            </c:strRef>
          </c:tx>
          <c:spPr>
            <a:ln w="25400">
              <a:solidFill>
                <a:srgbClr val="E69F00"/>
              </a:solidFill>
            </a:ln>
          </c:spPr>
          <c:marker>
            <c:symbol val="none"/>
          </c:marker>
          <c:dPt>
            <c:idx val="24"/>
            <c:bubble3D val="0"/>
            <c:spPr>
              <a:ln w="25400">
                <a:noFill/>
              </a:ln>
            </c:spPr>
          </c:dPt>
          <c:dPt>
            <c:idx val="25"/>
            <c:bubble3D val="0"/>
            <c:spPr>
              <a:ln w="25400">
                <a:no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Endoscopy'!$B$192:$AW$192</c:f>
              <c:numCache>
                <c:formatCode>#,##0</c:formatCode>
                <c:ptCount val="48"/>
                <c:pt idx="12">
                  <c:v>205.5</c:v>
                </c:pt>
                <c:pt idx="13">
                  <c:v>205.5</c:v>
                </c:pt>
                <c:pt idx="14">
                  <c:v>205.5</c:v>
                </c:pt>
                <c:pt idx="15">
                  <c:v>205.5</c:v>
                </c:pt>
                <c:pt idx="16">
                  <c:v>205.5</c:v>
                </c:pt>
                <c:pt idx="17">
                  <c:v>205.5</c:v>
                </c:pt>
                <c:pt idx="18">
                  <c:v>205.5</c:v>
                </c:pt>
                <c:pt idx="19">
                  <c:v>205.5</c:v>
                </c:pt>
                <c:pt idx="20">
                  <c:v>205.5</c:v>
                </c:pt>
                <c:pt idx="21">
                  <c:v>205.5</c:v>
                </c:pt>
                <c:pt idx="22">
                  <c:v>205.5</c:v>
                </c:pt>
                <c:pt idx="23">
                  <c:v>205.5</c:v>
                </c:pt>
                <c:pt idx="24">
                  <c:v>0</c:v>
                </c:pt>
                <c:pt idx="25">
                  <c:v>0</c:v>
                </c:pt>
              </c:numCache>
            </c:numRef>
          </c:val>
          <c:smooth val="0"/>
        </c:ser>
        <c:ser>
          <c:idx val="5"/>
          <c:order val="4"/>
          <c:tx>
            <c:strRef>
              <c:f>'P.R. Surveillance Endoscopy'!$A$193</c:f>
              <c:strCache>
                <c:ptCount val="1"/>
                <c:pt idx="0">
                  <c:v>Extended New Median</c:v>
                </c:pt>
              </c:strCache>
            </c:strRef>
          </c:tx>
          <c:spPr>
            <a:ln w="25400">
              <a:solidFill>
                <a:srgbClr val="E69F00"/>
              </a:solidFill>
              <a:prstDash val="dash"/>
            </a:ln>
          </c:spPr>
          <c:marker>
            <c:symbol val="none"/>
          </c:marker>
          <c:dPt>
            <c:idx val="25"/>
            <c:bubble3D val="0"/>
            <c:spPr>
              <a:ln w="25400">
                <a:solidFill>
                  <a:srgbClr val="E39F00"/>
                </a:solid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Endoscopy'!$B$193:$AW$193</c:f>
              <c:numCache>
                <c:formatCode>#,##0</c:formatCode>
                <c:ptCount val="48"/>
                <c:pt idx="23">
                  <c:v>205.5</c:v>
                </c:pt>
                <c:pt idx="24">
                  <c:v>205.5</c:v>
                </c:pt>
                <c:pt idx="25">
                  <c:v>205.5</c:v>
                </c:pt>
                <c:pt idx="26">
                  <c:v>205.5</c:v>
                </c:pt>
                <c:pt idx="27">
                  <c:v>205.5</c:v>
                </c:pt>
                <c:pt idx="28">
                  <c:v>205.5</c:v>
                </c:pt>
                <c:pt idx="29">
                  <c:v>205.5</c:v>
                </c:pt>
                <c:pt idx="30">
                  <c:v>205.5</c:v>
                </c:pt>
                <c:pt idx="31">
                  <c:v>205.5</c:v>
                </c:pt>
                <c:pt idx="32">
                  <c:v>205.5</c:v>
                </c:pt>
                <c:pt idx="33">
                  <c:v>205.5</c:v>
                </c:pt>
                <c:pt idx="34">
                  <c:v>205.5</c:v>
                </c:pt>
                <c:pt idx="35">
                  <c:v>205.5</c:v>
                </c:pt>
                <c:pt idx="36">
                  <c:v>205.5</c:v>
                </c:pt>
                <c:pt idx="37">
                  <c:v>205.5</c:v>
                </c:pt>
                <c:pt idx="38">
                  <c:v>205.5</c:v>
                </c:pt>
                <c:pt idx="39">
                  <c:v>205.5</c:v>
                </c:pt>
                <c:pt idx="40">
                  <c:v>205.5</c:v>
                </c:pt>
                <c:pt idx="41">
                  <c:v>205.5</c:v>
                </c:pt>
                <c:pt idx="42">
                  <c:v>205.5</c:v>
                </c:pt>
                <c:pt idx="43">
                  <c:v>205.5</c:v>
                </c:pt>
                <c:pt idx="44">
                  <c:v>205.5</c:v>
                </c:pt>
                <c:pt idx="45">
                  <c:v>205.5</c:v>
                </c:pt>
                <c:pt idx="46">
                  <c:v>205.5</c:v>
                </c:pt>
                <c:pt idx="47">
                  <c:v>205.5</c:v>
                </c:pt>
              </c:numCache>
            </c:numRef>
          </c:val>
          <c:smooth val="0"/>
        </c:ser>
        <c:dLbls>
          <c:showLegendKey val="0"/>
          <c:showVal val="0"/>
          <c:showCatName val="0"/>
          <c:showSerName val="0"/>
          <c:showPercent val="0"/>
          <c:showBubbleSize val="0"/>
        </c:dLbls>
        <c:marker val="1"/>
        <c:smooth val="0"/>
        <c:axId val="215771392"/>
        <c:axId val="215773184"/>
      </c:lineChart>
      <c:dateAx>
        <c:axId val="215771392"/>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215773184"/>
        <c:crosses val="autoZero"/>
        <c:auto val="1"/>
        <c:lblOffset val="100"/>
        <c:baseTimeUnit val="months"/>
        <c:majorUnit val="1"/>
        <c:majorTimeUnit val="months"/>
      </c:dateAx>
      <c:valAx>
        <c:axId val="215773184"/>
        <c:scaling>
          <c:orientation val="minMax"/>
          <c:max val="300"/>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215771392"/>
        <c:crosses val="autoZero"/>
        <c:crossBetween val="between"/>
        <c:majorUnit val="50"/>
      </c:valAx>
    </c:plotArea>
    <c:legend>
      <c:legendPos val="b"/>
      <c:layout>
        <c:manualLayout>
          <c:xMode val="edge"/>
          <c:yMode val="edge"/>
          <c:x val="2.1533108361455052E-2"/>
          <c:y val="0.92707460410636333"/>
          <c:w val="0.95679647144698665"/>
          <c:h val="5.9415824949902864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36350761910155E-2"/>
          <c:y val="3.8394415357766144E-2"/>
          <c:w val="0.93967899695991264"/>
          <c:h val="0.7643227777777778"/>
        </c:manualLayout>
      </c:layout>
      <c:lineChart>
        <c:grouping val="standard"/>
        <c:varyColors val="0"/>
        <c:ser>
          <c:idx val="0"/>
          <c:order val="0"/>
          <c:tx>
            <c:strRef>
              <c:f>'P.R. Surveillance Endoscopy'!$A$177</c:f>
              <c:strCache>
                <c:ptCount val="1"/>
                <c:pt idx="0">
                  <c:v>Flexible Cystoscopy &gt; 6 Weeks Overdue</c:v>
                </c:pt>
              </c:strCache>
            </c:strRef>
          </c:tx>
          <c:spPr>
            <a:ln w="25400">
              <a:solidFill>
                <a:srgbClr val="0070C0"/>
              </a:solidFill>
            </a:ln>
          </c:spPr>
          <c:marker>
            <c:symbol val="circle"/>
            <c:size val="5"/>
            <c:spPr>
              <a:solidFill>
                <a:srgbClr val="0070C0"/>
              </a:solidFill>
            </c:spPr>
          </c:marker>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Endoscopy'!$B$177:$AW$177</c:f>
              <c:numCache>
                <c:formatCode>#,##0</c:formatCode>
                <c:ptCount val="48"/>
                <c:pt idx="0">
                  <c:v>50</c:v>
                </c:pt>
                <c:pt idx="1">
                  <c:v>28</c:v>
                </c:pt>
                <c:pt idx="2">
                  <c:v>33</c:v>
                </c:pt>
                <c:pt idx="3">
                  <c:v>61</c:v>
                </c:pt>
                <c:pt idx="4">
                  <c:v>76</c:v>
                </c:pt>
                <c:pt idx="5">
                  <c:v>161</c:v>
                </c:pt>
                <c:pt idx="6">
                  <c:v>129</c:v>
                </c:pt>
                <c:pt idx="7">
                  <c:v>153</c:v>
                </c:pt>
                <c:pt idx="8">
                  <c:v>166</c:v>
                </c:pt>
                <c:pt idx="9">
                  <c:v>109</c:v>
                </c:pt>
                <c:pt idx="10">
                  <c:v>38</c:v>
                </c:pt>
                <c:pt idx="11">
                  <c:v>16</c:v>
                </c:pt>
                <c:pt idx="12">
                  <c:v>13</c:v>
                </c:pt>
                <c:pt idx="13">
                  <c:v>7</c:v>
                </c:pt>
                <c:pt idx="14">
                  <c:v>12</c:v>
                </c:pt>
                <c:pt idx="15">
                  <c:v>12</c:v>
                </c:pt>
                <c:pt idx="16">
                  <c:v>12</c:v>
                </c:pt>
                <c:pt idx="17">
                  <c:v>35</c:v>
                </c:pt>
                <c:pt idx="18">
                  <c:v>127</c:v>
                </c:pt>
                <c:pt idx="19">
                  <c:v>181</c:v>
                </c:pt>
                <c:pt idx="20">
                  <c:v>159</c:v>
                </c:pt>
                <c:pt idx="21">
                  <c:v>242</c:v>
                </c:pt>
                <c:pt idx="22">
                  <c:v>239</c:v>
                </c:pt>
                <c:pt idx="23">
                  <c:v>231</c:v>
                </c:pt>
                <c:pt idx="24">
                  <c:v>294</c:v>
                </c:pt>
                <c:pt idx="25">
                  <c:v>322</c:v>
                </c:pt>
                <c:pt idx="26">
                  <c:v>373</c:v>
                </c:pt>
                <c:pt idx="27">
                  <c:v>362</c:v>
                </c:pt>
                <c:pt idx="28">
                  <c:v>379</c:v>
                </c:pt>
                <c:pt idx="29">
                  <c:v>415</c:v>
                </c:pt>
                <c:pt idx="30">
                  <c:v>366</c:v>
                </c:pt>
                <c:pt idx="31">
                  <c:v>471</c:v>
                </c:pt>
                <c:pt idx="32">
                  <c:v>484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Endoscopy'!$A$38</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Endoscopy'!$A$178</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Endoscopy'!$B$178:$AW$178</c:f>
              <c:numCache>
                <c:formatCode>#,##0</c:formatCode>
                <c:ptCount val="48"/>
                <c:pt idx="0">
                  <c:v>68.5</c:v>
                </c:pt>
                <c:pt idx="1">
                  <c:v>68.5</c:v>
                </c:pt>
                <c:pt idx="2">
                  <c:v>68.5</c:v>
                </c:pt>
                <c:pt idx="3">
                  <c:v>68.5</c:v>
                </c:pt>
                <c:pt idx="4">
                  <c:v>68.5</c:v>
                </c:pt>
                <c:pt idx="5">
                  <c:v>68.5</c:v>
                </c:pt>
                <c:pt idx="6">
                  <c:v>68.5</c:v>
                </c:pt>
                <c:pt idx="7">
                  <c:v>68.5</c:v>
                </c:pt>
                <c:pt idx="8">
                  <c:v>68.5</c:v>
                </c:pt>
                <c:pt idx="9">
                  <c:v>68.5</c:v>
                </c:pt>
                <c:pt idx="10">
                  <c:v>68.5</c:v>
                </c:pt>
                <c:pt idx="11">
                  <c:v>68.5</c:v>
                </c:pt>
              </c:numCache>
            </c:numRef>
          </c:val>
          <c:smooth val="0"/>
        </c:ser>
        <c:ser>
          <c:idx val="2"/>
          <c:order val="3"/>
          <c:tx>
            <c:strRef>
              <c:f>'P.R. Surveillance Endoscopy'!$A$179</c:f>
              <c:strCache>
                <c:ptCount val="1"/>
                <c:pt idx="0">
                  <c:v>Extended Baseline Median</c:v>
                </c:pt>
              </c:strCache>
            </c:strRef>
          </c:tx>
          <c:spPr>
            <a:ln w="25400">
              <a:solidFill>
                <a:prstClr val="black"/>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Endoscopy'!$B$179:$AW$179</c:f>
              <c:numCache>
                <c:formatCode>#,##0</c:formatCode>
                <c:ptCount val="48"/>
                <c:pt idx="11">
                  <c:v>68.5</c:v>
                </c:pt>
                <c:pt idx="12">
                  <c:v>68.5</c:v>
                </c:pt>
                <c:pt idx="13">
                  <c:v>68.5</c:v>
                </c:pt>
                <c:pt idx="14">
                  <c:v>68.5</c:v>
                </c:pt>
                <c:pt idx="15">
                  <c:v>68.5</c:v>
                </c:pt>
                <c:pt idx="16">
                  <c:v>68.5</c:v>
                </c:pt>
                <c:pt idx="17">
                  <c:v>68.5</c:v>
                </c:pt>
              </c:numCache>
            </c:numRef>
          </c:val>
          <c:smooth val="0"/>
        </c:ser>
        <c:ser>
          <c:idx val="4"/>
          <c:order val="4"/>
          <c:tx>
            <c:strRef>
              <c:f>'P.R. Surveillance Endoscopy'!$A$180</c:f>
              <c:strCache>
                <c:ptCount val="1"/>
                <c:pt idx="0">
                  <c:v>New Median</c:v>
                </c:pt>
              </c:strCache>
            </c:strRef>
          </c:tx>
          <c:spPr>
            <a:ln w="25400">
              <a:solidFill>
                <a:srgbClr val="E69F00"/>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Endoscopy'!$B$180:$AE$180</c:f>
              <c:numCache>
                <c:formatCode>#,##0</c:formatCode>
                <c:ptCount val="30"/>
                <c:pt idx="18">
                  <c:v>268</c:v>
                </c:pt>
                <c:pt idx="19">
                  <c:v>268</c:v>
                </c:pt>
                <c:pt idx="20">
                  <c:v>268</c:v>
                </c:pt>
                <c:pt idx="21">
                  <c:v>268</c:v>
                </c:pt>
                <c:pt idx="22">
                  <c:v>268</c:v>
                </c:pt>
                <c:pt idx="23">
                  <c:v>268</c:v>
                </c:pt>
                <c:pt idx="24">
                  <c:v>268</c:v>
                </c:pt>
                <c:pt idx="25">
                  <c:v>268</c:v>
                </c:pt>
                <c:pt idx="26">
                  <c:v>268</c:v>
                </c:pt>
                <c:pt idx="27">
                  <c:v>268</c:v>
                </c:pt>
                <c:pt idx="28">
                  <c:v>268</c:v>
                </c:pt>
                <c:pt idx="29">
                  <c:v>268</c:v>
                </c:pt>
              </c:numCache>
            </c:numRef>
          </c:val>
          <c:smooth val="0"/>
        </c:ser>
        <c:ser>
          <c:idx val="5"/>
          <c:order val="5"/>
          <c:tx>
            <c:strRef>
              <c:f>'P.R. Surveillance Endoscopy'!$A$181</c:f>
              <c:strCache>
                <c:ptCount val="1"/>
                <c:pt idx="0">
                  <c:v>Extended New Median</c:v>
                </c:pt>
              </c:strCache>
            </c:strRef>
          </c:tx>
          <c:spPr>
            <a:ln w="25400">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Endoscopy'!$B$181:$AW$181</c:f>
              <c:numCache>
                <c:formatCode>#,##0</c:formatCode>
                <c:ptCount val="48"/>
                <c:pt idx="29">
                  <c:v>268</c:v>
                </c:pt>
                <c:pt idx="30">
                  <c:v>268</c:v>
                </c:pt>
                <c:pt idx="31">
                  <c:v>268</c:v>
                </c:pt>
                <c:pt idx="32">
                  <c:v>268</c:v>
                </c:pt>
                <c:pt idx="33">
                  <c:v>268</c:v>
                </c:pt>
                <c:pt idx="34">
                  <c:v>268</c:v>
                </c:pt>
                <c:pt idx="35">
                  <c:v>268</c:v>
                </c:pt>
                <c:pt idx="36">
                  <c:v>268</c:v>
                </c:pt>
                <c:pt idx="37">
                  <c:v>268</c:v>
                </c:pt>
                <c:pt idx="38">
                  <c:v>268</c:v>
                </c:pt>
                <c:pt idx="39">
                  <c:v>268</c:v>
                </c:pt>
                <c:pt idx="40">
                  <c:v>268</c:v>
                </c:pt>
                <c:pt idx="41">
                  <c:v>268</c:v>
                </c:pt>
                <c:pt idx="42">
                  <c:v>268</c:v>
                </c:pt>
                <c:pt idx="43">
                  <c:v>268</c:v>
                </c:pt>
                <c:pt idx="44">
                  <c:v>268</c:v>
                </c:pt>
                <c:pt idx="45">
                  <c:v>268</c:v>
                </c:pt>
                <c:pt idx="46">
                  <c:v>268</c:v>
                </c:pt>
                <c:pt idx="47">
                  <c:v>268</c:v>
                </c:pt>
              </c:numCache>
            </c:numRef>
          </c:val>
          <c:smooth val="0"/>
        </c:ser>
        <c:dLbls>
          <c:showLegendKey val="0"/>
          <c:showVal val="0"/>
          <c:showCatName val="0"/>
          <c:showSerName val="0"/>
          <c:showPercent val="0"/>
          <c:showBubbleSize val="0"/>
        </c:dLbls>
        <c:marker val="1"/>
        <c:smooth val="0"/>
        <c:axId val="215832064"/>
        <c:axId val="215833600"/>
      </c:lineChart>
      <c:dateAx>
        <c:axId val="215832064"/>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215833600"/>
        <c:crosses val="autoZero"/>
        <c:auto val="1"/>
        <c:lblOffset val="100"/>
        <c:baseTimeUnit val="months"/>
        <c:majorUnit val="1"/>
        <c:majorTimeUnit val="months"/>
      </c:dateAx>
      <c:valAx>
        <c:axId val="215833600"/>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215832064"/>
        <c:crosses val="autoZero"/>
        <c:crossBetween val="between"/>
      </c:valAx>
    </c:plotArea>
    <c:legend>
      <c:legendPos val="b"/>
      <c:layout>
        <c:manualLayout>
          <c:xMode val="edge"/>
          <c:yMode val="edge"/>
          <c:x val="1.3215883985724798E-2"/>
          <c:y val="0.91154333333333371"/>
          <c:w val="0.98099641203703702"/>
          <c:h val="8.8456666666667655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400234412504134E-2"/>
          <c:y val="2.9871011541073203E-2"/>
          <c:w val="0.92018092156532649"/>
          <c:h val="0.79252825262127891"/>
        </c:manualLayout>
      </c:layout>
      <c:lineChart>
        <c:grouping val="standard"/>
        <c:varyColors val="0"/>
        <c:ser>
          <c:idx val="0"/>
          <c:order val="0"/>
          <c:tx>
            <c:strRef>
              <c:f>'P.R. Surveillance Endoscopy'!$A$165</c:f>
              <c:strCache>
                <c:ptCount val="1"/>
                <c:pt idx="0">
                  <c:v>Colonoscopy &gt; 6 Weeks Overdue</c:v>
                </c:pt>
              </c:strCache>
            </c:strRef>
          </c:tx>
          <c:spPr>
            <a:ln w="25400">
              <a:solidFill>
                <a:srgbClr val="0070C0"/>
              </a:solidFill>
            </a:ln>
          </c:spPr>
          <c:marker>
            <c:symbol val="circle"/>
            <c:size val="5"/>
          </c:marker>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Endoscopy'!$B$165:$AW$165</c:f>
              <c:numCache>
                <c:formatCode>#,##0</c:formatCode>
                <c:ptCount val="48"/>
                <c:pt idx="0">
                  <c:v>323</c:v>
                </c:pt>
                <c:pt idx="1">
                  <c:v>352</c:v>
                </c:pt>
                <c:pt idx="2">
                  <c:v>338</c:v>
                </c:pt>
                <c:pt idx="3">
                  <c:v>434</c:v>
                </c:pt>
                <c:pt idx="4">
                  <c:v>492</c:v>
                </c:pt>
                <c:pt idx="5">
                  <c:v>511</c:v>
                </c:pt>
                <c:pt idx="6">
                  <c:v>562</c:v>
                </c:pt>
                <c:pt idx="7">
                  <c:v>708</c:v>
                </c:pt>
                <c:pt idx="8">
                  <c:v>874</c:v>
                </c:pt>
                <c:pt idx="9">
                  <c:v>1020</c:v>
                </c:pt>
                <c:pt idx="10">
                  <c:v>1088</c:v>
                </c:pt>
                <c:pt idx="11">
                  <c:v>1198</c:v>
                </c:pt>
                <c:pt idx="12">
                  <c:v>1328</c:v>
                </c:pt>
                <c:pt idx="13">
                  <c:v>1456</c:v>
                </c:pt>
                <c:pt idx="14">
                  <c:v>1449.81318681318</c:v>
                </c:pt>
                <c:pt idx="15">
                  <c:v>1767</c:v>
                </c:pt>
                <c:pt idx="16">
                  <c:v>1793</c:v>
                </c:pt>
                <c:pt idx="17">
                  <c:v>1895</c:v>
                </c:pt>
                <c:pt idx="18">
                  <c:v>2048</c:v>
                </c:pt>
                <c:pt idx="19">
                  <c:v>2188</c:v>
                </c:pt>
                <c:pt idx="20">
                  <c:v>2213</c:v>
                </c:pt>
                <c:pt idx="21">
                  <c:v>2425</c:v>
                </c:pt>
                <c:pt idx="22">
                  <c:v>2473</c:v>
                </c:pt>
                <c:pt idx="23">
                  <c:v>2483</c:v>
                </c:pt>
                <c:pt idx="24">
                  <c:v>2557</c:v>
                </c:pt>
                <c:pt idx="25">
                  <c:v>2625</c:v>
                </c:pt>
                <c:pt idx="26">
                  <c:v>2535</c:v>
                </c:pt>
                <c:pt idx="27">
                  <c:v>2601</c:v>
                </c:pt>
                <c:pt idx="28">
                  <c:v>2575</c:v>
                </c:pt>
                <c:pt idx="29">
                  <c:v>2559</c:v>
                </c:pt>
                <c:pt idx="30">
                  <c:v>2503</c:v>
                </c:pt>
                <c:pt idx="31">
                  <c:v>2483</c:v>
                </c:pt>
                <c:pt idx="32">
                  <c:v>2452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Endoscopy'!$A$38</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Endoscopy'!$B$38:$AW$38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Endoscopy'!$A$166</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Endoscopy'!$B$166:$M$166</c:f>
              <c:numCache>
                <c:formatCode>#,##0</c:formatCode>
                <c:ptCount val="12"/>
                <c:pt idx="0">
                  <c:v>536.5</c:v>
                </c:pt>
                <c:pt idx="1">
                  <c:v>536.5</c:v>
                </c:pt>
                <c:pt idx="2">
                  <c:v>536.5</c:v>
                </c:pt>
                <c:pt idx="3">
                  <c:v>536.5</c:v>
                </c:pt>
                <c:pt idx="4">
                  <c:v>536.5</c:v>
                </c:pt>
                <c:pt idx="5">
                  <c:v>536.5</c:v>
                </c:pt>
                <c:pt idx="6">
                  <c:v>536.5</c:v>
                </c:pt>
                <c:pt idx="7">
                  <c:v>536.5</c:v>
                </c:pt>
                <c:pt idx="8">
                  <c:v>536.5</c:v>
                </c:pt>
                <c:pt idx="9">
                  <c:v>536.5</c:v>
                </c:pt>
                <c:pt idx="10">
                  <c:v>536.5</c:v>
                </c:pt>
                <c:pt idx="11">
                  <c:v>536.5</c:v>
                </c:pt>
              </c:numCache>
            </c:numRef>
          </c:val>
          <c:smooth val="0"/>
        </c:ser>
        <c:ser>
          <c:idx val="4"/>
          <c:order val="3"/>
          <c:tx>
            <c:strRef>
              <c:f>'P.R. Surveillance Endoscopy'!$A$167</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Endoscopy'!$B$167:$AW$167</c:f>
              <c:numCache>
                <c:formatCode>#,##0</c:formatCode>
                <c:ptCount val="48"/>
                <c:pt idx="12">
                  <c:v>1971.5</c:v>
                </c:pt>
                <c:pt idx="13">
                  <c:v>1971.5</c:v>
                </c:pt>
                <c:pt idx="14">
                  <c:v>1971.5</c:v>
                </c:pt>
                <c:pt idx="15">
                  <c:v>1971.5</c:v>
                </c:pt>
                <c:pt idx="16">
                  <c:v>1971.5</c:v>
                </c:pt>
                <c:pt idx="17">
                  <c:v>1971.5</c:v>
                </c:pt>
                <c:pt idx="18">
                  <c:v>1971.5</c:v>
                </c:pt>
                <c:pt idx="19">
                  <c:v>1971.5</c:v>
                </c:pt>
                <c:pt idx="20">
                  <c:v>1971.5</c:v>
                </c:pt>
                <c:pt idx="21">
                  <c:v>1971.5</c:v>
                </c:pt>
                <c:pt idx="22">
                  <c:v>1971.5</c:v>
                </c:pt>
                <c:pt idx="23">
                  <c:v>1971.5</c:v>
                </c:pt>
                <c:pt idx="24">
                  <c:v>0</c:v>
                </c:pt>
              </c:numCache>
            </c:numRef>
          </c:val>
          <c:smooth val="0"/>
        </c:ser>
        <c:ser>
          <c:idx val="5"/>
          <c:order val="4"/>
          <c:tx>
            <c:strRef>
              <c:f>'P.R. Surveillance Endoscopy'!$A$168</c:f>
              <c:strCache>
                <c:ptCount val="1"/>
                <c:pt idx="0">
                  <c:v>Temporary New Median</c:v>
                </c:pt>
              </c:strCache>
            </c:strRef>
          </c:tx>
          <c:spPr>
            <a:ln w="25400">
              <a:solidFill>
                <a:srgbClr val="E69F00"/>
              </a:solidFill>
              <a:prstDash val="solid"/>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'P.R. Surveillance Endoscopy'!$B$168:$AW$168</c:f>
              <c:numCache>
                <c:formatCode>#,##0</c:formatCode>
                <c:ptCount val="48"/>
                <c:pt idx="24">
                  <c:v>2519</c:v>
                </c:pt>
                <c:pt idx="25">
                  <c:v>2519</c:v>
                </c:pt>
                <c:pt idx="26">
                  <c:v>2519</c:v>
                </c:pt>
                <c:pt idx="27">
                  <c:v>2519</c:v>
                </c:pt>
                <c:pt idx="28">
                  <c:v>2519</c:v>
                </c:pt>
                <c:pt idx="29">
                  <c:v>2519</c:v>
                </c:pt>
                <c:pt idx="30">
                  <c:v>2519</c:v>
                </c:pt>
                <c:pt idx="31">
                  <c:v>2519</c:v>
                </c:pt>
                <c:pt idx="32">
                  <c:v>2519</c:v>
                </c:pt>
                <c:pt idx="33">
                  <c:v>2519</c:v>
                </c:pt>
                <c:pt idx="34">
                  <c:v>2519</c:v>
                </c:pt>
                <c:pt idx="35">
                  <c:v>2519</c:v>
                </c:pt>
              </c:numCache>
            </c:numRef>
          </c:val>
          <c:smooth val="0"/>
        </c:ser>
        <c:dLbls>
          <c:showLegendKey val="0"/>
          <c:showVal val="0"/>
          <c:showCatName val="0"/>
          <c:showSerName val="0"/>
          <c:showPercent val="0"/>
          <c:showBubbleSize val="0"/>
        </c:dLbls>
        <c:marker val="1"/>
        <c:smooth val="0"/>
        <c:axId val="216614784"/>
        <c:axId val="216616320"/>
      </c:lineChart>
      <c:dateAx>
        <c:axId val="216614784"/>
        <c:scaling>
          <c:orientation val="minMax"/>
        </c:scaling>
        <c:delete val="0"/>
        <c:axPos val="b"/>
        <c:numFmt formatCode="mmm\ yy" sourceLinked="0"/>
        <c:majorTickMark val="none"/>
        <c:minorTickMark val="none"/>
        <c:tickLblPos val="nextTo"/>
        <c:txPr>
          <a:bodyPr rot="-5400000" vert="horz"/>
          <a:lstStyle/>
          <a:p>
            <a:pPr>
              <a:defRPr sz="800">
                <a:latin typeface="Arial" pitchFamily="34" charset="0"/>
                <a:cs typeface="Arial" pitchFamily="34" charset="0"/>
              </a:defRPr>
            </a:pPr>
            <a:endParaRPr lang="en-US"/>
          </a:p>
        </c:txPr>
        <c:crossAx val="216616320"/>
        <c:crosses val="autoZero"/>
        <c:auto val="1"/>
        <c:lblOffset val="100"/>
        <c:baseTimeUnit val="months"/>
        <c:majorUnit val="1"/>
        <c:majorTimeUnit val="months"/>
      </c:dateAx>
      <c:valAx>
        <c:axId val="216616320"/>
        <c:scaling>
          <c:orientation val="minMax"/>
        </c:scaling>
        <c:delete val="0"/>
        <c:axPos val="l"/>
        <c:majorGridlines/>
        <c:numFmt formatCode="#,##0" sourceLinked="0"/>
        <c:majorTickMark val="none"/>
        <c:minorTickMark val="none"/>
        <c:tickLblPos val="nextTo"/>
        <c:spPr>
          <a:ln w="9525">
            <a:solidFill>
              <a:schemeClr val="bg1">
                <a:lumMod val="65000"/>
              </a:schemeClr>
            </a:solidFill>
          </a:ln>
        </c:spPr>
        <c:txPr>
          <a:bodyPr/>
          <a:lstStyle/>
          <a:p>
            <a:pPr>
              <a:defRPr sz="800">
                <a:latin typeface="Arial" pitchFamily="34" charset="0"/>
                <a:cs typeface="Arial" pitchFamily="34" charset="0"/>
              </a:defRPr>
            </a:pPr>
            <a:endParaRPr lang="en-US"/>
          </a:p>
        </c:txPr>
        <c:crossAx val="216614784"/>
        <c:crosses val="autoZero"/>
        <c:crossBetween val="between"/>
      </c:valAx>
    </c:plotArea>
    <c:legend>
      <c:legendPos val="b"/>
      <c:layout>
        <c:manualLayout>
          <c:xMode val="edge"/>
          <c:yMode val="edge"/>
          <c:x val="1.063734016620844E-2"/>
          <c:y val="0.93795030802496837"/>
          <c:w val="0.96605706946964154"/>
          <c:h val="5.933417649218718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81" l="0.70000000000000062" r="0.70000000000000062" t="0.750000000000008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7.8254326561324306E-2"/>
          <c:w val="0.92597576703774098"/>
          <c:h val="0.66116818730991955"/>
        </c:manualLayout>
      </c:layout>
      <c:lineChart>
        <c:grouping val="standard"/>
        <c:varyColors val="0"/>
        <c:ser>
          <c:idx val="0"/>
          <c:order val="0"/>
          <c:tx>
            <c:strRef>
              <c:f>'Psych Therapies'!$A$11</c:f>
              <c:strCache>
                <c:ptCount val="1"/>
                <c:pt idx="0">
                  <c:v>Percentage seen within 18 weeks</c:v>
                </c:pt>
              </c:strCache>
            </c:strRef>
          </c:tx>
          <c:spPr>
            <a:ln w="25400">
              <a:solidFill>
                <a:srgbClr val="0070C0"/>
              </a:solidFill>
            </a:ln>
          </c:spPr>
          <c:marker>
            <c:symbol val="circle"/>
            <c:size val="4"/>
            <c:spPr>
              <a:solidFill>
                <a:srgbClr val="0070C0"/>
              </a:solidFill>
              <a:ln w="25400">
                <a:solidFill>
                  <a:srgbClr val="0070C0"/>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Therapies'!$B$11:$AW$11</c:f>
              <c:numCache>
                <c:formatCode>0.0%</c:formatCode>
                <c:ptCount val="48"/>
                <c:pt idx="0">
                  <c:v>0.39408866995073893</c:v>
                </c:pt>
                <c:pt idx="1">
                  <c:v>0.43979057591623039</c:v>
                </c:pt>
                <c:pt idx="2">
                  <c:v>0.3951048951048951</c:v>
                </c:pt>
                <c:pt idx="3">
                  <c:v>0.45</c:v>
                </c:pt>
                <c:pt idx="4">
                  <c:v>0.45864661654135336</c:v>
                </c:pt>
                <c:pt idx="5">
                  <c:v>0.47435897435897434</c:v>
                </c:pt>
                <c:pt idx="6">
                  <c:v>0.67622259696458686</c:v>
                </c:pt>
                <c:pt idx="7">
                  <c:v>0.69260700389105057</c:v>
                </c:pt>
                <c:pt idx="8">
                  <c:v>0.7303370786516854</c:v>
                </c:pt>
                <c:pt idx="9">
                  <c:v>0.66223908918406071</c:v>
                </c:pt>
                <c:pt idx="10">
                  <c:v>0.70485436893203879</c:v>
                </c:pt>
                <c:pt idx="11">
                  <c:v>0.72025052192066807</c:v>
                </c:pt>
                <c:pt idx="12">
                  <c:v>0.71824480369515009</c:v>
                </c:pt>
                <c:pt idx="13">
                  <c:v>0.69021739130434778</c:v>
                </c:pt>
                <c:pt idx="14">
                  <c:v>0.68080808080808086</c:v>
                </c:pt>
                <c:pt idx="15">
                  <c:v>0.71855010660980811</c:v>
                </c:pt>
                <c:pt idx="16">
                  <c:v>0.72310405643738973</c:v>
                </c:pt>
                <c:pt idx="17">
                  <c:v>0.7551789077212806</c:v>
                </c:pt>
                <c:pt idx="18">
                  <c:v>0.60258780036968573</c:v>
                </c:pt>
                <c:pt idx="19">
                  <c:v>0.61049284578696339</c:v>
                </c:pt>
                <c:pt idx="20">
                  <c:v>0.73130841121495327</c:v>
                </c:pt>
                <c:pt idx="21">
                  <c:v>0.65232358003442337</c:v>
                </c:pt>
                <c:pt idx="22">
                  <c:v>0.66085271317829453</c:v>
                </c:pt>
                <c:pt idx="23">
                  <c:v>0.68561278863232678</c:v>
                </c:pt>
                <c:pt idx="24">
                  <c:v>0.59958932238193019</c:v>
                </c:pt>
                <c:pt idx="25">
                  <c:v>0.64516129032258063</c:v>
                </c:pt>
                <c:pt idx="26">
                  <c:v>0.67519181585677746</c:v>
                </c:pt>
                <c:pt idx="27">
                  <c:v>0.66825396825396821</c:v>
                </c:pt>
                <c:pt idx="28">
                  <c:v>0.60949464012251153</c:v>
                </c:pt>
                <c:pt idx="29">
                  <c:v>0.58714043993231813</c:v>
                </c:pt>
                <c:pt idx="30">
                  <c:v>0.70194384449244063</c:v>
                </c:pt>
                <c:pt idx="31">
                  <c:v>0.71148459383753504</c:v>
                </c:pt>
                <c:pt idx="32">
                  <c:v>0.75102599179206564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'Psych Therapies'!$A$18</c:f>
              <c:strCache>
                <c:ptCount val="1"/>
                <c:pt idx="0">
                  <c:v>Target</c:v>
                </c:pt>
              </c:strCache>
            </c:strRef>
          </c:tx>
          <c:spPr>
            <a:ln w="25400">
              <a:solidFill>
                <a:srgbClr val="FF00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Therapies'!$B$18:$AW$18</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'Psych Therapies'!$A$12</c:f>
              <c:strCache>
                <c:ptCount val="1"/>
                <c:pt idx="0">
                  <c:v>Baseline Median</c:v>
                </c:pt>
              </c:strCache>
            </c:strRef>
          </c:tx>
          <c:spPr>
            <a:ln w="25400">
              <a:solidFill>
                <a:schemeClr val="tx1">
                  <a:lumMod val="95000"/>
                  <a:lumOff val="5000"/>
                </a:schemeClr>
              </a:solidFill>
              <a:prstDash val="solid"/>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Therapies'!$B$12:$AW$12</c:f>
              <c:numCache>
                <c:formatCode>0.0%</c:formatCode>
                <c:ptCount val="48"/>
                <c:pt idx="6">
                  <c:v>0.69873068641154468</c:v>
                </c:pt>
                <c:pt idx="7">
                  <c:v>0.69873068641154468</c:v>
                </c:pt>
                <c:pt idx="8">
                  <c:v>0.69873068641154468</c:v>
                </c:pt>
                <c:pt idx="9">
                  <c:v>0.69873068641154468</c:v>
                </c:pt>
                <c:pt idx="10">
                  <c:v>0.69873068641154468</c:v>
                </c:pt>
                <c:pt idx="11">
                  <c:v>0.69873068641154468</c:v>
                </c:pt>
              </c:numCache>
            </c:numRef>
          </c:val>
          <c:smooth val="0"/>
        </c:ser>
        <c:ser>
          <c:idx val="3"/>
          <c:order val="3"/>
          <c:tx>
            <c:strRef>
              <c:f>'Psych Therapies'!$A$13</c:f>
              <c:strCache>
                <c:ptCount val="1"/>
                <c:pt idx="0">
                  <c:v>Extended Median</c:v>
                </c:pt>
              </c:strCache>
            </c:strRef>
          </c:tx>
          <c:spPr>
            <a:ln w="25400">
              <a:solidFill>
                <a:schemeClr val="tx1"/>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Therapies'!$B$13:$AW$13</c:f>
              <c:numCache>
                <c:formatCode>0.0%</c:formatCode>
                <c:ptCount val="48"/>
                <c:pt idx="11">
                  <c:v>0.69873068641154468</c:v>
                </c:pt>
                <c:pt idx="12">
                  <c:v>0.69873068641154468</c:v>
                </c:pt>
                <c:pt idx="13">
                  <c:v>0.69873068641154468</c:v>
                </c:pt>
                <c:pt idx="14">
                  <c:v>0.69873068641154468</c:v>
                </c:pt>
                <c:pt idx="15">
                  <c:v>0.69873068641154468</c:v>
                </c:pt>
                <c:pt idx="16">
                  <c:v>0.69873068641154468</c:v>
                </c:pt>
                <c:pt idx="17">
                  <c:v>0.69873068641154468</c:v>
                </c:pt>
                <c:pt idx="18">
                  <c:v>0.69873068641154468</c:v>
                </c:pt>
                <c:pt idx="19">
                  <c:v>0.69873068641154468</c:v>
                </c:pt>
                <c:pt idx="20">
                  <c:v>0.69873068641154468</c:v>
                </c:pt>
              </c:numCache>
            </c:numRef>
          </c:val>
          <c:smooth val="0"/>
        </c:ser>
        <c:ser>
          <c:idx val="4"/>
          <c:order val="4"/>
          <c:tx>
            <c:strRef>
              <c:f>'Psych Therapies'!$A$14</c:f>
              <c:strCache>
                <c:ptCount val="1"/>
                <c:pt idx="0">
                  <c:v>New Median</c:v>
                </c:pt>
              </c:strCache>
            </c:strRef>
          </c:tx>
          <c:spPr>
            <a:ln w="25400">
              <a:solidFill>
                <a:srgbClr val="E69F00"/>
              </a:solidFill>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Therapies'!$B$14:$AB$14</c:f>
              <c:numCache>
                <c:formatCode>0.0%</c:formatCode>
                <c:ptCount val="27"/>
                <c:pt idx="21">
                  <c:v>0.656588146606359</c:v>
                </c:pt>
                <c:pt idx="22">
                  <c:v>0.656588146606359</c:v>
                </c:pt>
                <c:pt idx="23">
                  <c:v>0.656588146606359</c:v>
                </c:pt>
                <c:pt idx="24">
                  <c:v>0.656588146606359</c:v>
                </c:pt>
                <c:pt idx="25">
                  <c:v>0.656588146606359</c:v>
                </c:pt>
                <c:pt idx="26">
                  <c:v>0.656588146606359</c:v>
                </c:pt>
              </c:numCache>
            </c:numRef>
          </c:val>
          <c:smooth val="0"/>
        </c:ser>
        <c:ser>
          <c:idx val="5"/>
          <c:order val="5"/>
          <c:tx>
            <c:strRef>
              <c:f>'Psych Therapies'!$A$15</c:f>
              <c:strCache>
                <c:ptCount val="1"/>
                <c:pt idx="0">
                  <c:v>Extended New Median</c:v>
                </c:pt>
              </c:strCache>
            </c:strRef>
          </c:tx>
          <c:spPr>
            <a:ln w="25400">
              <a:solidFill>
                <a:srgbClr val="E69F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Therapies'!$B$15:$AW$15</c:f>
              <c:numCache>
                <c:formatCode>0.0%</c:formatCode>
                <c:ptCount val="48"/>
                <c:pt idx="26">
                  <c:v>0.656588146606359</c:v>
                </c:pt>
                <c:pt idx="27">
                  <c:v>0.656588146606359</c:v>
                </c:pt>
                <c:pt idx="28">
                  <c:v>0.656588146606359</c:v>
                </c:pt>
                <c:pt idx="29">
                  <c:v>0.656588146606359</c:v>
                </c:pt>
                <c:pt idx="30">
                  <c:v>0.656588146606359</c:v>
                </c:pt>
                <c:pt idx="31">
                  <c:v>0.656588146606359</c:v>
                </c:pt>
                <c:pt idx="32">
                  <c:v>0.656588146606359</c:v>
                </c:pt>
                <c:pt idx="33">
                  <c:v>0.656588146606359</c:v>
                </c:pt>
                <c:pt idx="34">
                  <c:v>0.656588146606359</c:v>
                </c:pt>
                <c:pt idx="35">
                  <c:v>0.656588146606359</c:v>
                </c:pt>
                <c:pt idx="36">
                  <c:v>0.656588146606359</c:v>
                </c:pt>
                <c:pt idx="37">
                  <c:v>0.656588146606359</c:v>
                </c:pt>
                <c:pt idx="38">
                  <c:v>0.656588146606359</c:v>
                </c:pt>
                <c:pt idx="39">
                  <c:v>0.656588146606359</c:v>
                </c:pt>
                <c:pt idx="40">
                  <c:v>0.656588146606359</c:v>
                </c:pt>
                <c:pt idx="41">
                  <c:v>0.656588146606359</c:v>
                </c:pt>
                <c:pt idx="42">
                  <c:v>0.656588146606359</c:v>
                </c:pt>
                <c:pt idx="43">
                  <c:v>0.656588146606359</c:v>
                </c:pt>
                <c:pt idx="44">
                  <c:v>0.656588146606359</c:v>
                </c:pt>
                <c:pt idx="45">
                  <c:v>0.656588146606359</c:v>
                </c:pt>
                <c:pt idx="46">
                  <c:v>0.656588146606359</c:v>
                </c:pt>
                <c:pt idx="47">
                  <c:v>0.656588146606359</c:v>
                </c:pt>
              </c:numCache>
            </c:numRef>
          </c:val>
          <c:smooth val="0"/>
        </c:ser>
        <c:dLbls>
          <c:showLegendKey val="0"/>
          <c:showVal val="0"/>
          <c:showCatName val="0"/>
          <c:showSerName val="0"/>
          <c:showPercent val="0"/>
          <c:showBubbleSize val="0"/>
        </c:dLbls>
        <c:marker val="1"/>
        <c:smooth val="0"/>
        <c:axId val="215477248"/>
        <c:axId val="215479040"/>
      </c:lineChart>
      <c:dateAx>
        <c:axId val="2154772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479040"/>
        <c:crosses val="autoZero"/>
        <c:auto val="1"/>
        <c:lblOffset val="100"/>
        <c:baseTimeUnit val="months"/>
        <c:majorUnit val="1"/>
        <c:majorTimeUnit val="months"/>
      </c:dateAx>
      <c:valAx>
        <c:axId val="215479040"/>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477248"/>
        <c:crosses val="autoZero"/>
        <c:crossBetween val="between"/>
      </c:valAx>
    </c:plotArea>
    <c:legend>
      <c:legendPos val="r"/>
      <c:layout>
        <c:manualLayout>
          <c:xMode val="edge"/>
          <c:yMode val="edge"/>
          <c:x val="1.1250331093934361E-2"/>
          <c:y val="0.87301587301588102"/>
          <c:w val="0.97464892003178971"/>
          <c:h val="0.1269841269841269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'Psych Therapies'!$A$22</c:f>
              <c:strCache>
                <c:ptCount val="1"/>
                <c:pt idx="0">
                  <c:v>Number Seen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Therapies'!$B$22:$AW$22</c:f>
              <c:numCache>
                <c:formatCode>#,##0</c:formatCode>
                <c:ptCount val="48"/>
                <c:pt idx="0">
                  <c:v>80</c:v>
                </c:pt>
                <c:pt idx="1">
                  <c:v>84</c:v>
                </c:pt>
                <c:pt idx="2">
                  <c:v>113</c:v>
                </c:pt>
                <c:pt idx="3">
                  <c:v>126</c:v>
                </c:pt>
                <c:pt idx="4">
                  <c:v>122</c:v>
                </c:pt>
                <c:pt idx="5">
                  <c:v>148</c:v>
                </c:pt>
                <c:pt idx="6">
                  <c:v>401</c:v>
                </c:pt>
                <c:pt idx="7">
                  <c:v>356</c:v>
                </c:pt>
                <c:pt idx="8">
                  <c:v>260</c:v>
                </c:pt>
                <c:pt idx="9">
                  <c:v>349</c:v>
                </c:pt>
                <c:pt idx="10">
                  <c:v>363</c:v>
                </c:pt>
                <c:pt idx="11">
                  <c:v>345</c:v>
                </c:pt>
                <c:pt idx="12">
                  <c:v>311</c:v>
                </c:pt>
                <c:pt idx="13">
                  <c:v>381</c:v>
                </c:pt>
                <c:pt idx="14">
                  <c:v>337</c:v>
                </c:pt>
                <c:pt idx="15">
                  <c:v>337</c:v>
                </c:pt>
                <c:pt idx="16">
                  <c:v>410</c:v>
                </c:pt>
                <c:pt idx="17">
                  <c:v>401</c:v>
                </c:pt>
                <c:pt idx="18">
                  <c:v>326</c:v>
                </c:pt>
                <c:pt idx="19">
                  <c:v>384</c:v>
                </c:pt>
                <c:pt idx="20">
                  <c:v>313</c:v>
                </c:pt>
                <c:pt idx="21">
                  <c:v>379</c:v>
                </c:pt>
                <c:pt idx="22">
                  <c:v>341</c:v>
                </c:pt>
                <c:pt idx="23">
                  <c:v>386</c:v>
                </c:pt>
                <c:pt idx="24">
                  <c:v>292</c:v>
                </c:pt>
                <c:pt idx="25">
                  <c:v>440</c:v>
                </c:pt>
                <c:pt idx="26">
                  <c:v>528</c:v>
                </c:pt>
                <c:pt idx="27">
                  <c:v>421</c:v>
                </c:pt>
                <c:pt idx="28">
                  <c:v>398</c:v>
                </c:pt>
                <c:pt idx="29">
                  <c:v>347</c:v>
                </c:pt>
                <c:pt idx="30">
                  <c:v>650</c:v>
                </c:pt>
                <c:pt idx="31">
                  <c:v>762</c:v>
                </c:pt>
                <c:pt idx="32">
                  <c:v>549</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Therapies'!$A$23</c:f>
              <c:strCache>
                <c:ptCount val="1"/>
                <c:pt idx="0">
                  <c:v>Number Seen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Therapies'!$B$23:$AW$23</c:f>
              <c:numCache>
                <c:formatCode>#,##0</c:formatCode>
                <c:ptCount val="48"/>
                <c:pt idx="0">
                  <c:v>123</c:v>
                </c:pt>
                <c:pt idx="1">
                  <c:v>107</c:v>
                </c:pt>
                <c:pt idx="2">
                  <c:v>173</c:v>
                </c:pt>
                <c:pt idx="3">
                  <c:v>154</c:v>
                </c:pt>
                <c:pt idx="4">
                  <c:v>144</c:v>
                </c:pt>
                <c:pt idx="5">
                  <c:v>164</c:v>
                </c:pt>
                <c:pt idx="6">
                  <c:v>192</c:v>
                </c:pt>
                <c:pt idx="7">
                  <c:v>158</c:v>
                </c:pt>
                <c:pt idx="8">
                  <c:v>96</c:v>
                </c:pt>
                <c:pt idx="9">
                  <c:v>178</c:v>
                </c:pt>
                <c:pt idx="10">
                  <c:v>152</c:v>
                </c:pt>
                <c:pt idx="11">
                  <c:v>134</c:v>
                </c:pt>
                <c:pt idx="12">
                  <c:v>122</c:v>
                </c:pt>
                <c:pt idx="13">
                  <c:v>171</c:v>
                </c:pt>
                <c:pt idx="14">
                  <c:v>158</c:v>
                </c:pt>
                <c:pt idx="15">
                  <c:v>132</c:v>
                </c:pt>
                <c:pt idx="16">
                  <c:v>157</c:v>
                </c:pt>
                <c:pt idx="17">
                  <c:v>130</c:v>
                </c:pt>
                <c:pt idx="18">
                  <c:v>215</c:v>
                </c:pt>
                <c:pt idx="19">
                  <c:v>245</c:v>
                </c:pt>
                <c:pt idx="20">
                  <c:v>115</c:v>
                </c:pt>
                <c:pt idx="21">
                  <c:v>202</c:v>
                </c:pt>
                <c:pt idx="22">
                  <c:v>175</c:v>
                </c:pt>
                <c:pt idx="23">
                  <c:v>177</c:v>
                </c:pt>
                <c:pt idx="24">
                  <c:v>195</c:v>
                </c:pt>
                <c:pt idx="25">
                  <c:v>242</c:v>
                </c:pt>
                <c:pt idx="26">
                  <c:v>254</c:v>
                </c:pt>
                <c:pt idx="27">
                  <c:v>209</c:v>
                </c:pt>
                <c:pt idx="28">
                  <c:v>255</c:v>
                </c:pt>
                <c:pt idx="29">
                  <c:v>244</c:v>
                </c:pt>
                <c:pt idx="30">
                  <c:v>276</c:v>
                </c:pt>
                <c:pt idx="31">
                  <c:v>309</c:v>
                </c:pt>
                <c:pt idx="32">
                  <c:v>182</c:v>
                </c:pt>
              </c:numCache>
            </c:numRef>
          </c:val>
        </c:ser>
        <c:dLbls>
          <c:showLegendKey val="0"/>
          <c:showVal val="0"/>
          <c:showCatName val="0"/>
          <c:showSerName val="0"/>
          <c:showPercent val="0"/>
          <c:showBubbleSize val="0"/>
        </c:dLbls>
        <c:gapWidth val="150"/>
        <c:axId val="215522688"/>
        <c:axId val="215529728"/>
      </c:barChart>
      <c:lineChart>
        <c:grouping val="standard"/>
        <c:varyColors val="0"/>
        <c:ser>
          <c:idx val="0"/>
          <c:order val="0"/>
          <c:tx>
            <c:strRef>
              <c:f>'Psych Therapies'!$A$21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Therapies'!$B$21:$AW$21</c:f>
              <c:numCache>
                <c:formatCode>#,##0</c:formatCode>
                <c:ptCount val="48"/>
                <c:pt idx="0">
                  <c:v>203</c:v>
                </c:pt>
                <c:pt idx="1">
                  <c:v>191</c:v>
                </c:pt>
                <c:pt idx="2">
                  <c:v>286</c:v>
                </c:pt>
                <c:pt idx="3">
                  <c:v>280</c:v>
                </c:pt>
                <c:pt idx="4">
                  <c:v>266</c:v>
                </c:pt>
                <c:pt idx="5">
                  <c:v>312</c:v>
                </c:pt>
                <c:pt idx="6">
                  <c:v>593</c:v>
                </c:pt>
                <c:pt idx="7">
                  <c:v>514</c:v>
                </c:pt>
                <c:pt idx="8">
                  <c:v>356</c:v>
                </c:pt>
                <c:pt idx="9">
                  <c:v>527</c:v>
                </c:pt>
                <c:pt idx="10">
                  <c:v>515</c:v>
                </c:pt>
                <c:pt idx="11">
                  <c:v>479</c:v>
                </c:pt>
                <c:pt idx="12">
                  <c:v>433</c:v>
                </c:pt>
                <c:pt idx="13">
                  <c:v>552</c:v>
                </c:pt>
                <c:pt idx="14">
                  <c:v>495</c:v>
                </c:pt>
                <c:pt idx="15">
                  <c:v>469</c:v>
                </c:pt>
                <c:pt idx="16">
                  <c:v>567</c:v>
                </c:pt>
                <c:pt idx="17">
                  <c:v>531</c:v>
                </c:pt>
                <c:pt idx="18">
                  <c:v>541</c:v>
                </c:pt>
                <c:pt idx="19">
                  <c:v>629</c:v>
                </c:pt>
                <c:pt idx="20">
                  <c:v>428</c:v>
                </c:pt>
                <c:pt idx="21">
                  <c:v>581</c:v>
                </c:pt>
                <c:pt idx="22">
                  <c:v>516</c:v>
                </c:pt>
                <c:pt idx="23">
                  <c:v>563</c:v>
                </c:pt>
                <c:pt idx="24">
                  <c:v>487</c:v>
                </c:pt>
                <c:pt idx="25">
                  <c:v>682</c:v>
                </c:pt>
                <c:pt idx="26">
                  <c:v>782</c:v>
                </c:pt>
                <c:pt idx="27">
                  <c:v>630</c:v>
                </c:pt>
                <c:pt idx="28">
                  <c:v>653</c:v>
                </c:pt>
                <c:pt idx="29">
                  <c:v>591</c:v>
                </c:pt>
                <c:pt idx="30">
                  <c:v>926</c:v>
                </c:pt>
                <c:pt idx="31">
                  <c:v>1071</c:v>
                </c:pt>
                <c:pt idx="32">
                  <c:v>731</c:v>
                </c:pt>
              </c:numCache>
            </c:numRef>
          </c:val>
          <c:smooth val="0"/>
        </c:ser>
        <c:dLbls>
          <c:showLegendKey val="0"/>
          <c:showVal val="0"/>
          <c:showCatName val="0"/>
          <c:showSerName val="0"/>
          <c:showPercent val="0"/>
          <c:showBubbleSize val="0"/>
        </c:dLbls>
        <c:marker val="1"/>
        <c:smooth val="0"/>
        <c:axId val="215522688"/>
        <c:axId val="215529728"/>
      </c:lineChart>
      <c:dateAx>
        <c:axId val="2155226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529728"/>
        <c:crosses val="autoZero"/>
        <c:auto val="1"/>
        <c:lblOffset val="100"/>
        <c:baseTimeUnit val="months"/>
        <c:majorUnit val="1"/>
        <c:majorTimeUnit val="months"/>
      </c:dateAx>
      <c:valAx>
        <c:axId val="21552972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522688"/>
        <c:crosses val="autoZero"/>
        <c:crossBetween val="between"/>
      </c:valAx>
    </c:plotArea>
    <c:legend>
      <c:legendPos val="b"/>
      <c:layout>
        <c:manualLayout>
          <c:xMode val="edge"/>
          <c:yMode val="edge"/>
          <c:x val="0.17133625222485369"/>
          <c:y val="0.93679456734574862"/>
          <c:w val="0.63879445701919302"/>
          <c:h val="5.236539876959788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'Psych Therapies'!$A$29</c:f>
              <c:strCache>
                <c:ptCount val="1"/>
                <c:pt idx="0">
                  <c:v>Number Waiting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Therapies'!$B$29:$AW$29</c:f>
              <c:numCache>
                <c:formatCode>#,##0</c:formatCode>
                <c:ptCount val="48"/>
                <c:pt idx="0">
                  <c:v>1936</c:v>
                </c:pt>
                <c:pt idx="1">
                  <c:v>2084</c:v>
                </c:pt>
                <c:pt idx="2">
                  <c:v>2088</c:v>
                </c:pt>
                <c:pt idx="3">
                  <c:v>2073</c:v>
                </c:pt>
                <c:pt idx="4">
                  <c:v>2042</c:v>
                </c:pt>
                <c:pt idx="5">
                  <c:v>1930</c:v>
                </c:pt>
                <c:pt idx="6">
                  <c:v>2388</c:v>
                </c:pt>
                <c:pt idx="7">
                  <c:v>2555</c:v>
                </c:pt>
                <c:pt idx="8">
                  <c:v>2656</c:v>
                </c:pt>
                <c:pt idx="9">
                  <c:v>2524</c:v>
                </c:pt>
                <c:pt idx="10">
                  <c:v>2588</c:v>
                </c:pt>
                <c:pt idx="11">
                  <c:v>2535</c:v>
                </c:pt>
                <c:pt idx="12">
                  <c:v>2634</c:v>
                </c:pt>
                <c:pt idx="13">
                  <c:v>2625</c:v>
                </c:pt>
                <c:pt idx="14">
                  <c:v>2608</c:v>
                </c:pt>
                <c:pt idx="15">
                  <c:v>2586</c:v>
                </c:pt>
                <c:pt idx="16">
                  <c:v>2561</c:v>
                </c:pt>
                <c:pt idx="17">
                  <c:v>2576</c:v>
                </c:pt>
                <c:pt idx="18">
                  <c:v>2726</c:v>
                </c:pt>
                <c:pt idx="19">
                  <c:v>2816</c:v>
                </c:pt>
                <c:pt idx="20">
                  <c:v>2817</c:v>
                </c:pt>
                <c:pt idx="21">
                  <c:v>2799</c:v>
                </c:pt>
                <c:pt idx="22">
                  <c:v>3023</c:v>
                </c:pt>
                <c:pt idx="23">
                  <c:v>3101</c:v>
                </c:pt>
                <c:pt idx="24">
                  <c:v>3000</c:v>
                </c:pt>
                <c:pt idx="25">
                  <c:v>3183</c:v>
                </c:pt>
                <c:pt idx="26">
                  <c:v>3235</c:v>
                </c:pt>
                <c:pt idx="27">
                  <c:v>3371</c:v>
                </c:pt>
                <c:pt idx="28">
                  <c:v>3598</c:v>
                </c:pt>
                <c:pt idx="29">
                  <c:v>3758</c:v>
                </c:pt>
                <c:pt idx="30">
                  <c:v>3503</c:v>
                </c:pt>
                <c:pt idx="31">
                  <c:v>3418</c:v>
                </c:pt>
                <c:pt idx="32">
                  <c:v>3061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Therapies'!$A$30</c:f>
              <c:strCache>
                <c:ptCount val="1"/>
                <c:pt idx="0">
                  <c:v>Number Waiting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Therapies'!$B$30:$AW$30</c:f>
              <c:numCache>
                <c:formatCode>#,##0</c:formatCode>
                <c:ptCount val="48"/>
                <c:pt idx="0">
                  <c:v>1254</c:v>
                </c:pt>
                <c:pt idx="1">
                  <c:v>1257</c:v>
                </c:pt>
                <c:pt idx="2">
                  <c:v>1173</c:v>
                </c:pt>
                <c:pt idx="3">
                  <c:v>1146</c:v>
                </c:pt>
                <c:pt idx="4">
                  <c:v>1108</c:v>
                </c:pt>
                <c:pt idx="5">
                  <c:v>1085</c:v>
                </c:pt>
                <c:pt idx="6">
                  <c:v>1069</c:v>
                </c:pt>
                <c:pt idx="7">
                  <c:v>985</c:v>
                </c:pt>
                <c:pt idx="8">
                  <c:v>1041</c:v>
                </c:pt>
                <c:pt idx="9">
                  <c:v>902</c:v>
                </c:pt>
                <c:pt idx="10">
                  <c:v>892</c:v>
                </c:pt>
                <c:pt idx="11">
                  <c:v>1013</c:v>
                </c:pt>
                <c:pt idx="12">
                  <c:v>1073</c:v>
                </c:pt>
                <c:pt idx="13">
                  <c:v>1075</c:v>
                </c:pt>
                <c:pt idx="14">
                  <c:v>1183</c:v>
                </c:pt>
                <c:pt idx="15">
                  <c:v>1292</c:v>
                </c:pt>
                <c:pt idx="16">
                  <c:v>1309</c:v>
                </c:pt>
                <c:pt idx="17">
                  <c:v>1363</c:v>
                </c:pt>
                <c:pt idx="18">
                  <c:v>1337</c:v>
                </c:pt>
                <c:pt idx="19">
                  <c:v>1240</c:v>
                </c:pt>
                <c:pt idx="20">
                  <c:v>1337</c:v>
                </c:pt>
                <c:pt idx="21">
                  <c:v>1338</c:v>
                </c:pt>
                <c:pt idx="22">
                  <c:v>1318</c:v>
                </c:pt>
                <c:pt idx="23">
                  <c:v>1354</c:v>
                </c:pt>
                <c:pt idx="24">
                  <c:v>1416</c:v>
                </c:pt>
                <c:pt idx="25">
                  <c:v>1344</c:v>
                </c:pt>
                <c:pt idx="26">
                  <c:v>1418</c:v>
                </c:pt>
                <c:pt idx="27">
                  <c:v>1542</c:v>
                </c:pt>
                <c:pt idx="28">
                  <c:v>1576</c:v>
                </c:pt>
                <c:pt idx="29">
                  <c:v>1569</c:v>
                </c:pt>
                <c:pt idx="30">
                  <c:v>1632</c:v>
                </c:pt>
                <c:pt idx="31">
                  <c:v>1625</c:v>
                </c:pt>
                <c:pt idx="32">
                  <c:v>1660</c:v>
                </c:pt>
              </c:numCache>
            </c:numRef>
          </c:val>
        </c:ser>
        <c:dLbls>
          <c:showLegendKey val="0"/>
          <c:showVal val="0"/>
          <c:showCatName val="0"/>
          <c:showSerName val="0"/>
          <c:showPercent val="0"/>
          <c:showBubbleSize val="0"/>
        </c:dLbls>
        <c:gapWidth val="150"/>
        <c:axId val="215630976"/>
        <c:axId val="215633920"/>
      </c:barChart>
      <c:lineChart>
        <c:grouping val="standard"/>
        <c:varyColors val="0"/>
        <c:ser>
          <c:idx val="0"/>
          <c:order val="0"/>
          <c:tx>
            <c:strRef>
              <c:f>'Psych Therapies'!$A$28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'Psych Therapies'!$B$28:$AW$28</c:f>
              <c:numCache>
                <c:formatCode>#,##0</c:formatCode>
                <c:ptCount val="48"/>
                <c:pt idx="0">
                  <c:v>3190</c:v>
                </c:pt>
                <c:pt idx="1">
                  <c:v>3341</c:v>
                </c:pt>
                <c:pt idx="2">
                  <c:v>3261</c:v>
                </c:pt>
                <c:pt idx="3">
                  <c:v>3219</c:v>
                </c:pt>
                <c:pt idx="4">
                  <c:v>3150</c:v>
                </c:pt>
                <c:pt idx="5">
                  <c:v>3015</c:v>
                </c:pt>
                <c:pt idx="6">
                  <c:v>3457</c:v>
                </c:pt>
                <c:pt idx="7">
                  <c:v>3540</c:v>
                </c:pt>
                <c:pt idx="8">
                  <c:v>3697</c:v>
                </c:pt>
                <c:pt idx="9">
                  <c:v>3426</c:v>
                </c:pt>
                <c:pt idx="10">
                  <c:v>3480</c:v>
                </c:pt>
                <c:pt idx="11">
                  <c:v>3548</c:v>
                </c:pt>
                <c:pt idx="12">
                  <c:v>3707</c:v>
                </c:pt>
                <c:pt idx="13">
                  <c:v>3700</c:v>
                </c:pt>
                <c:pt idx="14">
                  <c:v>3791</c:v>
                </c:pt>
                <c:pt idx="15">
                  <c:v>3878</c:v>
                </c:pt>
                <c:pt idx="16">
                  <c:v>3870</c:v>
                </c:pt>
                <c:pt idx="17">
                  <c:v>3939</c:v>
                </c:pt>
                <c:pt idx="18">
                  <c:v>4063</c:v>
                </c:pt>
                <c:pt idx="19">
                  <c:v>4056</c:v>
                </c:pt>
                <c:pt idx="20">
                  <c:v>4154</c:v>
                </c:pt>
                <c:pt idx="21">
                  <c:v>4137</c:v>
                </c:pt>
                <c:pt idx="22">
                  <c:v>4341</c:v>
                </c:pt>
                <c:pt idx="23">
                  <c:v>4455</c:v>
                </c:pt>
                <c:pt idx="24">
                  <c:v>4416</c:v>
                </c:pt>
                <c:pt idx="25">
                  <c:v>4527</c:v>
                </c:pt>
                <c:pt idx="26">
                  <c:v>4653</c:v>
                </c:pt>
                <c:pt idx="27">
                  <c:v>4913</c:v>
                </c:pt>
                <c:pt idx="28">
                  <c:v>5174</c:v>
                </c:pt>
                <c:pt idx="29">
                  <c:v>5327</c:v>
                </c:pt>
                <c:pt idx="30">
                  <c:v>5135</c:v>
                </c:pt>
                <c:pt idx="31">
                  <c:v>5043</c:v>
                </c:pt>
                <c:pt idx="32">
                  <c:v>4721</c:v>
                </c:pt>
              </c:numCache>
            </c:numRef>
          </c:val>
          <c:smooth val="0"/>
        </c:ser>
        <c:dLbls>
          <c:showLegendKey val="0"/>
          <c:showVal val="0"/>
          <c:showCatName val="0"/>
          <c:showSerName val="0"/>
          <c:showPercent val="0"/>
          <c:showBubbleSize val="0"/>
        </c:dLbls>
        <c:marker val="1"/>
        <c:smooth val="0"/>
        <c:axId val="215630976"/>
        <c:axId val="215633920"/>
      </c:lineChart>
      <c:dateAx>
        <c:axId val="21563097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5633920"/>
        <c:crosses val="autoZero"/>
        <c:auto val="1"/>
        <c:lblOffset val="100"/>
        <c:baseTimeUnit val="months"/>
      </c:dateAx>
      <c:valAx>
        <c:axId val="21563392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5630976"/>
        <c:crosses val="autoZero"/>
        <c:crossBetween val="between"/>
      </c:valAx>
    </c:plotArea>
    <c:legend>
      <c:legendPos val="b"/>
      <c:layout>
        <c:manualLayout>
          <c:xMode val="edge"/>
          <c:yMode val="edge"/>
          <c:x val="0.17089305402425578"/>
          <c:y val="0.93650793650793651"/>
          <c:w val="0.62072767364941295"/>
          <c:h val="4.23280423280423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887477560881615"/>
          <c:h val="0.75946875000000003"/>
        </c:manualLayout>
      </c:layout>
      <c:lineChart>
        <c:grouping val="standard"/>
        <c:varyColors val="0"/>
        <c:ser>
          <c:idx val="4"/>
          <c:order val="0"/>
          <c:tx>
            <c:strRef>
              <c:f>RTT!$A$10</c:f>
              <c:strCache>
                <c:ptCount val="1"/>
                <c:pt idx="0">
                  <c:v>Patient journeys within 18 weeks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RTT!$B$10:$AW$10</c:f>
              <c:numCache>
                <c:formatCode>0.0%</c:formatCode>
                <c:ptCount val="48"/>
                <c:pt idx="0">
                  <c:v>0.86099999999999999</c:v>
                </c:pt>
                <c:pt idx="1">
                  <c:v>0.87</c:v>
                </c:pt>
                <c:pt idx="2">
                  <c:v>0.8590000000000001</c:v>
                </c:pt>
                <c:pt idx="3">
                  <c:v>0.873</c:v>
                </c:pt>
                <c:pt idx="4">
                  <c:v>0.85199999999999998</c:v>
                </c:pt>
                <c:pt idx="5">
                  <c:v>0.84900000000000009</c:v>
                </c:pt>
                <c:pt idx="6">
                  <c:v>0.84</c:v>
                </c:pt>
                <c:pt idx="7">
                  <c:v>0.82499999999999996</c:v>
                </c:pt>
                <c:pt idx="8">
                  <c:v>0.82799999999999996</c:v>
                </c:pt>
                <c:pt idx="9">
                  <c:v>0.83</c:v>
                </c:pt>
                <c:pt idx="10">
                  <c:v>0.82400000000000007</c:v>
                </c:pt>
                <c:pt idx="11">
                  <c:v>0.82400000000000007</c:v>
                </c:pt>
                <c:pt idx="12">
                  <c:v>0.83</c:v>
                </c:pt>
                <c:pt idx="13">
                  <c:v>0.82900000000000007</c:v>
                </c:pt>
                <c:pt idx="14">
                  <c:v>0.81299999999999994</c:v>
                </c:pt>
                <c:pt idx="15">
                  <c:v>0.83599999999999997</c:v>
                </c:pt>
                <c:pt idx="16">
                  <c:v>0.83199999999999996</c:v>
                </c:pt>
                <c:pt idx="17">
                  <c:v>0.81</c:v>
                </c:pt>
                <c:pt idx="18">
                  <c:v>0.80200000000000005</c:v>
                </c:pt>
                <c:pt idx="19">
                  <c:v>0.79900000000000004</c:v>
                </c:pt>
                <c:pt idx="20">
                  <c:v>0.79900000000000004</c:v>
                </c:pt>
                <c:pt idx="21">
                  <c:v>0.79200000000000004</c:v>
                </c:pt>
                <c:pt idx="22">
                  <c:v>0.79300000000000004</c:v>
                </c:pt>
                <c:pt idx="23">
                  <c:v>0.79100000000000004</c:v>
                </c:pt>
                <c:pt idx="24">
                  <c:v>0.78800000000000003</c:v>
                </c:pt>
                <c:pt idx="25">
                  <c:v>0.81</c:v>
                </c:pt>
                <c:pt idx="26">
                  <c:v>0.81100000000000005</c:v>
                </c:pt>
                <c:pt idx="27">
                  <c:v>0.80700000000000005</c:v>
                </c:pt>
                <c:pt idx="28">
                  <c:v>0.79400000000000004</c:v>
                </c:pt>
                <c:pt idx="29">
                  <c:v>0.78600000000000003</c:v>
                </c:pt>
                <c:pt idx="30">
                  <c:v>0.78300000000000003</c:v>
                </c:pt>
                <c:pt idx="31">
                  <c:v>0.76200000000000001</c:v>
                </c:pt>
                <c:pt idx="32">
                  <c:v>0.77600000000000002</c:v>
                </c:pt>
              </c:numCache>
            </c:numRef>
          </c:val>
          <c:smooth val="0"/>
        </c:ser>
        <c:ser>
          <c:idx val="0"/>
          <c:order val="1"/>
          <c:tx>
            <c:strRef>
              <c:f>RTT!$A$14</c:f>
              <c:strCache>
                <c:ptCount val="1"/>
                <c:pt idx="0">
                  <c:v>Target (min)</c:v>
                </c:pt>
              </c:strCache>
            </c:strRef>
          </c:tx>
          <c:spPr>
            <a:ln w="25400">
              <a:solidFill>
                <a:srgbClr val="FF0000"/>
              </a:solidFill>
              <a:prstDash val="dash"/>
            </a:ln>
          </c:spPr>
          <c:marker>
            <c:symbol val="none"/>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numCache>
            </c:numRef>
          </c:cat>
          <c:val>
            <c:numRef>
              <c:f>RTT!$B$14:$AW$14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218632192"/>
        <c:axId val="218633728"/>
      </c:lineChart>
      <c:dateAx>
        <c:axId val="2186321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8633728"/>
        <c:crosses val="autoZero"/>
        <c:auto val="1"/>
        <c:lblOffset val="100"/>
        <c:baseTimeUnit val="months"/>
        <c:majorUnit val="1"/>
        <c:majorTimeUnit val="months"/>
      </c:dateAx>
      <c:valAx>
        <c:axId val="218633728"/>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8632192"/>
        <c:crosses val="autoZero"/>
        <c:crossBetween val="between"/>
        <c:majorUnit val="3.0000000000000016E-2"/>
      </c:valAx>
    </c:plotArea>
    <c:legend>
      <c:legendPos val="r"/>
      <c:layout>
        <c:manualLayout>
          <c:xMode val="edge"/>
          <c:yMode val="edge"/>
          <c:x val="0.22759021560661083"/>
          <c:y val="0.91572275687761251"/>
          <c:w val="0.57016431165282477"/>
          <c:h val="8.04879945562360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42857142857141E-2"/>
          <c:y val="3.0769230769230792E-2"/>
          <c:w val="0.92838095238095242"/>
          <c:h val="0.77842777777777783"/>
        </c:manualLayout>
      </c:layout>
      <c:lineChart>
        <c:grouping val="standard"/>
        <c:varyColors val="0"/>
        <c:ser>
          <c:idx val="0"/>
          <c:order val="0"/>
          <c:tx>
            <c:strRef>
              <c:f>'Sickness Absence'!$A$10</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'Sickness Absence'!$B$10:$AW$10</c:f>
              <c:numCache>
                <c:formatCode>0.00%</c:formatCode>
                <c:ptCount val="48"/>
                <c:pt idx="0">
                  <c:v>4.7699999999999992E-2</c:v>
                </c:pt>
                <c:pt idx="1">
                  <c:v>4.6699999999999998E-2</c:v>
                </c:pt>
                <c:pt idx="2">
                  <c:v>4.8099999999999997E-2</c:v>
                </c:pt>
                <c:pt idx="3">
                  <c:v>4.9299999999999997E-2</c:v>
                </c:pt>
                <c:pt idx="4">
                  <c:v>4.58E-2</c:v>
                </c:pt>
                <c:pt idx="5">
                  <c:v>4.82E-2</c:v>
                </c:pt>
                <c:pt idx="6">
                  <c:v>4.9800000000000004E-2</c:v>
                </c:pt>
                <c:pt idx="7">
                  <c:v>5.1200000000000002E-2</c:v>
                </c:pt>
                <c:pt idx="8">
                  <c:v>5.1799999999999999E-2</c:v>
                </c:pt>
                <c:pt idx="9">
                  <c:v>5.4100000000000002E-2</c:v>
                </c:pt>
                <c:pt idx="10">
                  <c:v>5.1399999999999994E-2</c:v>
                </c:pt>
                <c:pt idx="11">
                  <c:v>5.1200000000000002E-2</c:v>
                </c:pt>
                <c:pt idx="12">
                  <c:v>4.5700000000000005E-2</c:v>
                </c:pt>
                <c:pt idx="13">
                  <c:v>4.5400000000000003E-2</c:v>
                </c:pt>
                <c:pt idx="14">
                  <c:v>4.5100000000000001E-2</c:v>
                </c:pt>
                <c:pt idx="15">
                  <c:v>4.4999999999999998E-2</c:v>
                </c:pt>
                <c:pt idx="16">
                  <c:v>4.87E-2</c:v>
                </c:pt>
                <c:pt idx="17">
                  <c:v>4.8599999999999997E-2</c:v>
                </c:pt>
                <c:pt idx="18">
                  <c:v>4.9700000000000001E-2</c:v>
                </c:pt>
                <c:pt idx="19">
                  <c:v>5.1999999999999998E-2</c:v>
                </c:pt>
                <c:pt idx="20">
                  <c:v>5.2999999999999999E-2</c:v>
                </c:pt>
                <c:pt idx="21">
                  <c:v>5.45E-2</c:v>
                </c:pt>
                <c:pt idx="22">
                  <c:v>4.7800000000000002E-2</c:v>
                </c:pt>
                <c:pt idx="23">
                  <c:v>5.0999999999999997E-2</c:v>
                </c:pt>
                <c:pt idx="24">
                  <c:v>4.3900000000000002E-2</c:v>
                </c:pt>
                <c:pt idx="25">
                  <c:v>5.0799999999999998E-2</c:v>
                </c:pt>
                <c:pt idx="26">
                  <c:v>4.9099999999999998E-2</c:v>
                </c:pt>
                <c:pt idx="27">
                  <c:v>4.7100000000000003E-2</c:v>
                </c:pt>
                <c:pt idx="28">
                  <c:v>4.8800000000000003E-2</c:v>
                </c:pt>
                <c:pt idx="29">
                  <c:v>4.6300000000000001E-2</c:v>
                </c:pt>
                <c:pt idx="30">
                  <c:v>5.16E-2</c:v>
                </c:pt>
                <c:pt idx="31">
                  <c:v>5.3499999999999999E-2</c:v>
                </c:pt>
              </c:numCache>
            </c:numRef>
          </c:val>
          <c:smooth val="0"/>
        </c:ser>
        <c:ser>
          <c:idx val="1"/>
          <c:order val="1"/>
          <c:tx>
            <c:strRef>
              <c:f>'Sickness Absence'!$A$11</c:f>
              <c:strCache>
                <c:ptCount val="1"/>
                <c:pt idx="0">
                  <c:v>Target (max)</c:v>
                </c:pt>
              </c:strCache>
            </c:strRef>
          </c:tx>
          <c:spPr>
            <a:ln w="25400">
              <a:solidFill>
                <a:srgbClr val="FF0000"/>
              </a:solidFill>
              <a:prstDash val="dash"/>
            </a:ln>
          </c:spPr>
          <c:marker>
            <c:symbol val="none"/>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numCache>
            </c:numRef>
          </c:cat>
          <c:val>
            <c:numRef>
              <c:f>'Sickness Absence'!$B$11:$AW$11</c:f>
              <c:numCache>
                <c:formatCode>0.00%</c:formatCode>
                <c:ptCount val="48"/>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0.04</c:v>
                </c:pt>
                <c:pt idx="18">
                  <c:v>0.04</c:v>
                </c:pt>
                <c:pt idx="19">
                  <c:v>0.04</c:v>
                </c:pt>
                <c:pt idx="20">
                  <c:v>0.04</c:v>
                </c:pt>
                <c:pt idx="21">
                  <c:v>0.04</c:v>
                </c:pt>
                <c:pt idx="22">
                  <c:v>0.04</c:v>
                </c:pt>
                <c:pt idx="23">
                  <c:v>0.04</c:v>
                </c:pt>
                <c:pt idx="24">
                  <c:v>0.04</c:v>
                </c:pt>
                <c:pt idx="25">
                  <c:v>0.04</c:v>
                </c:pt>
                <c:pt idx="26">
                  <c:v>0.04</c:v>
                </c:pt>
                <c:pt idx="27">
                  <c:v>0.04</c:v>
                </c:pt>
                <c:pt idx="28">
                  <c:v>0.04</c:v>
                </c:pt>
                <c:pt idx="29">
                  <c:v>0.04</c:v>
                </c:pt>
                <c:pt idx="30">
                  <c:v>0.04</c:v>
                </c:pt>
                <c:pt idx="31">
                  <c:v>0.04</c:v>
                </c:pt>
                <c:pt idx="32">
                  <c:v>0.04</c:v>
                </c:pt>
                <c:pt idx="33">
                  <c:v>0.04</c:v>
                </c:pt>
                <c:pt idx="34">
                  <c:v>0.04</c:v>
                </c:pt>
                <c:pt idx="35">
                  <c:v>0.04</c:v>
                </c:pt>
                <c:pt idx="36">
                  <c:v>0.04</c:v>
                </c:pt>
                <c:pt idx="37">
                  <c:v>0.04</c:v>
                </c:pt>
                <c:pt idx="38">
                  <c:v>0.04</c:v>
                </c:pt>
                <c:pt idx="39">
                  <c:v>0.04</c:v>
                </c:pt>
                <c:pt idx="40">
                  <c:v>0.04</c:v>
                </c:pt>
                <c:pt idx="41">
                  <c:v>0.04</c:v>
                </c:pt>
                <c:pt idx="42">
                  <c:v>0.04</c:v>
                </c:pt>
                <c:pt idx="43">
                  <c:v>0.04</c:v>
                </c:pt>
                <c:pt idx="44">
                  <c:v>0.04</c:v>
                </c:pt>
                <c:pt idx="45">
                  <c:v>0.04</c:v>
                </c:pt>
                <c:pt idx="46">
                  <c:v>0.04</c:v>
                </c:pt>
                <c:pt idx="47">
                  <c:v>0.04</c:v>
                </c:pt>
              </c:numCache>
            </c:numRef>
          </c:val>
          <c:smooth val="0"/>
        </c:ser>
        <c:dLbls>
          <c:showLegendKey val="0"/>
          <c:showVal val="0"/>
          <c:showCatName val="0"/>
          <c:showSerName val="0"/>
          <c:showPercent val="0"/>
          <c:showBubbleSize val="0"/>
        </c:dLbls>
        <c:marker val="1"/>
        <c:smooth val="0"/>
        <c:axId val="3236608"/>
        <c:axId val="3238144"/>
      </c:lineChart>
      <c:dateAx>
        <c:axId val="3236608"/>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3238144"/>
        <c:crosses val="autoZero"/>
        <c:auto val="1"/>
        <c:lblOffset val="100"/>
        <c:baseTimeUnit val="months"/>
        <c:majorUnit val="1"/>
        <c:majorTimeUnit val="months"/>
      </c:dateAx>
      <c:valAx>
        <c:axId val="3238144"/>
        <c:scaling>
          <c:orientation val="minMax"/>
          <c:max val="6.0000000000000032E-2"/>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3236608"/>
        <c:crosses val="autoZero"/>
        <c:crossBetween val="between"/>
        <c:majorUnit val="1.0000000000000005E-2"/>
      </c:valAx>
    </c:plotArea>
    <c:legend>
      <c:legendPos val="r"/>
      <c:layout>
        <c:manualLayout>
          <c:xMode val="edge"/>
          <c:yMode val="edge"/>
          <c:x val="0.30300798397996803"/>
          <c:y val="0.93932952825341365"/>
          <c:w val="0.42913646268306982"/>
          <c:h val="5.714257939979595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937E-2"/>
          <c:w val="0.92358090277777749"/>
          <c:h val="0.7129647222222224"/>
        </c:manualLayout>
      </c:layou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numCache>
            </c:numRef>
          </c:val>
          <c:smooth val="0"/>
        </c:ser>
        <c:ser>
          <c:idx val="5"/>
          <c:order val="1"/>
          <c:tx>
            <c:strRef>
              <c:f>'Smoking Cessation'!$A$11</c:f>
              <c:strCache>
                <c:ptCount val="1"/>
                <c:pt idx="0">
                  <c:v>NHS Lothian Total - Overall</c:v>
                </c:pt>
              </c:strCache>
            </c:strRef>
          </c:tx>
          <c:spPr>
            <a:ln w="25400">
              <a:solidFill>
                <a:srgbClr val="0070C0"/>
              </a:solidFill>
            </a:ln>
          </c:spPr>
          <c:marker>
            <c:symbol val="circle"/>
            <c:size val="4"/>
            <c:spPr>
              <a:solidFill>
                <a:srgbClr val="0070C0"/>
              </a:solidFill>
              <a:ln w="25400">
                <a:solidFill>
                  <a:srgbClr val="0070C0"/>
                </a:solidFill>
              </a:ln>
            </c:spPr>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Cessation'!$B$11:$N$11</c:f>
              <c:numCache>
                <c:formatCode>General</c:formatCode>
                <c:ptCount val="13"/>
                <c:pt idx="0">
                  <c:v>251</c:v>
                </c:pt>
                <c:pt idx="1">
                  <c:v>244</c:v>
                </c:pt>
                <c:pt idx="2">
                  <c:v>276</c:v>
                </c:pt>
                <c:pt idx="3">
                  <c:v>368</c:v>
                </c:pt>
                <c:pt idx="4">
                  <c:v>304</c:v>
                </c:pt>
                <c:pt idx="5">
                  <c:v>315</c:v>
                </c:pt>
                <c:pt idx="6">
                  <c:v>234</c:v>
                </c:pt>
                <c:pt idx="7">
                  <c:v>314</c:v>
                </c:pt>
                <c:pt idx="8">
                  <c:v>222</c:v>
                </c:pt>
                <c:pt idx="9">
                  <c:v>239</c:v>
                </c:pt>
                <c:pt idx="10">
                  <c:v>211</c:v>
                </c:pt>
                <c:pt idx="11">
                  <c:v>303</c:v>
                </c:pt>
                <c:pt idx="12">
                  <c:v>233</c:v>
                </c:pt>
              </c:numCache>
            </c:numRef>
          </c:val>
          <c:smooth val="0"/>
        </c:ser>
        <c:ser>
          <c:idx val="0"/>
          <c:order val="2"/>
          <c:tx>
            <c:strRef>
              <c:f>'Smoking Cessation'!$A$12</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Cessation'!$B$12:$M$12</c:f>
              <c:numCache>
                <c:formatCode>General</c:formatCode>
                <c:ptCount val="12"/>
                <c:pt idx="0">
                  <c:v>263.5</c:v>
                </c:pt>
                <c:pt idx="1">
                  <c:v>263.5</c:v>
                </c:pt>
                <c:pt idx="2">
                  <c:v>263.5</c:v>
                </c:pt>
                <c:pt idx="3">
                  <c:v>263.5</c:v>
                </c:pt>
                <c:pt idx="4">
                  <c:v>263.5</c:v>
                </c:pt>
                <c:pt idx="5">
                  <c:v>263.5</c:v>
                </c:pt>
                <c:pt idx="6">
                  <c:v>263.5</c:v>
                </c:pt>
                <c:pt idx="7">
                  <c:v>263.5</c:v>
                </c:pt>
                <c:pt idx="8">
                  <c:v>263.5</c:v>
                </c:pt>
                <c:pt idx="9">
                  <c:v>263.5</c:v>
                </c:pt>
                <c:pt idx="10">
                  <c:v>263.5</c:v>
                </c:pt>
                <c:pt idx="11">
                  <c:v>263.5</c:v>
                </c:pt>
              </c:numCache>
            </c:numRef>
          </c:val>
          <c:smooth val="0"/>
        </c:ser>
        <c:ser>
          <c:idx val="1"/>
          <c:order val="3"/>
          <c:tx>
            <c:strRef>
              <c:f>'Smoking Cessation'!$A$13</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Cessation'!$B$13:$U$13</c:f>
              <c:numCache>
                <c:formatCode>General</c:formatCode>
                <c:ptCount val="20"/>
                <c:pt idx="11">
                  <c:v>263.5</c:v>
                </c:pt>
                <c:pt idx="12">
                  <c:v>263.5</c:v>
                </c:pt>
              </c:numCache>
            </c:numRef>
          </c:val>
          <c:smooth val="0"/>
        </c:ser>
        <c:dLbls>
          <c:showLegendKey val="0"/>
          <c:showVal val="0"/>
          <c:showCatName val="0"/>
          <c:showSerName val="0"/>
          <c:showPercent val="0"/>
          <c:showBubbleSize val="0"/>
        </c:dLbls>
        <c:marker val="1"/>
        <c:smooth val="0"/>
        <c:axId val="214259584"/>
        <c:axId val="214261120"/>
      </c:lineChart>
      <c:dateAx>
        <c:axId val="214259584"/>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61120"/>
        <c:crosses val="autoZero"/>
        <c:auto val="1"/>
        <c:lblOffset val="100"/>
        <c:baseTimeUnit val="months"/>
        <c:majorUnit val="3"/>
        <c:majorTimeUnit val="months"/>
        <c:minorUnit val="1"/>
        <c:minorTimeUnit val="days"/>
      </c:dateAx>
      <c:valAx>
        <c:axId val="214261120"/>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59584"/>
        <c:crosses val="autoZero"/>
        <c:crossBetween val="between"/>
      </c:valAx>
      <c:spPr>
        <a:solidFill>
          <a:srgbClr val="FFFFFF"/>
        </a:solidFill>
        <a:ln w="25400">
          <a:noFill/>
        </a:ln>
      </c:spPr>
    </c:plotArea>
    <c:legend>
      <c:legendPos val="r"/>
      <c:layout>
        <c:manualLayout>
          <c:xMode val="edge"/>
          <c:yMode val="edge"/>
          <c:x val="1.2127894156560091E-2"/>
          <c:y val="0.87918871252204878"/>
          <c:w val="0.98125133476286497"/>
          <c:h val="0.1208112874779541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9419803874137E-2"/>
          <c:y val="5.0925925925925923E-2"/>
          <c:w val="0.89834479897673458"/>
          <c:h val="0.78869611111111115"/>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ABI!$A$14:$A$17</c:f>
              <c:numCache>
                <c:formatCode>mmm\-yy</c:formatCode>
                <c:ptCount val="4"/>
                <c:pt idx="0">
                  <c:v>42156</c:v>
                </c:pt>
                <c:pt idx="1">
                  <c:v>42248</c:v>
                </c:pt>
                <c:pt idx="2">
                  <c:v>42339</c:v>
                </c:pt>
                <c:pt idx="3">
                  <c:v>42430</c:v>
                </c:pt>
              </c:numCache>
            </c:numRef>
          </c:cat>
          <c:val>
            <c:numRef>
              <c:f>ABI!$B$14:$B$17</c:f>
              <c:numCache>
                <c:formatCode>#,##0</c:formatCode>
                <c:ptCount val="4"/>
                <c:pt idx="0">
                  <c:v>5748</c:v>
                </c:pt>
                <c:pt idx="1">
                  <c:v>12856</c:v>
                </c:pt>
                <c:pt idx="2">
                  <c:v>21470</c:v>
                </c:pt>
                <c:pt idx="3">
                  <c:v>28972</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ABI!$A$14:$A$17</c:f>
              <c:numCache>
                <c:formatCode>mmm\-yy</c:formatCode>
                <c:ptCount val="4"/>
                <c:pt idx="0">
                  <c:v>42156</c:v>
                </c:pt>
                <c:pt idx="1">
                  <c:v>42248</c:v>
                </c:pt>
                <c:pt idx="2">
                  <c:v>42339</c:v>
                </c:pt>
                <c:pt idx="3">
                  <c:v>42430</c:v>
                </c:pt>
              </c:numCache>
            </c:numRef>
          </c:cat>
          <c:val>
            <c:numRef>
              <c:f>ABI!$C$14:$C$17</c:f>
              <c:numCache>
                <c:formatCode>#,##0</c:formatCode>
                <c:ptCount val="4"/>
                <c:pt idx="0">
                  <c:v>2440</c:v>
                </c:pt>
                <c:pt idx="1">
                  <c:v>4878.5</c:v>
                </c:pt>
                <c:pt idx="2">
                  <c:v>7317.75</c:v>
                </c:pt>
                <c:pt idx="3">
                  <c:v>9757</c:v>
                </c:pt>
              </c:numCache>
            </c:numRef>
          </c:val>
          <c:smooth val="0"/>
        </c:ser>
        <c:dLbls>
          <c:showLegendKey val="0"/>
          <c:showVal val="0"/>
          <c:showCatName val="0"/>
          <c:showSerName val="0"/>
          <c:showPercent val="0"/>
          <c:showBubbleSize val="0"/>
        </c:dLbls>
        <c:marker val="1"/>
        <c:smooth val="0"/>
        <c:axId val="185300864"/>
        <c:axId val="185302400"/>
      </c:lineChart>
      <c:dateAx>
        <c:axId val="185300864"/>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02400"/>
        <c:crosses val="autoZero"/>
        <c:auto val="1"/>
        <c:lblOffset val="100"/>
        <c:baseTimeUnit val="months"/>
        <c:majorUnit val="3"/>
        <c:majorTimeUnit val="months"/>
      </c:dateAx>
      <c:valAx>
        <c:axId val="185302400"/>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00864"/>
        <c:crosses val="autoZero"/>
        <c:crossBetween val="between"/>
      </c:valAx>
    </c:plotArea>
    <c:legend>
      <c:legendPos val="r"/>
      <c:layout>
        <c:manualLayout>
          <c:xMode val="edge"/>
          <c:yMode val="edge"/>
          <c:x val="0.30467897686991136"/>
          <c:y val="0.90211640211640209"/>
          <c:w val="0.43852011332101426"/>
          <c:h val="8.73015873015831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644907407407397E-2"/>
          <c:y val="6.5359995468192378E-2"/>
          <c:w val="0.92946053240740745"/>
          <c:h val="0.70238146444078065"/>
        </c:manualLayout>
      </c:layout>
      <c:barChart>
        <c:barDir val="col"/>
        <c:grouping val="clustered"/>
        <c:varyColors val="0"/>
        <c:ser>
          <c:idx val="5"/>
          <c:order val="1"/>
          <c:tx>
            <c:strRef>
              <c:f>'Smoking Cessation'!$A$11</c:f>
              <c:strCache>
                <c:ptCount val="1"/>
                <c:pt idx="0">
                  <c:v>NHS Lothian Total - Overall</c:v>
                </c:pt>
              </c:strCache>
            </c:strRef>
          </c:tx>
          <c:spPr>
            <a:noFill/>
            <a:ln w="25400">
              <a:solidFill>
                <a:srgbClr val="0070C0"/>
              </a:solidFill>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Cessation'!$B$11:$U$11</c:f>
              <c:numCache>
                <c:formatCode>General</c:formatCode>
                <c:ptCount val="20"/>
                <c:pt idx="0">
                  <c:v>251</c:v>
                </c:pt>
                <c:pt idx="1">
                  <c:v>244</c:v>
                </c:pt>
                <c:pt idx="2">
                  <c:v>276</c:v>
                </c:pt>
                <c:pt idx="3">
                  <c:v>368</c:v>
                </c:pt>
                <c:pt idx="4">
                  <c:v>304</c:v>
                </c:pt>
                <c:pt idx="5">
                  <c:v>315</c:v>
                </c:pt>
                <c:pt idx="6">
                  <c:v>234</c:v>
                </c:pt>
                <c:pt idx="7">
                  <c:v>314</c:v>
                </c:pt>
                <c:pt idx="8">
                  <c:v>222</c:v>
                </c:pt>
                <c:pt idx="9">
                  <c:v>239</c:v>
                </c:pt>
                <c:pt idx="10">
                  <c:v>211</c:v>
                </c:pt>
                <c:pt idx="11">
                  <c:v>303</c:v>
                </c:pt>
                <c:pt idx="12">
                  <c:v>233</c:v>
                </c:pt>
              </c:numCache>
            </c:numRef>
          </c:val>
        </c:ser>
        <c:ser>
          <c:idx val="2"/>
          <c:order val="3"/>
          <c:tx>
            <c:strRef>
              <c:f>'Smoking Cessation'!$A$15</c:f>
              <c:strCache>
                <c:ptCount val="1"/>
                <c:pt idx="0">
                  <c:v>NHS Lothian Total – Non-Pharmacy &amp; Prisons only</c:v>
                </c:pt>
              </c:strCache>
            </c:strRef>
          </c:tx>
          <c:spPr>
            <a:noFill/>
            <a:ln w="25400">
              <a:solidFill>
                <a:srgbClr val="0070C0"/>
              </a:solidFill>
              <a:prstDash val="sysDash"/>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154</c:v>
                </c:pt>
                <c:pt idx="13">
                  <c:v>0</c:v>
                </c:pt>
                <c:pt idx="14">
                  <c:v>0</c:v>
                </c:pt>
              </c:numCache>
            </c:numRef>
          </c:val>
        </c:ser>
        <c:ser>
          <c:idx val="0"/>
          <c:order val="4"/>
          <c:tx>
            <c:strRef>
              <c:f>'Smoking Cessation'!$A$18</c:f>
              <c:strCache>
                <c:ptCount val="1"/>
                <c:pt idx="0">
                  <c:v>NHS Lothian Total – PCR Pharmacies only</c:v>
                </c:pt>
              </c:strCache>
            </c:strRef>
          </c:tx>
          <c:spPr>
            <a:noFill/>
            <a:ln w="25400">
              <a:solidFill>
                <a:srgbClr val="0070C0"/>
              </a:solidFill>
              <a:prstDash val="sysDot"/>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0</c:v>
                </c:pt>
                <c:pt idx="14">
                  <c:v>0</c:v>
                </c:pt>
              </c:numCache>
            </c:numRef>
          </c:val>
        </c:ser>
        <c:dLbls>
          <c:showLegendKey val="0"/>
          <c:showVal val="0"/>
          <c:showCatName val="0"/>
          <c:showSerName val="0"/>
          <c:showPercent val="0"/>
          <c:showBubbleSize val="0"/>
        </c:dLbls>
        <c:gapWidth val="12"/>
        <c:axId val="219693824"/>
        <c:axId val="219695360"/>
      </c:barChar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numCache>
            </c:numRef>
          </c:val>
          <c:smooth val="0"/>
        </c:ser>
        <c:ser>
          <c:idx val="1"/>
          <c:order val="2"/>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dLbls>
          <c:showLegendKey val="0"/>
          <c:showVal val="0"/>
          <c:showCatName val="0"/>
          <c:showSerName val="0"/>
          <c:showPercent val="0"/>
          <c:showBubbleSize val="0"/>
        </c:dLbls>
        <c:marker val="1"/>
        <c:smooth val="0"/>
        <c:axId val="219693824"/>
        <c:axId val="219695360"/>
      </c:lineChart>
      <c:dateAx>
        <c:axId val="219693824"/>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695360"/>
        <c:crosses val="autoZero"/>
        <c:auto val="1"/>
        <c:lblOffset val="100"/>
        <c:baseTimeUnit val="months"/>
        <c:majorUnit val="3"/>
        <c:majorTimeUnit val="months"/>
        <c:minorUnit val="1"/>
        <c:minorTimeUnit val="days"/>
      </c:dateAx>
      <c:valAx>
        <c:axId val="219695360"/>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693824"/>
        <c:crosses val="autoZero"/>
        <c:crossBetween val="between"/>
      </c:valAx>
      <c:spPr>
        <a:solidFill>
          <a:srgbClr val="FFFFFF"/>
        </a:solidFill>
        <a:ln w="25400">
          <a:noFill/>
        </a:ln>
      </c:spPr>
    </c:plotArea>
    <c:legend>
      <c:legendPos val="r"/>
      <c:layout>
        <c:manualLayout>
          <c:xMode val="edge"/>
          <c:yMode val="edge"/>
          <c:x val="1.212784643530297E-2"/>
          <c:y val="0.82275132275132279"/>
          <c:w val="0.97023153984946453"/>
          <c:h val="0.1693121693121694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979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ser>
          <c:idx val="2"/>
          <c:order val="1"/>
          <c:tx>
            <c:strRef>
              <c:f>'Smoking Cessation'!$A$15</c:f>
              <c:strCache>
                <c:ptCount val="1"/>
                <c:pt idx="0">
                  <c:v>NHS Lothian Total – Non-Pharmacy &amp; Prisons only</c:v>
                </c:pt>
              </c:strCache>
            </c:strRef>
          </c:tx>
          <c:spPr>
            <a:ln w="25400">
              <a:solidFill>
                <a:srgbClr val="0070C0"/>
              </a:solidFill>
              <a:prstDash val="sys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154</c:v>
                </c:pt>
                <c:pt idx="13">
                  <c:v>0</c:v>
                </c:pt>
                <c:pt idx="14">
                  <c:v>0</c:v>
                </c:pt>
              </c:numCache>
            </c:numRef>
          </c:val>
          <c:smooth val="0"/>
        </c:ser>
        <c:ser>
          <c:idx val="0"/>
          <c:order val="2"/>
          <c:tx>
            <c:strRef>
              <c:f>'Smoking Cessation'!$A$16</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Cessation'!$B$16:$M$16</c:f>
              <c:numCache>
                <c:formatCode>0</c:formatCode>
                <c:ptCount val="12"/>
                <c:pt idx="0">
                  <c:v>194</c:v>
                </c:pt>
                <c:pt idx="1">
                  <c:v>194</c:v>
                </c:pt>
                <c:pt idx="2">
                  <c:v>194</c:v>
                </c:pt>
                <c:pt idx="3">
                  <c:v>194</c:v>
                </c:pt>
                <c:pt idx="4">
                  <c:v>194</c:v>
                </c:pt>
                <c:pt idx="5">
                  <c:v>194</c:v>
                </c:pt>
                <c:pt idx="6">
                  <c:v>194</c:v>
                </c:pt>
                <c:pt idx="7">
                  <c:v>194</c:v>
                </c:pt>
                <c:pt idx="8">
                  <c:v>194</c:v>
                </c:pt>
                <c:pt idx="9">
                  <c:v>194</c:v>
                </c:pt>
                <c:pt idx="10">
                  <c:v>194</c:v>
                </c:pt>
                <c:pt idx="11">
                  <c:v>194</c:v>
                </c:pt>
              </c:numCache>
            </c:numRef>
          </c:val>
          <c:smooth val="0"/>
        </c:ser>
        <c:ser>
          <c:idx val="3"/>
          <c:order val="3"/>
          <c:tx>
            <c:strRef>
              <c:f>'Smoking Cessation'!$A$17</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Cessation'!$B$17:$U$17</c:f>
              <c:numCache>
                <c:formatCode>0</c:formatCode>
                <c:ptCount val="20"/>
                <c:pt idx="11">
                  <c:v>194</c:v>
                </c:pt>
                <c:pt idx="12">
                  <c:v>194</c:v>
                </c:pt>
              </c:numCache>
            </c:numRef>
          </c:val>
          <c:smooth val="0"/>
        </c:ser>
        <c:dLbls>
          <c:showLegendKey val="0"/>
          <c:showVal val="0"/>
          <c:showCatName val="0"/>
          <c:showSerName val="0"/>
          <c:showPercent val="0"/>
          <c:showBubbleSize val="0"/>
        </c:dLbls>
        <c:marker val="1"/>
        <c:smooth val="0"/>
        <c:axId val="219739264"/>
        <c:axId val="219740800"/>
      </c:lineChart>
      <c:dateAx>
        <c:axId val="219739264"/>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740800"/>
        <c:crosses val="autoZero"/>
        <c:auto val="1"/>
        <c:lblOffset val="100"/>
        <c:baseTimeUnit val="months"/>
        <c:majorUnit val="3"/>
        <c:majorTimeUnit val="months"/>
        <c:minorUnit val="1"/>
        <c:minorTimeUnit val="days"/>
      </c:dateAx>
      <c:valAx>
        <c:axId val="219740800"/>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739264"/>
        <c:crosses val="autoZero"/>
        <c:crossBetween val="between"/>
      </c:valAx>
      <c:spPr>
        <a:solidFill>
          <a:srgbClr val="FFFFFF"/>
        </a:solidFill>
        <a:ln w="25400">
          <a:noFill/>
        </a:ln>
      </c:spPr>
    </c:plotArea>
    <c:legend>
      <c:legendPos val="r"/>
      <c:layout>
        <c:manualLayout>
          <c:xMode val="edge"/>
          <c:yMode val="edge"/>
          <c:x val="7.5593952483801524E-3"/>
          <c:y val="0.8105081826012055"/>
          <c:w val="0.98658752969053509"/>
          <c:h val="0.1894918173987949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5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ser>
          <c:idx val="0"/>
          <c:order val="1"/>
          <c:tx>
            <c:strRef>
              <c:f>'Smoking Cessation'!$A$18</c:f>
              <c:strCache>
                <c:ptCount val="1"/>
                <c:pt idx="0">
                  <c:v>NHS Lothian Total – PCR Pharmacies only</c:v>
                </c:pt>
              </c:strCache>
            </c:strRef>
          </c:tx>
          <c:spPr>
            <a:ln w="25400">
              <a:solidFill>
                <a:srgbClr val="0070C0"/>
              </a:solidFill>
              <a:prstDash val="sysDot"/>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0</c:v>
                </c:pt>
                <c:pt idx="14">
                  <c:v>0</c:v>
                </c:pt>
              </c:numCache>
            </c:numRef>
          </c:val>
          <c:smooth val="0"/>
        </c:ser>
        <c:ser>
          <c:idx val="2"/>
          <c:order val="2"/>
          <c:tx>
            <c:strRef>
              <c:f>'Smoking Cessation'!$A$19</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Cessation'!$B$19:$M$19</c:f>
              <c:numCache>
                <c:formatCode>General</c:formatCode>
                <c:ptCount val="12"/>
                <c:pt idx="0">
                  <c:v>80</c:v>
                </c:pt>
                <c:pt idx="1">
                  <c:v>80</c:v>
                </c:pt>
                <c:pt idx="2">
                  <c:v>80</c:v>
                </c:pt>
                <c:pt idx="3">
                  <c:v>80</c:v>
                </c:pt>
                <c:pt idx="4">
                  <c:v>80</c:v>
                </c:pt>
                <c:pt idx="5">
                  <c:v>80</c:v>
                </c:pt>
                <c:pt idx="6">
                  <c:v>80</c:v>
                </c:pt>
                <c:pt idx="7">
                  <c:v>80</c:v>
                </c:pt>
                <c:pt idx="8">
                  <c:v>80</c:v>
                </c:pt>
                <c:pt idx="9">
                  <c:v>80</c:v>
                </c:pt>
                <c:pt idx="10">
                  <c:v>80</c:v>
                </c:pt>
                <c:pt idx="11">
                  <c:v>80</c:v>
                </c:pt>
              </c:numCache>
            </c:numRef>
          </c:val>
          <c:smooth val="0"/>
        </c:ser>
        <c:ser>
          <c:idx val="3"/>
          <c:order val="3"/>
          <c:tx>
            <c:strRef>
              <c:f>'Smoking Cessation'!$A$20</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Cessation'!$B$20:$U$20</c:f>
              <c:numCache>
                <c:formatCode>General</c:formatCode>
                <c:ptCount val="20"/>
                <c:pt idx="11">
                  <c:v>80</c:v>
                </c:pt>
                <c:pt idx="12">
                  <c:v>80</c:v>
                </c:pt>
              </c:numCache>
            </c:numRef>
          </c:val>
          <c:smooth val="0"/>
        </c:ser>
        <c:dLbls>
          <c:showLegendKey val="0"/>
          <c:showVal val="0"/>
          <c:showCatName val="0"/>
          <c:showSerName val="0"/>
          <c:showPercent val="0"/>
          <c:showBubbleSize val="0"/>
        </c:dLbls>
        <c:marker val="1"/>
        <c:smooth val="0"/>
        <c:axId val="219780992"/>
        <c:axId val="219782528"/>
      </c:lineChart>
      <c:dateAx>
        <c:axId val="219780992"/>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782528"/>
        <c:crosses val="autoZero"/>
        <c:auto val="1"/>
        <c:lblOffset val="100"/>
        <c:baseTimeUnit val="months"/>
        <c:majorUnit val="3"/>
        <c:majorTimeUnit val="months"/>
        <c:minorUnit val="1"/>
        <c:minorTimeUnit val="days"/>
      </c:dateAx>
      <c:valAx>
        <c:axId val="219782528"/>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780992"/>
        <c:crosses val="autoZero"/>
        <c:crossBetween val="between"/>
      </c:valAx>
      <c:spPr>
        <a:solidFill>
          <a:srgbClr val="FFFFFF"/>
        </a:solidFill>
        <a:ln w="25400">
          <a:noFill/>
        </a:ln>
      </c:spPr>
    </c:plotArea>
    <c:legend>
      <c:legendPos val="r"/>
      <c:layout>
        <c:manualLayout>
          <c:xMode val="edge"/>
          <c:yMode val="edge"/>
          <c:x val="0"/>
          <c:y val="0.82713888888888965"/>
          <c:w val="0.99392939814814862"/>
          <c:h val="0.1693333333333340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NHS Lothian Annual Outcomes Against Standard (HEAT for 2014/15, &amp; LDP for 2015/16 &amp; 2016/17)                </a:t>
            </a:r>
            <a:r>
              <a:rPr lang="en-GB" sz="800" b="1" i="0" u="none" strike="noStrike" baseline="0">
                <a:solidFill>
                  <a:srgbClr val="000000"/>
                </a:solidFill>
                <a:latin typeface="Arial"/>
                <a:cs typeface="Arial"/>
              </a:rPr>
              <a:t>(Source:  ISD Scotland)</a:t>
            </a:r>
          </a:p>
        </c:rich>
      </c:tx>
      <c:layout>
        <c:manualLayout>
          <c:xMode val="edge"/>
          <c:yMode val="edge"/>
          <c:x val="0.1452146761698889"/>
          <c:y val="1.5564165590412737E-2"/>
        </c:manualLayout>
      </c:layout>
      <c:overlay val="0"/>
      <c:spPr>
        <a:noFill/>
        <a:ln w="25400">
          <a:noFill/>
        </a:ln>
      </c:spPr>
    </c:title>
    <c:autoTitleDeleted val="0"/>
    <c:plotArea>
      <c:layout>
        <c:manualLayout>
          <c:layoutTarget val="inner"/>
          <c:xMode val="edge"/>
          <c:yMode val="edge"/>
          <c:x val="5.5755280589926424E-2"/>
          <c:y val="5.8165675173192752E-2"/>
          <c:w val="0.91177084945306763"/>
          <c:h val="0.83014022079924843"/>
        </c:manualLayout>
      </c:layout>
      <c:barChart>
        <c:barDir val="col"/>
        <c:grouping val="clustered"/>
        <c:varyColors val="0"/>
        <c:ser>
          <c:idx val="0"/>
          <c:order val="1"/>
          <c:tx>
            <c:strRef>
              <c:f>'Smoking Cessation - Published'!$A$10</c:f>
              <c:strCache>
                <c:ptCount val="1"/>
                <c:pt idx="0">
                  <c:v>NHS Lothian</c:v>
                </c:pt>
              </c:strCache>
            </c:strRef>
          </c:tx>
          <c:invertIfNegative val="0"/>
          <c:dPt>
            <c:idx val="2"/>
            <c:invertIfNegative val="0"/>
            <c:bubble3D val="0"/>
            <c:spPr>
              <a:ln>
                <a:noFill/>
              </a:ln>
            </c:spPr>
          </c:dPt>
          <c:cat>
            <c:strRef>
              <c:f>'Smoking Cessation - Published'!$B$7:$D$7</c:f>
              <c:strCache>
                <c:ptCount val="3"/>
                <c:pt idx="0">
                  <c:v>2014/15</c:v>
                </c:pt>
                <c:pt idx="1">
                  <c:v>2015/16</c:v>
                </c:pt>
                <c:pt idx="2">
                  <c:v>2016/17</c:v>
                </c:pt>
              </c:strCache>
            </c:strRef>
          </c:cat>
          <c:val>
            <c:numRef>
              <c:f>'Smoking Cessation - Published'!$B$10:$D$10</c:f>
              <c:numCache>
                <c:formatCode>#,##0</c:formatCode>
                <c:ptCount val="3"/>
                <c:pt idx="0">
                  <c:v>1139</c:v>
                </c:pt>
                <c:pt idx="1">
                  <c:v>1177</c:v>
                </c:pt>
                <c:pt idx="2">
                  <c:v>974</c:v>
                </c:pt>
              </c:numCache>
            </c:numRef>
          </c:val>
        </c:ser>
        <c:dLbls>
          <c:showLegendKey val="0"/>
          <c:showVal val="0"/>
          <c:showCatName val="0"/>
          <c:showSerName val="0"/>
          <c:showPercent val="0"/>
          <c:showBubbleSize val="0"/>
        </c:dLbls>
        <c:gapWidth val="150"/>
        <c:axId val="219870336"/>
        <c:axId val="219872256"/>
      </c:barChart>
      <c:lineChart>
        <c:grouping val="standard"/>
        <c:varyColors val="0"/>
        <c:ser>
          <c:idx val="3"/>
          <c:order val="0"/>
          <c:tx>
            <c:strRef>
              <c:f>'Smoking Cessation - Published'!$A$11</c:f>
              <c:strCache>
                <c:ptCount val="1"/>
                <c:pt idx="0">
                  <c:v>NHS Lothian Target</c:v>
                </c:pt>
              </c:strCache>
            </c:strRef>
          </c:tx>
          <c:spPr>
            <a:ln w="25400">
              <a:solidFill>
                <a:schemeClr val="bg1"/>
              </a:solidFill>
              <a:prstDash val="lgDashDot"/>
            </a:ln>
          </c:spPr>
          <c:marker>
            <c:symbol val="triangle"/>
            <c:size val="8"/>
            <c:spPr>
              <a:solidFill>
                <a:srgbClr val="FF0000"/>
              </a:solidFill>
              <a:ln w="25400">
                <a:solidFill>
                  <a:srgbClr val="FF0000"/>
                </a:solidFill>
              </a:ln>
            </c:spPr>
          </c:marker>
          <c:cat>
            <c:strRef>
              <c:f>'Smoking Cessation - Published'!$B$7:$D$7</c:f>
              <c:strCache>
                <c:ptCount val="3"/>
                <c:pt idx="0">
                  <c:v>2014/15</c:v>
                </c:pt>
                <c:pt idx="1">
                  <c:v>2015/16</c:v>
                </c:pt>
                <c:pt idx="2">
                  <c:v>2016/17</c:v>
                </c:pt>
              </c:strCache>
            </c:strRef>
          </c:cat>
          <c:val>
            <c:numRef>
              <c:f>'Smoking Cessation - Published'!$B$11:$D$11</c:f>
              <c:numCache>
                <c:formatCode>#,##0</c:formatCode>
                <c:ptCount val="3"/>
                <c:pt idx="0">
                  <c:v>1765</c:v>
                </c:pt>
                <c:pt idx="1">
                  <c:v>1170</c:v>
                </c:pt>
                <c:pt idx="2">
                  <c:v>1469</c:v>
                </c:pt>
              </c:numCache>
            </c:numRef>
          </c:val>
          <c:smooth val="0"/>
        </c:ser>
        <c:dLbls>
          <c:showLegendKey val="0"/>
          <c:showVal val="0"/>
          <c:showCatName val="0"/>
          <c:showSerName val="0"/>
          <c:showPercent val="0"/>
          <c:showBubbleSize val="0"/>
        </c:dLbls>
        <c:marker val="1"/>
        <c:smooth val="0"/>
        <c:axId val="219870336"/>
        <c:axId val="219872256"/>
      </c:lineChart>
      <c:catAx>
        <c:axId val="219870336"/>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872256"/>
        <c:crosses val="autoZero"/>
        <c:auto val="1"/>
        <c:lblAlgn val="ctr"/>
        <c:lblOffset val="100"/>
        <c:tickLblSkip val="1"/>
        <c:tickMarkSkip val="1"/>
        <c:noMultiLvlLbl val="0"/>
      </c:catAx>
      <c:valAx>
        <c:axId val="219872256"/>
        <c:scaling>
          <c:orientation val="minMax"/>
        </c:scaling>
        <c:delete val="0"/>
        <c:axPos val="l"/>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9870336"/>
        <c:crosses val="autoZero"/>
        <c:crossBetween val="between"/>
      </c:valAx>
      <c:spPr>
        <a:solidFill>
          <a:srgbClr val="FFFFFF"/>
        </a:solidFill>
        <a:ln w="25400">
          <a:noFill/>
        </a:ln>
      </c:spPr>
    </c:plotArea>
    <c:legend>
      <c:legendPos val="r"/>
      <c:layout>
        <c:manualLayout>
          <c:xMode val="edge"/>
          <c:yMode val="edge"/>
          <c:x val="0.18191841234840703"/>
          <c:y val="0.94444444444444464"/>
          <c:w val="0.6527012127894356"/>
          <c:h val="3.7037037037036896E-2"/>
        </c:manualLayout>
      </c:layout>
      <c:overlay val="0"/>
      <c:spPr>
        <a:solidFill>
          <a:srgbClr val="FFFFFF"/>
        </a:solidFill>
        <a:ln w="254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15"/>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0.70338983050847459</c:v>
                </c:pt>
                <c:pt idx="22">
                  <c:v>0.72549019607843135</c:v>
                </c:pt>
                <c:pt idx="23">
                  <c:v>0.77941176470588236</c:v>
                </c:pt>
                <c:pt idx="24">
                  <c:v>0.63779527559055116</c:v>
                </c:pt>
                <c:pt idx="25">
                  <c:v>0.73571428571428588</c:v>
                </c:pt>
                <c:pt idx="26">
                  <c:v>0.73722627737226276</c:v>
                </c:pt>
                <c:pt idx="27">
                  <c:v>0.69918699186991873</c:v>
                </c:pt>
                <c:pt idx="28">
                  <c:v>0.79166666666666652</c:v>
                </c:pt>
                <c:pt idx="29">
                  <c:v>0.69902912621359226</c:v>
                </c:pt>
                <c:pt idx="30">
                  <c:v>0.70731707317073178</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marker>
              <c:symbol val="dash"/>
              <c:size val="2"/>
              <c:spPr>
                <a:solidFill>
                  <a:srgbClr val="FF0000"/>
                </a:solidFill>
                <a:ln>
                  <a:solidFill>
                    <a:srgbClr val="FF0000"/>
                  </a:solidFill>
                </a:ln>
              </c:spPr>
            </c:marker>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219554176"/>
        <c:axId val="219555712"/>
      </c:lineChart>
      <c:dateAx>
        <c:axId val="21955417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9555712"/>
        <c:crosses val="autoZero"/>
        <c:auto val="1"/>
        <c:lblOffset val="100"/>
        <c:baseTimeUnit val="months"/>
        <c:majorUnit val="1"/>
        <c:majorTimeUnit val="months"/>
      </c:dateAx>
      <c:valAx>
        <c:axId val="219555712"/>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9554176"/>
        <c:crosses val="autoZero"/>
        <c:crossBetween val="between"/>
        <c:majorUnit val="5.0000000000000024E-2"/>
      </c:valAx>
    </c:plotArea>
    <c:legend>
      <c:legendPos val="r"/>
      <c:layout>
        <c:manualLayout>
          <c:xMode val="edge"/>
          <c:yMode val="edge"/>
          <c:x val="3.1268750000000012E-2"/>
          <c:y val="0.93121693121691629"/>
          <c:w val="0.92019108796296256"/>
          <c:h val="4.497354497354843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184"/>
        </c:manualLayout>
      </c:layout>
      <c:lineChart>
        <c:grouping val="standard"/>
        <c:varyColors val="0"/>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0.77215189873417733</c:v>
                </c:pt>
                <c:pt idx="22">
                  <c:v>0.80597014925373134</c:v>
                </c:pt>
                <c:pt idx="23">
                  <c:v>0.86813186813186816</c:v>
                </c:pt>
                <c:pt idx="24">
                  <c:v>0.68604651162790697</c:v>
                </c:pt>
                <c:pt idx="25">
                  <c:v>0.79207920792079212</c:v>
                </c:pt>
                <c:pt idx="26">
                  <c:v>0.80851063829787218</c:v>
                </c:pt>
                <c:pt idx="27">
                  <c:v>0.81176470588235294</c:v>
                </c:pt>
                <c:pt idx="28">
                  <c:v>0.7777777777777779</c:v>
                </c:pt>
                <c:pt idx="29">
                  <c:v>0.80882352941176483</c:v>
                </c:pt>
                <c:pt idx="30">
                  <c:v>0.77906976744186052</c:v>
                </c:pt>
              </c:numCache>
            </c:numRef>
          </c:val>
          <c:smooth val="0"/>
        </c:ser>
        <c:ser>
          <c:idx val="3"/>
          <c:order val="1"/>
          <c:tx>
            <c:strRef>
              <c:f>Stroke!$A$333</c:f>
              <c:strCache>
                <c:ptCount val="1"/>
                <c:pt idx="0">
                  <c:v>Extended Baseline Median</c:v>
                </c:pt>
              </c:strCache>
            </c:strRef>
          </c:tx>
          <c:spPr>
            <a:ln w="25400">
              <a:solidFill>
                <a:schemeClr val="tx1"/>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Stroke!$B$333:$AW$333</c:f>
              <c:numCache>
                <c:formatCode>0.0%</c:formatCode>
                <c:ptCount val="48"/>
                <c:pt idx="1">
                  <c:v>0</c:v>
                </c:pt>
                <c:pt idx="11">
                  <c:v>0.69901315789473684</c:v>
                </c:pt>
                <c:pt idx="12">
                  <c:v>0.69901315789473684</c:v>
                </c:pt>
                <c:pt idx="13">
                  <c:v>0.69901315789473684</c:v>
                </c:pt>
                <c:pt idx="14">
                  <c:v>0.69901315789473684</c:v>
                </c:pt>
                <c:pt idx="15">
                  <c:v>0.69901315789473684</c:v>
                </c:pt>
                <c:pt idx="16">
                  <c:v>0.69901315789473684</c:v>
                </c:pt>
                <c:pt idx="17">
                  <c:v>0.69901315789473684</c:v>
                </c:pt>
                <c:pt idx="18">
                  <c:v>0.69901315789473684</c:v>
                </c:pt>
                <c:pt idx="19">
                  <c:v>0.69901315789473684</c:v>
                </c:pt>
                <c:pt idx="20">
                  <c:v>0.69901315789473684</c:v>
                </c:pt>
                <c:pt idx="21">
                  <c:v>0.69901315789473684</c:v>
                </c:pt>
                <c:pt idx="22">
                  <c:v>0.69901315789473684</c:v>
                </c:pt>
                <c:pt idx="23">
                  <c:v>0.69901315789473684</c:v>
                </c:pt>
                <c:pt idx="24">
                  <c:v>0.69901315789473684</c:v>
                </c:pt>
                <c:pt idx="25">
                  <c:v>0.69901315789473684</c:v>
                </c:pt>
                <c:pt idx="26">
                  <c:v>0.69901315789473684</c:v>
                </c:pt>
                <c:pt idx="27">
                  <c:v>0.69901315789473684</c:v>
                </c:pt>
                <c:pt idx="28">
                  <c:v>0.69901315789473684</c:v>
                </c:pt>
                <c:pt idx="29">
                  <c:v>0.69901315789473684</c:v>
                </c:pt>
                <c:pt idx="30">
                  <c:v>0.69901315789473684</c:v>
                </c:pt>
                <c:pt idx="31">
                  <c:v>0.69901315789473684</c:v>
                </c:pt>
                <c:pt idx="32">
                  <c:v>0.69901315789473684</c:v>
                </c:pt>
                <c:pt idx="33">
                  <c:v>0.69901315789473684</c:v>
                </c:pt>
                <c:pt idx="34">
                  <c:v>0.69901315789473684</c:v>
                </c:pt>
                <c:pt idx="35">
                  <c:v>0.69901315789473684</c:v>
                </c:pt>
                <c:pt idx="36">
                  <c:v>0.69901315789473684</c:v>
                </c:pt>
                <c:pt idx="37">
                  <c:v>0.69901315789473684</c:v>
                </c:pt>
                <c:pt idx="38">
                  <c:v>0.69901315789473684</c:v>
                </c:pt>
                <c:pt idx="39">
                  <c:v>0.69901315789473684</c:v>
                </c:pt>
                <c:pt idx="40">
                  <c:v>0.69901315789473684</c:v>
                </c:pt>
                <c:pt idx="41">
                  <c:v>0.69901315789473684</c:v>
                </c:pt>
                <c:pt idx="42">
                  <c:v>0.69901315789473684</c:v>
                </c:pt>
                <c:pt idx="43">
                  <c:v>0.69901315789473684</c:v>
                </c:pt>
                <c:pt idx="44">
                  <c:v>0.69901315789473684</c:v>
                </c:pt>
                <c:pt idx="45">
                  <c:v>0.69901315789473684</c:v>
                </c:pt>
                <c:pt idx="46">
                  <c:v>0.69901315789473684</c:v>
                </c:pt>
                <c:pt idx="47">
                  <c:v>0.69901315789473684</c:v>
                </c:pt>
              </c:numCache>
            </c:numRef>
          </c:val>
          <c:smooth val="0"/>
        </c:ser>
        <c:ser>
          <c:idx val="2"/>
          <c:order val="2"/>
          <c:tx>
            <c:strRef>
              <c:f>Stroke!$A$332</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Stroke!$B$332:$M$332</c:f>
              <c:numCache>
                <c:formatCode>0.0%</c:formatCode>
                <c:ptCount val="12"/>
                <c:pt idx="0">
                  <c:v>0.69901315789473684</c:v>
                </c:pt>
                <c:pt idx="1">
                  <c:v>0.69901315789473684</c:v>
                </c:pt>
                <c:pt idx="2">
                  <c:v>0.69901315789473684</c:v>
                </c:pt>
                <c:pt idx="3">
                  <c:v>0.69901315789473684</c:v>
                </c:pt>
                <c:pt idx="4">
                  <c:v>0.69901315789473684</c:v>
                </c:pt>
                <c:pt idx="5">
                  <c:v>0.69901315789473684</c:v>
                </c:pt>
                <c:pt idx="6">
                  <c:v>0.69901315789473684</c:v>
                </c:pt>
                <c:pt idx="7">
                  <c:v>0.69901315789473684</c:v>
                </c:pt>
                <c:pt idx="8">
                  <c:v>0.69901315789473684</c:v>
                </c:pt>
                <c:pt idx="9">
                  <c:v>0.69901315789473684</c:v>
                </c:pt>
                <c:pt idx="10">
                  <c:v>0.69901315789473684</c:v>
                </c:pt>
                <c:pt idx="11">
                  <c:v>0.69901315789473684</c:v>
                </c:pt>
              </c:numCache>
            </c:numRef>
          </c:val>
          <c:smooth val="0"/>
        </c:ser>
        <c:ser>
          <c:idx val="0"/>
          <c:order val="3"/>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220411392"/>
        <c:axId val="220412928"/>
      </c:lineChart>
      <c:dateAx>
        <c:axId val="2204113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0412928"/>
        <c:crosses val="autoZero"/>
        <c:auto val="1"/>
        <c:lblOffset val="100"/>
        <c:baseTimeUnit val="months"/>
        <c:majorUnit val="1"/>
        <c:majorTimeUnit val="months"/>
      </c:dateAx>
      <c:valAx>
        <c:axId val="22041292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0411392"/>
        <c:crosses val="autoZero"/>
        <c:crossBetween val="between"/>
      </c:valAx>
    </c:plotArea>
    <c:legend>
      <c:legendPos val="r"/>
      <c:layout>
        <c:manualLayout>
          <c:xMode val="edge"/>
          <c:yMode val="edge"/>
          <c:x val="4.7824074074074106E-3"/>
          <c:y val="0.91358024691358064"/>
          <c:w val="0.97660497685185588"/>
          <c:h val="8.64197530864196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184"/>
        </c:manualLayout>
      </c:layout>
      <c:lineChart>
        <c:grouping val="standard"/>
        <c:varyColors val="0"/>
        <c:ser>
          <c:idx val="1"/>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0.87068965517241381</c:v>
                </c:pt>
                <c:pt idx="22">
                  <c:v>0.8</c:v>
                </c:pt>
                <c:pt idx="23">
                  <c:v>0.91111111111111109</c:v>
                </c:pt>
                <c:pt idx="24">
                  <c:v>0.80314960629921262</c:v>
                </c:pt>
                <c:pt idx="25">
                  <c:v>0.87769784172661869</c:v>
                </c:pt>
                <c:pt idx="26">
                  <c:v>0.86861313868613133</c:v>
                </c:pt>
                <c:pt idx="27">
                  <c:v>0.79508196721311475</c:v>
                </c:pt>
                <c:pt idx="28">
                  <c:v>0.94067796610169496</c:v>
                </c:pt>
                <c:pt idx="29">
                  <c:v>0.79411764705882348</c:v>
                </c:pt>
                <c:pt idx="30">
                  <c:v>0.86885245901639341</c:v>
                </c:pt>
              </c:numCache>
            </c:numRef>
          </c:val>
          <c:smooth val="0"/>
        </c:ser>
        <c:ser>
          <c:idx val="2"/>
          <c:order val="1"/>
          <c:tx>
            <c:strRef>
              <c:f>Stroke!$A$354</c:f>
              <c:strCache>
                <c:ptCount val="1"/>
                <c:pt idx="0">
                  <c:v>Baseline Median</c:v>
                </c:pt>
              </c:strCache>
            </c:strRef>
          </c:tx>
          <c:spPr>
            <a:ln w="25400">
              <a:solidFill>
                <a:schemeClr val="tx1"/>
              </a:solidFill>
            </a:ln>
          </c:spPr>
          <c:marker>
            <c:symbol val="none"/>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Stroke!$B$354:$AW$354</c:f>
              <c:numCache>
                <c:formatCode>0.0%</c:formatCode>
                <c:ptCount val="48"/>
                <c:pt idx="11">
                  <c:v>0</c:v>
                </c:pt>
                <c:pt idx="12">
                  <c:v>0.82579310344827583</c:v>
                </c:pt>
                <c:pt idx="13">
                  <c:v>0.82579310344827583</c:v>
                </c:pt>
                <c:pt idx="14">
                  <c:v>0.82579310344827583</c:v>
                </c:pt>
                <c:pt idx="15">
                  <c:v>0.82579310344827583</c:v>
                </c:pt>
                <c:pt idx="16">
                  <c:v>0.82579310344827583</c:v>
                </c:pt>
                <c:pt idx="17">
                  <c:v>0.82579310344827583</c:v>
                </c:pt>
                <c:pt idx="18">
                  <c:v>0.82579310344827583</c:v>
                </c:pt>
                <c:pt idx="19">
                  <c:v>0.82579310344827583</c:v>
                </c:pt>
                <c:pt idx="20">
                  <c:v>0.82579310344827583</c:v>
                </c:pt>
                <c:pt idx="21">
                  <c:v>0.82579310344827583</c:v>
                </c:pt>
                <c:pt idx="22">
                  <c:v>0.82579310344827583</c:v>
                </c:pt>
                <c:pt idx="23">
                  <c:v>0.82579310344827583</c:v>
                </c:pt>
              </c:numCache>
            </c:numRef>
          </c:val>
          <c:smooth val="0"/>
        </c:ser>
        <c:ser>
          <c:idx val="4"/>
          <c:order val="2"/>
          <c:tx>
            <c:strRef>
              <c:f>Stroke!$A$355</c:f>
              <c:strCache>
                <c:ptCount val="1"/>
                <c:pt idx="0">
                  <c:v>Extended Baseline Median</c:v>
                </c:pt>
              </c:strCache>
            </c:strRef>
          </c:tx>
          <c:spPr>
            <a:ln w="25400">
              <a:solidFill>
                <a:schemeClr val="tx1"/>
              </a:solidFill>
              <a:prstDash val="dash"/>
            </a:ln>
          </c:spPr>
          <c:marker>
            <c:symbol val="none"/>
          </c:marker>
          <c:dPt>
            <c:idx val="23"/>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Stroke!$B$355:$AW$355</c:f>
              <c:numCache>
                <c:formatCode>0.0%</c:formatCode>
                <c:ptCount val="48"/>
                <c:pt idx="11">
                  <c:v>0</c:v>
                </c:pt>
                <c:pt idx="12">
                  <c:v>0</c:v>
                </c:pt>
                <c:pt idx="13">
                  <c:v>0</c:v>
                </c:pt>
                <c:pt idx="14">
                  <c:v>0</c:v>
                </c:pt>
                <c:pt idx="15">
                  <c:v>0</c:v>
                </c:pt>
                <c:pt idx="16">
                  <c:v>0</c:v>
                </c:pt>
                <c:pt idx="17">
                  <c:v>0</c:v>
                </c:pt>
                <c:pt idx="18">
                  <c:v>0</c:v>
                </c:pt>
                <c:pt idx="19">
                  <c:v>0</c:v>
                </c:pt>
                <c:pt idx="20">
                  <c:v>0</c:v>
                </c:pt>
                <c:pt idx="21">
                  <c:v>0</c:v>
                </c:pt>
                <c:pt idx="22">
                  <c:v>0</c:v>
                </c:pt>
                <c:pt idx="23">
                  <c:v>0.82579310344827583</c:v>
                </c:pt>
                <c:pt idx="24">
                  <c:v>0.82579310344827583</c:v>
                </c:pt>
                <c:pt idx="25">
                  <c:v>0.82579310344827583</c:v>
                </c:pt>
                <c:pt idx="26">
                  <c:v>0.82579310344827583</c:v>
                </c:pt>
                <c:pt idx="27">
                  <c:v>0.82579310344827583</c:v>
                </c:pt>
                <c:pt idx="28">
                  <c:v>0.82579310344827583</c:v>
                </c:pt>
                <c:pt idx="29">
                  <c:v>0.82579310344827583</c:v>
                </c:pt>
                <c:pt idx="30">
                  <c:v>0.82579310344827583</c:v>
                </c:pt>
                <c:pt idx="31">
                  <c:v>0.82579310344827583</c:v>
                </c:pt>
                <c:pt idx="32">
                  <c:v>0.82579310344827583</c:v>
                </c:pt>
                <c:pt idx="33">
                  <c:v>0.82579310344827583</c:v>
                </c:pt>
                <c:pt idx="34">
                  <c:v>0.82579310344827583</c:v>
                </c:pt>
                <c:pt idx="35">
                  <c:v>0.82579310344827583</c:v>
                </c:pt>
                <c:pt idx="36">
                  <c:v>0.82579310344827583</c:v>
                </c:pt>
                <c:pt idx="37">
                  <c:v>0.82579310344827583</c:v>
                </c:pt>
                <c:pt idx="38">
                  <c:v>0.82579310344827583</c:v>
                </c:pt>
                <c:pt idx="39">
                  <c:v>0.82579310344827583</c:v>
                </c:pt>
                <c:pt idx="40">
                  <c:v>0.82579310344827583</c:v>
                </c:pt>
                <c:pt idx="41">
                  <c:v>0.82579310344827583</c:v>
                </c:pt>
                <c:pt idx="42">
                  <c:v>0.82579310344827583</c:v>
                </c:pt>
                <c:pt idx="43">
                  <c:v>0.82579310344827583</c:v>
                </c:pt>
                <c:pt idx="44">
                  <c:v>0.82579310344827583</c:v>
                </c:pt>
                <c:pt idx="45">
                  <c:v>0.82579310344827583</c:v>
                </c:pt>
                <c:pt idx="46">
                  <c:v>0.82579310344827583</c:v>
                </c:pt>
                <c:pt idx="47">
                  <c:v>0.82579310344827583</c:v>
                </c:pt>
              </c:numCache>
            </c:numRef>
          </c:val>
          <c:smooth val="0"/>
        </c:ser>
        <c:ser>
          <c:idx val="0"/>
          <c:order val="3"/>
          <c:tx>
            <c:strRef>
              <c:f>Stroke!$A$352</c:f>
              <c:strCache>
                <c:ptCount val="1"/>
                <c:pt idx="0">
                  <c:v>Component Target - 90% on day of admission (min)</c:v>
                </c:pt>
              </c:strCache>
            </c:strRef>
          </c:tx>
          <c:spPr>
            <a:ln w="25400">
              <a:solidFill>
                <a:srgbClr val="FF0000"/>
              </a:solidFill>
              <a:prstDash val="sysDot"/>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3"/>
          <c:order val="4"/>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220461696"/>
        <c:axId val="219623808"/>
      </c:lineChart>
      <c:dateAx>
        <c:axId val="2204616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9623808"/>
        <c:crosses val="autoZero"/>
        <c:auto val="1"/>
        <c:lblOffset val="100"/>
        <c:baseTimeUnit val="months"/>
        <c:majorUnit val="1"/>
        <c:majorTimeUnit val="months"/>
      </c:dateAx>
      <c:valAx>
        <c:axId val="219623808"/>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0461696"/>
        <c:crosses val="autoZero"/>
        <c:crossBetween val="between"/>
        <c:majorUnit val="5.0000000000000024E-2"/>
      </c:valAx>
    </c:plotArea>
    <c:legend>
      <c:legendPos val="r"/>
      <c:layout>
        <c:manualLayout>
          <c:xMode val="edge"/>
          <c:yMode val="edge"/>
          <c:x val="3.3076074972436605E-3"/>
          <c:y val="0.88536155202821853"/>
          <c:w val="0.99044468945240716"/>
          <c:h val="0.11463844797178208"/>
        </c:manualLayout>
      </c:layout>
      <c:overlay val="0"/>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184"/>
        </c:manualLayout>
      </c:layout>
      <c:lineChart>
        <c:grouping val="standard"/>
        <c:varyColors val="0"/>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0.97058823529411764</c:v>
                </c:pt>
                <c:pt idx="24">
                  <c:v>0.96062992125984248</c:v>
                </c:pt>
                <c:pt idx="25">
                  <c:v>0.9642857142857143</c:v>
                </c:pt>
                <c:pt idx="26">
                  <c:v>0.94890510948905105</c:v>
                </c:pt>
                <c:pt idx="27">
                  <c:v>0.97560975609756095</c:v>
                </c:pt>
                <c:pt idx="28">
                  <c:v>0.9916666666666667</c:v>
                </c:pt>
                <c:pt idx="29">
                  <c:v>0.970873786407767</c:v>
                </c:pt>
                <c:pt idx="30">
                  <c:v>0.95934959349593496</c:v>
                </c:pt>
              </c:numCache>
            </c:numRef>
          </c:val>
          <c:smooth val="0"/>
        </c:ser>
        <c:ser>
          <c:idx val="2"/>
          <c:order val="1"/>
          <c:tx>
            <c:strRef>
              <c:f>Stroke!$A$376</c:f>
              <c:strCache>
                <c:ptCount val="1"/>
                <c:pt idx="0">
                  <c:v>Baseline Median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Stroke!$B$376:$M$376</c:f>
              <c:numCache>
                <c:formatCode>0.0%</c:formatCode>
                <c:ptCount val="12"/>
                <c:pt idx="0">
                  <c:v>0.96015067406819987</c:v>
                </c:pt>
                <c:pt idx="1">
                  <c:v>0.96015067406819987</c:v>
                </c:pt>
                <c:pt idx="2">
                  <c:v>0.96015067406819987</c:v>
                </c:pt>
                <c:pt idx="3">
                  <c:v>0.96015067406819987</c:v>
                </c:pt>
                <c:pt idx="4">
                  <c:v>0.96015067406819987</c:v>
                </c:pt>
                <c:pt idx="5">
                  <c:v>0.96015067406819987</c:v>
                </c:pt>
                <c:pt idx="6">
                  <c:v>0.96015067406819987</c:v>
                </c:pt>
                <c:pt idx="7">
                  <c:v>0.96015067406819987</c:v>
                </c:pt>
                <c:pt idx="8">
                  <c:v>0.96015067406819987</c:v>
                </c:pt>
                <c:pt idx="9">
                  <c:v>0.96015067406819987</c:v>
                </c:pt>
                <c:pt idx="10">
                  <c:v>0.96015067406819987</c:v>
                </c:pt>
                <c:pt idx="11">
                  <c:v>0.96015067406819987</c:v>
                </c:pt>
              </c:numCache>
            </c:numRef>
          </c:val>
          <c:smooth val="0"/>
        </c:ser>
        <c:ser>
          <c:idx val="3"/>
          <c:order val="2"/>
          <c:tx>
            <c:strRef>
              <c:f>Stroke!$A$377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Stroke!$B$377:$AW$377</c:f>
              <c:numCache>
                <c:formatCode>0.0%</c:formatCode>
                <c:ptCount val="48"/>
                <c:pt idx="11">
                  <c:v>0.96015067406819987</c:v>
                </c:pt>
                <c:pt idx="12">
                  <c:v>0.96015067406819987</c:v>
                </c:pt>
                <c:pt idx="13">
                  <c:v>0.96015067406819987</c:v>
                </c:pt>
                <c:pt idx="14">
                  <c:v>0.96015067406819987</c:v>
                </c:pt>
                <c:pt idx="15">
                  <c:v>0.96015067406819987</c:v>
                </c:pt>
                <c:pt idx="16">
                  <c:v>0.96015067406819987</c:v>
                </c:pt>
                <c:pt idx="17">
                  <c:v>0.96015067406819987</c:v>
                </c:pt>
                <c:pt idx="18">
                  <c:v>0.96015067406819987</c:v>
                </c:pt>
                <c:pt idx="19">
                  <c:v>0.96015067406819987</c:v>
                </c:pt>
                <c:pt idx="20">
                  <c:v>0.96015067406819987</c:v>
                </c:pt>
                <c:pt idx="21">
                  <c:v>0.96015067406819987</c:v>
                </c:pt>
                <c:pt idx="22">
                  <c:v>0.96015067406819987</c:v>
                </c:pt>
                <c:pt idx="23">
                  <c:v>0.96015067406819987</c:v>
                </c:pt>
                <c:pt idx="24">
                  <c:v>0.96015067406819987</c:v>
                </c:pt>
                <c:pt idx="25">
                  <c:v>0.96015067406819987</c:v>
                </c:pt>
                <c:pt idx="26">
                  <c:v>0.96015067406819987</c:v>
                </c:pt>
                <c:pt idx="27">
                  <c:v>0.96015067406819987</c:v>
                </c:pt>
                <c:pt idx="28">
                  <c:v>0.96015067406819987</c:v>
                </c:pt>
                <c:pt idx="29">
                  <c:v>0.96015067406819987</c:v>
                </c:pt>
                <c:pt idx="30">
                  <c:v>0.96015067406819987</c:v>
                </c:pt>
                <c:pt idx="31">
                  <c:v>0.96015067406819987</c:v>
                </c:pt>
                <c:pt idx="32">
                  <c:v>0.96015067406819987</c:v>
                </c:pt>
                <c:pt idx="33">
                  <c:v>0.96015067406819987</c:v>
                </c:pt>
                <c:pt idx="34">
                  <c:v>0.96015067406819987</c:v>
                </c:pt>
                <c:pt idx="35">
                  <c:v>0.96015067406819987</c:v>
                </c:pt>
                <c:pt idx="36">
                  <c:v>0.96015067406819987</c:v>
                </c:pt>
                <c:pt idx="37">
                  <c:v>0.96015067406819987</c:v>
                </c:pt>
                <c:pt idx="38">
                  <c:v>0.96015067406819987</c:v>
                </c:pt>
                <c:pt idx="39">
                  <c:v>0.96015067406819987</c:v>
                </c:pt>
                <c:pt idx="40">
                  <c:v>0.96015067406819987</c:v>
                </c:pt>
                <c:pt idx="41">
                  <c:v>0.96015067406819987</c:v>
                </c:pt>
                <c:pt idx="42">
                  <c:v>0.96015067406819987</c:v>
                </c:pt>
                <c:pt idx="43">
                  <c:v>0.96015067406819987</c:v>
                </c:pt>
                <c:pt idx="44">
                  <c:v>0.96015067406819987</c:v>
                </c:pt>
                <c:pt idx="45">
                  <c:v>0.96015067406819987</c:v>
                </c:pt>
                <c:pt idx="46">
                  <c:v>0.96015067406819987</c:v>
                </c:pt>
                <c:pt idx="47">
                  <c:v>0.96015067406819987</c:v>
                </c:pt>
              </c:numCache>
            </c:numRef>
          </c:val>
          <c:smooth val="0"/>
        </c:ser>
        <c:ser>
          <c:idx val="0"/>
          <c:order val="3"/>
          <c:tx>
            <c:strRef>
              <c:f>Stroke!$A$375</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219661824"/>
        <c:axId val="219663360"/>
      </c:lineChart>
      <c:dateAx>
        <c:axId val="2196618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19663360"/>
        <c:crosses val="autoZero"/>
        <c:auto val="1"/>
        <c:lblOffset val="100"/>
        <c:baseTimeUnit val="months"/>
        <c:majorUnit val="1"/>
        <c:majorTimeUnit val="months"/>
      </c:dateAx>
      <c:valAx>
        <c:axId val="219663360"/>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19661824"/>
        <c:crosses val="autoZero"/>
        <c:crossBetween val="between"/>
      </c:valAx>
    </c:plotArea>
    <c:legend>
      <c:legendPos val="r"/>
      <c:layout>
        <c:manualLayout>
          <c:xMode val="edge"/>
          <c:yMode val="edge"/>
          <c:x val="2.9768467475192944E-2"/>
          <c:y val="0.90299823633159571"/>
          <c:w val="0.92322681274542995"/>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184"/>
        </c:manualLayout>
      </c:layout>
      <c:lineChart>
        <c:grouping val="standard"/>
        <c:varyColors val="0"/>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0.94736842105263153</c:v>
                </c:pt>
                <c:pt idx="24">
                  <c:v>0.93055555555555558</c:v>
                </c:pt>
                <c:pt idx="25">
                  <c:v>0.90588235294117647</c:v>
                </c:pt>
                <c:pt idx="26">
                  <c:v>0.95454545454545459</c:v>
                </c:pt>
                <c:pt idx="27">
                  <c:v>0.89393939393939392</c:v>
                </c:pt>
                <c:pt idx="28">
                  <c:v>0.93103448275862066</c:v>
                </c:pt>
                <c:pt idx="29">
                  <c:v>0.93333333333333324</c:v>
                </c:pt>
                <c:pt idx="30">
                  <c:v>0.875</c:v>
                </c:pt>
              </c:numCache>
            </c:numRef>
          </c:val>
          <c:smooth val="0"/>
        </c:ser>
        <c:ser>
          <c:idx val="2"/>
          <c:order val="1"/>
          <c:tx>
            <c:strRef>
              <c:f>Stroke!$A$396</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Stroke!$B$396:$M$396</c:f>
              <c:numCache>
                <c:formatCode>0.0%</c:formatCode>
                <c:ptCount val="12"/>
                <c:pt idx="0">
                  <c:v>0.92526811594202907</c:v>
                </c:pt>
                <c:pt idx="1">
                  <c:v>0.92526811594202907</c:v>
                </c:pt>
                <c:pt idx="2">
                  <c:v>0.92526811594202907</c:v>
                </c:pt>
                <c:pt idx="3">
                  <c:v>0.92526811594202907</c:v>
                </c:pt>
                <c:pt idx="4">
                  <c:v>0.92526811594202907</c:v>
                </c:pt>
                <c:pt idx="5">
                  <c:v>0.92526811594202907</c:v>
                </c:pt>
                <c:pt idx="6">
                  <c:v>0.92526811594202907</c:v>
                </c:pt>
                <c:pt idx="7">
                  <c:v>0.92526811594202907</c:v>
                </c:pt>
                <c:pt idx="8">
                  <c:v>0.92526811594202907</c:v>
                </c:pt>
                <c:pt idx="9">
                  <c:v>0.92526811594202907</c:v>
                </c:pt>
                <c:pt idx="10">
                  <c:v>0.92526811594202907</c:v>
                </c:pt>
                <c:pt idx="11">
                  <c:v>0.92526811594202907</c:v>
                </c:pt>
              </c:numCache>
            </c:numRef>
          </c:val>
          <c:smooth val="0"/>
        </c:ser>
        <c:ser>
          <c:idx val="3"/>
          <c:order val="2"/>
          <c:tx>
            <c:strRef>
              <c:f>Stroke!$A$397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Stroke!$B$397:$AW$397</c:f>
              <c:numCache>
                <c:formatCode>General</c:formatCode>
                <c:ptCount val="48"/>
                <c:pt idx="11" formatCode="0.0%">
                  <c:v>0.92526811594202907</c:v>
                </c:pt>
                <c:pt idx="12" formatCode="0.0%">
                  <c:v>0.92526811594202907</c:v>
                </c:pt>
                <c:pt idx="13" formatCode="0.0%">
                  <c:v>0.92526811594202907</c:v>
                </c:pt>
                <c:pt idx="14" formatCode="0.0%">
                  <c:v>0.92526811594202907</c:v>
                </c:pt>
                <c:pt idx="15" formatCode="0.0%">
                  <c:v>0.92526811594202907</c:v>
                </c:pt>
                <c:pt idx="16" formatCode="0.0%">
                  <c:v>0.92526811594202907</c:v>
                </c:pt>
                <c:pt idx="17" formatCode="0.0%">
                  <c:v>0.92526811594202907</c:v>
                </c:pt>
                <c:pt idx="18" formatCode="0.0%">
                  <c:v>0.92526811594202907</c:v>
                </c:pt>
                <c:pt idx="19" formatCode="0.0%">
                  <c:v>0.92526811594202907</c:v>
                </c:pt>
                <c:pt idx="20" formatCode="0.0%">
                  <c:v>0.92526811594202907</c:v>
                </c:pt>
                <c:pt idx="21" formatCode="0.0%">
                  <c:v>0.92526811594202907</c:v>
                </c:pt>
                <c:pt idx="22" formatCode="0.0%">
                  <c:v>0.92526811594202907</c:v>
                </c:pt>
                <c:pt idx="23" formatCode="0.0%">
                  <c:v>0.92526811594202907</c:v>
                </c:pt>
                <c:pt idx="24" formatCode="0.0%">
                  <c:v>0.92526811594202907</c:v>
                </c:pt>
                <c:pt idx="25" formatCode="0.0%">
                  <c:v>0.92526811594202907</c:v>
                </c:pt>
                <c:pt idx="26" formatCode="0.0%">
                  <c:v>0.92526811594202907</c:v>
                </c:pt>
                <c:pt idx="27" formatCode="0.0%">
                  <c:v>0.92526811594202907</c:v>
                </c:pt>
                <c:pt idx="28" formatCode="0.0%">
                  <c:v>0.92526811594202907</c:v>
                </c:pt>
                <c:pt idx="29" formatCode="0.0%">
                  <c:v>0.92526811594202907</c:v>
                </c:pt>
                <c:pt idx="30" formatCode="0.0%">
                  <c:v>0.92526811594202907</c:v>
                </c:pt>
                <c:pt idx="31" formatCode="0.0%">
                  <c:v>0.92526811594202907</c:v>
                </c:pt>
                <c:pt idx="32" formatCode="0.0%">
                  <c:v>0.92526811594202907</c:v>
                </c:pt>
                <c:pt idx="33" formatCode="0.0%">
                  <c:v>0.92526811594202907</c:v>
                </c:pt>
                <c:pt idx="34" formatCode="0.0%">
                  <c:v>0.92526811594202907</c:v>
                </c:pt>
                <c:pt idx="35" formatCode="0.0%">
                  <c:v>0.92526811594202907</c:v>
                </c:pt>
                <c:pt idx="36" formatCode="0.0%">
                  <c:v>0.92526811594202907</c:v>
                </c:pt>
                <c:pt idx="37" formatCode="0.0%">
                  <c:v>0.92526811594202907</c:v>
                </c:pt>
                <c:pt idx="38" formatCode="0.0%">
                  <c:v>0.92526811594202907</c:v>
                </c:pt>
                <c:pt idx="39" formatCode="0.0%">
                  <c:v>0.92526811594202907</c:v>
                </c:pt>
                <c:pt idx="40" formatCode="0.0%">
                  <c:v>0.92526811594202907</c:v>
                </c:pt>
                <c:pt idx="41" formatCode="0.0%">
                  <c:v>0.92526811594202907</c:v>
                </c:pt>
                <c:pt idx="42" formatCode="0.0%">
                  <c:v>0.92526811594202907</c:v>
                </c:pt>
                <c:pt idx="43" formatCode="0.0%">
                  <c:v>0.92526811594202907</c:v>
                </c:pt>
                <c:pt idx="44" formatCode="0.0%">
                  <c:v>0.92526811594202907</c:v>
                </c:pt>
                <c:pt idx="45" formatCode="0.0%">
                  <c:v>0.92526811594202907</c:v>
                </c:pt>
                <c:pt idx="46" formatCode="0.0%">
                  <c:v>0.92526811594202907</c:v>
                </c:pt>
                <c:pt idx="47" formatCode="0.0%">
                  <c:v>0.92526811594202907</c:v>
                </c:pt>
              </c:numCache>
            </c:numRef>
          </c:val>
          <c:smooth val="0"/>
        </c:ser>
        <c:ser>
          <c:idx val="0"/>
          <c:order val="3"/>
          <c:tx>
            <c:strRef>
              <c:f>Stroke!$A$395</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Stroke!$B$395:$AW$395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221351936"/>
        <c:axId val="221353472"/>
      </c:lineChart>
      <c:dateAx>
        <c:axId val="2213519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1353472"/>
        <c:crosses val="autoZero"/>
        <c:auto val="1"/>
        <c:lblOffset val="100"/>
        <c:baseTimeUnit val="months"/>
        <c:majorUnit val="1"/>
        <c:majorTimeUnit val="months"/>
      </c:dateAx>
      <c:valAx>
        <c:axId val="221353472"/>
        <c:scaling>
          <c:orientation val="minMax"/>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1351936"/>
        <c:crosses val="autoZero"/>
        <c:crossBetween val="between"/>
      </c:valAx>
    </c:plotArea>
    <c:legend>
      <c:legendPos val="r"/>
      <c:layout>
        <c:manualLayout>
          <c:xMode val="edge"/>
          <c:yMode val="edge"/>
          <c:x val="4.5938993017273104E-2"/>
          <c:y val="0.90299823633159571"/>
          <c:w val="0.8929658213892"/>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06"/>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0.70338983050847459</c:v>
                </c:pt>
                <c:pt idx="22">
                  <c:v>0.72549019607843135</c:v>
                </c:pt>
                <c:pt idx="23">
                  <c:v>0.77941176470588236</c:v>
                </c:pt>
                <c:pt idx="24">
                  <c:v>0.63779527559055116</c:v>
                </c:pt>
                <c:pt idx="25">
                  <c:v>0.73571428571428588</c:v>
                </c:pt>
                <c:pt idx="26">
                  <c:v>0.73722627737226276</c:v>
                </c:pt>
                <c:pt idx="27">
                  <c:v>0.69918699186991873</c:v>
                </c:pt>
                <c:pt idx="28">
                  <c:v>0.79166666666666652</c:v>
                </c:pt>
                <c:pt idx="29">
                  <c:v>0.69902912621359226</c:v>
                </c:pt>
                <c:pt idx="30">
                  <c:v>0.70731707317073178</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ser>
          <c:idx val="2"/>
          <c:order val="2"/>
          <c:tx>
            <c:strRef>
              <c:f>Stroke!$A$23</c:f>
              <c:strCache>
                <c:ptCount val="1"/>
                <c:pt idx="0">
                  <c:v>Baseline Median</c:v>
                </c:pt>
              </c:strCache>
            </c:strRef>
          </c:tx>
          <c:spPr>
            <a:ln w="25400">
              <a:solidFill>
                <a:schemeClr val="tx1"/>
              </a:solidFill>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Stroke!$B$23:$Y$23</c:f>
              <c:numCache>
                <c:formatCode>0.0%</c:formatCode>
                <c:ptCount val="24"/>
                <c:pt idx="12">
                  <c:v>0.69819491525423727</c:v>
                </c:pt>
                <c:pt idx="13">
                  <c:v>0.69819491525423727</c:v>
                </c:pt>
                <c:pt idx="14">
                  <c:v>0.69819491525423727</c:v>
                </c:pt>
                <c:pt idx="15">
                  <c:v>0.69819491525423727</c:v>
                </c:pt>
                <c:pt idx="16">
                  <c:v>0.69819491525423727</c:v>
                </c:pt>
                <c:pt idx="17">
                  <c:v>0.69819491525423727</c:v>
                </c:pt>
                <c:pt idx="18">
                  <c:v>0.69819491525423727</c:v>
                </c:pt>
                <c:pt idx="19">
                  <c:v>0.69819491525423727</c:v>
                </c:pt>
                <c:pt idx="20">
                  <c:v>0.69819491525423727</c:v>
                </c:pt>
                <c:pt idx="21">
                  <c:v>0.69819491525423727</c:v>
                </c:pt>
                <c:pt idx="22">
                  <c:v>0.69819491525423727</c:v>
                </c:pt>
                <c:pt idx="23">
                  <c:v>0.69819491525423727</c:v>
                </c:pt>
              </c:numCache>
            </c:numRef>
          </c:val>
          <c:smooth val="0"/>
        </c:ser>
        <c:ser>
          <c:idx val="3"/>
          <c:order val="3"/>
          <c:tx>
            <c:strRef>
              <c:f>Stroke!$A$24</c:f>
              <c:strCache>
                <c:ptCount val="1"/>
                <c:pt idx="0">
                  <c:v>Extended Baseline Median</c:v>
                </c:pt>
              </c:strCache>
            </c:strRef>
          </c:tx>
          <c:spPr>
            <a:ln w="25400">
              <a:solidFill>
                <a:schemeClr val="tx1"/>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Stroke!$B$24:$AW$24</c:f>
              <c:numCache>
                <c:formatCode>0.0%</c:formatCode>
                <c:ptCount val="48"/>
                <c:pt idx="23">
                  <c:v>0.69819491525423727</c:v>
                </c:pt>
                <c:pt idx="24">
                  <c:v>0.69819491525423727</c:v>
                </c:pt>
                <c:pt idx="25">
                  <c:v>0.69819491525423727</c:v>
                </c:pt>
                <c:pt idx="26">
                  <c:v>0.69819491525423727</c:v>
                </c:pt>
                <c:pt idx="27">
                  <c:v>0.69819491525423727</c:v>
                </c:pt>
                <c:pt idx="28">
                  <c:v>0.69819491525423727</c:v>
                </c:pt>
                <c:pt idx="29">
                  <c:v>0.69819491525423727</c:v>
                </c:pt>
                <c:pt idx="30">
                  <c:v>0.69819491525423727</c:v>
                </c:pt>
                <c:pt idx="31">
                  <c:v>0.69819491525423727</c:v>
                </c:pt>
                <c:pt idx="32">
                  <c:v>0.69819491525423727</c:v>
                </c:pt>
                <c:pt idx="33">
                  <c:v>0.69819491525423727</c:v>
                </c:pt>
                <c:pt idx="34">
                  <c:v>0.69819491525423727</c:v>
                </c:pt>
                <c:pt idx="35">
                  <c:v>0.69819491525423727</c:v>
                </c:pt>
                <c:pt idx="36">
                  <c:v>0.69819491525423727</c:v>
                </c:pt>
                <c:pt idx="37">
                  <c:v>0.69819491525423727</c:v>
                </c:pt>
                <c:pt idx="38">
                  <c:v>0.69819491525423727</c:v>
                </c:pt>
                <c:pt idx="39">
                  <c:v>0.69819491525423727</c:v>
                </c:pt>
                <c:pt idx="40">
                  <c:v>0.69819491525423727</c:v>
                </c:pt>
                <c:pt idx="41">
                  <c:v>0.69819491525423727</c:v>
                </c:pt>
                <c:pt idx="42">
                  <c:v>0.69819491525423727</c:v>
                </c:pt>
                <c:pt idx="43">
                  <c:v>0.69819491525423727</c:v>
                </c:pt>
                <c:pt idx="44">
                  <c:v>0.69819491525423727</c:v>
                </c:pt>
                <c:pt idx="45">
                  <c:v>0.69819491525423727</c:v>
                </c:pt>
                <c:pt idx="46">
                  <c:v>0.69819491525423727</c:v>
                </c:pt>
                <c:pt idx="47">
                  <c:v>0.69819491525423727</c:v>
                </c:pt>
              </c:numCache>
            </c:numRef>
          </c:val>
          <c:smooth val="0"/>
        </c:ser>
        <c:dLbls>
          <c:showLegendKey val="0"/>
          <c:showVal val="0"/>
          <c:showCatName val="0"/>
          <c:showSerName val="0"/>
          <c:showPercent val="0"/>
          <c:showBubbleSize val="0"/>
        </c:dLbls>
        <c:marker val="1"/>
        <c:smooth val="0"/>
        <c:axId val="221464832"/>
        <c:axId val="221474816"/>
      </c:lineChart>
      <c:dateAx>
        <c:axId val="221464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1474816"/>
        <c:crosses val="autoZero"/>
        <c:auto val="1"/>
        <c:lblOffset val="100"/>
        <c:baseTimeUnit val="months"/>
        <c:majorUnit val="1"/>
        <c:majorTimeUnit val="months"/>
      </c:dateAx>
      <c:valAx>
        <c:axId val="221474816"/>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1464832"/>
        <c:crosses val="autoZero"/>
        <c:crossBetween val="between"/>
        <c:majorUnit val="5.0000000000000024E-2"/>
      </c:valAx>
    </c:plotArea>
    <c:legend>
      <c:legendPos val="r"/>
      <c:layout>
        <c:manualLayout>
          <c:xMode val="edge"/>
          <c:yMode val="edge"/>
          <c:x val="2.6828371922087476E-2"/>
          <c:y val="0.90299823633158127"/>
          <c:w val="0.95511990438901861"/>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912"/>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ABI!$A$18:$A$21</c:f>
              <c:numCache>
                <c:formatCode>mmm\-yy</c:formatCode>
                <c:ptCount val="4"/>
                <c:pt idx="0">
                  <c:v>42522</c:v>
                </c:pt>
                <c:pt idx="1">
                  <c:v>42614</c:v>
                </c:pt>
                <c:pt idx="2">
                  <c:v>42705</c:v>
                </c:pt>
                <c:pt idx="3">
                  <c:v>42795</c:v>
                </c:pt>
              </c:numCache>
            </c:numRef>
          </c:cat>
          <c:val>
            <c:numRef>
              <c:f>ABI!$B$18:$B$21</c:f>
              <c:numCache>
                <c:formatCode>#,##0</c:formatCode>
                <c:ptCount val="4"/>
                <c:pt idx="0">
                  <c:v>6192</c:v>
                </c:pt>
                <c:pt idx="1">
                  <c:v>11370</c:v>
                </c:pt>
                <c:pt idx="2">
                  <c:v>16831</c:v>
                </c:pt>
                <c:pt idx="3">
                  <c:v>22291</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ABI!$A$18:$A$21</c:f>
              <c:numCache>
                <c:formatCode>mmm\-yy</c:formatCode>
                <c:ptCount val="4"/>
                <c:pt idx="0">
                  <c:v>42522</c:v>
                </c:pt>
                <c:pt idx="1">
                  <c:v>42614</c:v>
                </c:pt>
                <c:pt idx="2">
                  <c:v>42705</c:v>
                </c:pt>
                <c:pt idx="3">
                  <c:v>42795</c:v>
                </c:pt>
              </c:numCache>
            </c:numRef>
          </c:cat>
          <c:val>
            <c:numRef>
              <c:f>ABI!$C$18:$C$21</c:f>
              <c:numCache>
                <c:formatCode>#,##0</c:formatCode>
                <c:ptCount val="4"/>
                <c:pt idx="0">
                  <c:v>2440</c:v>
                </c:pt>
                <c:pt idx="1">
                  <c:v>4879</c:v>
                </c:pt>
                <c:pt idx="2">
                  <c:v>7318</c:v>
                </c:pt>
                <c:pt idx="3">
                  <c:v>9757</c:v>
                </c:pt>
              </c:numCache>
            </c:numRef>
          </c:val>
          <c:smooth val="0"/>
        </c:ser>
        <c:dLbls>
          <c:showLegendKey val="0"/>
          <c:showVal val="0"/>
          <c:showCatName val="0"/>
          <c:showSerName val="0"/>
          <c:showPercent val="0"/>
          <c:showBubbleSize val="0"/>
        </c:dLbls>
        <c:marker val="1"/>
        <c:smooth val="0"/>
        <c:axId val="185335808"/>
        <c:axId val="185337344"/>
      </c:lineChart>
      <c:dateAx>
        <c:axId val="185335808"/>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37344"/>
        <c:crosses val="autoZero"/>
        <c:auto val="1"/>
        <c:lblOffset val="100"/>
        <c:baseTimeUnit val="months"/>
        <c:majorUnit val="3"/>
        <c:majorTimeUnit val="months"/>
      </c:dateAx>
      <c:valAx>
        <c:axId val="185337344"/>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85335808"/>
        <c:crosses val="autoZero"/>
        <c:crossBetween val="between"/>
      </c:valAx>
    </c:plotArea>
    <c:legend>
      <c:legendPos val="r"/>
      <c:layout>
        <c:manualLayout>
          <c:xMode val="edge"/>
          <c:yMode val="edge"/>
          <c:x val="0.29106945975745008"/>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06"/>
        </c:manualLayout>
      </c:layout>
      <c:lineChart>
        <c:grouping val="standard"/>
        <c:varyColors val="0"/>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
            <c:bubble3D val="0"/>
            <c:spPr>
              <a:ln w="25400">
                <a:solidFill>
                  <a:srgbClr val="00B050"/>
                </a:solidFill>
              </a:ln>
            </c:spPr>
          </c:dPt>
          <c:dPt>
            <c:idx val="2"/>
            <c:bubble3D val="0"/>
            <c:spPr>
              <a:ln w="25400">
                <a:solidFill>
                  <a:srgbClr val="00B050"/>
                </a:solidFill>
              </a:ln>
            </c:spPr>
          </c:dPt>
          <c:dPt>
            <c:idx val="3"/>
            <c:marker>
              <c:spPr>
                <a:solidFill>
                  <a:srgbClr val="0066CC"/>
                </a:solidFill>
                <a:ln w="25400">
                  <a:solidFill>
                    <a:srgbClr val="0070C0"/>
                  </a:solidFill>
                </a:ln>
              </c:spPr>
            </c:marker>
            <c:bubble3D val="0"/>
            <c:spPr>
              <a:ln w="25400">
                <a:solidFill>
                  <a:srgbClr val="00B050"/>
                </a:solidFill>
              </a:ln>
            </c:spPr>
          </c:dPt>
          <c:dPt>
            <c:idx val="4"/>
            <c:bubble3D val="0"/>
            <c:spPr>
              <a:ln w="25400">
                <a:solidFill>
                  <a:srgbClr val="00B050"/>
                </a:solidFill>
              </a:ln>
            </c:spPr>
          </c:dPt>
          <c:dPt>
            <c:idx val="5"/>
            <c:bubble3D val="0"/>
            <c:spPr>
              <a:ln w="25400">
                <a:solidFill>
                  <a:srgbClr val="00B050"/>
                </a:solidFill>
              </a:ln>
            </c:spPr>
          </c:dPt>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83</c:v>
                </c:pt>
                <c:pt idx="22">
                  <c:v>74</c:v>
                </c:pt>
                <c:pt idx="23">
                  <c:v>106</c:v>
                </c:pt>
                <c:pt idx="24">
                  <c:v>81</c:v>
                </c:pt>
                <c:pt idx="25">
                  <c:v>103</c:v>
                </c:pt>
                <c:pt idx="26">
                  <c:v>101</c:v>
                </c:pt>
                <c:pt idx="27">
                  <c:v>86</c:v>
                </c:pt>
                <c:pt idx="28">
                  <c:v>95</c:v>
                </c:pt>
                <c:pt idx="29">
                  <c:v>72</c:v>
                </c:pt>
                <c:pt idx="30">
                  <c:v>87</c:v>
                </c:pt>
              </c:numCache>
            </c:numRef>
          </c:val>
          <c:smooth val="0"/>
        </c:ser>
        <c:ser>
          <c:idx val="2"/>
          <c:order val="1"/>
          <c:tx>
            <c:strRef>
              <c:f>Stroke!$A$325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Stroke!$B$325:$AW$325</c:f>
              <c:numCache>
                <c:formatCode>0</c:formatCode>
                <c:ptCount val="48"/>
                <c:pt idx="0">
                  <c:v>80.516129032258064</c:v>
                </c:pt>
                <c:pt idx="1">
                  <c:v>80.516129032258064</c:v>
                </c:pt>
                <c:pt idx="2">
                  <c:v>80.516129032258064</c:v>
                </c:pt>
                <c:pt idx="3">
                  <c:v>80.516129032258064</c:v>
                </c:pt>
                <c:pt idx="4">
                  <c:v>80.516129032258064</c:v>
                </c:pt>
                <c:pt idx="5">
                  <c:v>80.516129032258064</c:v>
                </c:pt>
                <c:pt idx="6">
                  <c:v>80.516129032258064</c:v>
                </c:pt>
                <c:pt idx="7">
                  <c:v>80.516129032258064</c:v>
                </c:pt>
                <c:pt idx="8">
                  <c:v>80.516129032258064</c:v>
                </c:pt>
                <c:pt idx="9">
                  <c:v>80.516129032258064</c:v>
                </c:pt>
                <c:pt idx="10">
                  <c:v>80.516129032258064</c:v>
                </c:pt>
                <c:pt idx="11">
                  <c:v>80.516129032258064</c:v>
                </c:pt>
                <c:pt idx="12">
                  <c:v>80.516129032258064</c:v>
                </c:pt>
                <c:pt idx="13">
                  <c:v>80.516129032258064</c:v>
                </c:pt>
                <c:pt idx="14">
                  <c:v>80.516129032258064</c:v>
                </c:pt>
                <c:pt idx="15">
                  <c:v>80.516129032258064</c:v>
                </c:pt>
                <c:pt idx="16">
                  <c:v>80.516129032258064</c:v>
                </c:pt>
                <c:pt idx="17">
                  <c:v>80.516129032258064</c:v>
                </c:pt>
                <c:pt idx="18">
                  <c:v>80.516129032258064</c:v>
                </c:pt>
                <c:pt idx="19">
                  <c:v>80.516129032258064</c:v>
                </c:pt>
                <c:pt idx="20">
                  <c:v>80.516129032258064</c:v>
                </c:pt>
                <c:pt idx="21">
                  <c:v>80.516129032258064</c:v>
                </c:pt>
                <c:pt idx="22">
                  <c:v>80.516129032258064</c:v>
                </c:pt>
                <c:pt idx="23">
                  <c:v>80.516129032258064</c:v>
                </c:pt>
                <c:pt idx="24">
                  <c:v>80.516129032258064</c:v>
                </c:pt>
                <c:pt idx="25">
                  <c:v>80.516129032258064</c:v>
                </c:pt>
                <c:pt idx="26">
                  <c:v>80.516129032258064</c:v>
                </c:pt>
                <c:pt idx="27">
                  <c:v>80.516129032258064</c:v>
                </c:pt>
                <c:pt idx="28">
                  <c:v>80.516129032258064</c:v>
                </c:pt>
                <c:pt idx="29">
                  <c:v>80.516129032258064</c:v>
                </c:pt>
                <c:pt idx="30">
                  <c:v>80.516129032258064</c:v>
                </c:pt>
                <c:pt idx="31">
                  <c:v>80.516129032258064</c:v>
                </c:pt>
                <c:pt idx="32">
                  <c:v>80.516129032258064</c:v>
                </c:pt>
                <c:pt idx="33">
                  <c:v>80.516129032258064</c:v>
                </c:pt>
                <c:pt idx="34">
                  <c:v>80.516129032258064</c:v>
                </c:pt>
                <c:pt idx="35">
                  <c:v>80.516129032258064</c:v>
                </c:pt>
                <c:pt idx="36">
                  <c:v>80.516129032258064</c:v>
                </c:pt>
                <c:pt idx="37">
                  <c:v>80.516129032258064</c:v>
                </c:pt>
                <c:pt idx="38">
                  <c:v>80.516129032258064</c:v>
                </c:pt>
                <c:pt idx="39">
                  <c:v>80.516129032258064</c:v>
                </c:pt>
                <c:pt idx="40">
                  <c:v>80.516129032258064</c:v>
                </c:pt>
                <c:pt idx="41">
                  <c:v>80.516129032258064</c:v>
                </c:pt>
                <c:pt idx="42">
                  <c:v>80.516129032258064</c:v>
                </c:pt>
                <c:pt idx="43">
                  <c:v>80.516129032258064</c:v>
                </c:pt>
                <c:pt idx="44">
                  <c:v>80.516129032258064</c:v>
                </c:pt>
                <c:pt idx="45">
                  <c:v>80.516129032258064</c:v>
                </c:pt>
                <c:pt idx="46">
                  <c:v>80.516129032258064</c:v>
                </c:pt>
                <c:pt idx="47">
                  <c:v>80.516129032258064</c:v>
                </c:pt>
              </c:numCache>
            </c:numRef>
          </c:val>
          <c:smooth val="0"/>
        </c:ser>
        <c:ser>
          <c:idx val="3"/>
          <c:order val="2"/>
          <c:tx>
            <c:strRef>
              <c:f>Stroke!$A$328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Stroke!$B$328:$AW$328</c:f>
              <c:numCache>
                <c:formatCode>0</c:formatCode>
                <c:ptCount val="48"/>
                <c:pt idx="0">
                  <c:v>122.82754102452112</c:v>
                </c:pt>
                <c:pt idx="1">
                  <c:v>122.82754102452112</c:v>
                </c:pt>
                <c:pt idx="2">
                  <c:v>122.82754102452112</c:v>
                </c:pt>
                <c:pt idx="3">
                  <c:v>122.82754102452112</c:v>
                </c:pt>
                <c:pt idx="4">
                  <c:v>122.82754102452112</c:v>
                </c:pt>
                <c:pt idx="5">
                  <c:v>122.82754102452112</c:v>
                </c:pt>
                <c:pt idx="6">
                  <c:v>122.82754102452112</c:v>
                </c:pt>
                <c:pt idx="7">
                  <c:v>122.82754102452112</c:v>
                </c:pt>
                <c:pt idx="8">
                  <c:v>122.82754102452112</c:v>
                </c:pt>
                <c:pt idx="9">
                  <c:v>122.82754102452112</c:v>
                </c:pt>
                <c:pt idx="10">
                  <c:v>122.82754102452112</c:v>
                </c:pt>
                <c:pt idx="11">
                  <c:v>122.82754102452112</c:v>
                </c:pt>
                <c:pt idx="12">
                  <c:v>122.82754102452112</c:v>
                </c:pt>
                <c:pt idx="13">
                  <c:v>122.82754102452112</c:v>
                </c:pt>
                <c:pt idx="14">
                  <c:v>122.82754102452112</c:v>
                </c:pt>
                <c:pt idx="15">
                  <c:v>122.82754102452112</c:v>
                </c:pt>
                <c:pt idx="16">
                  <c:v>122.82754102452112</c:v>
                </c:pt>
                <c:pt idx="17">
                  <c:v>122.82754102452112</c:v>
                </c:pt>
                <c:pt idx="18">
                  <c:v>122.82754102452112</c:v>
                </c:pt>
                <c:pt idx="19">
                  <c:v>122.82754102452112</c:v>
                </c:pt>
                <c:pt idx="20">
                  <c:v>122.82754102452112</c:v>
                </c:pt>
                <c:pt idx="21">
                  <c:v>122.82754102452112</c:v>
                </c:pt>
                <c:pt idx="22">
                  <c:v>122.82754102452112</c:v>
                </c:pt>
                <c:pt idx="23">
                  <c:v>122.82754102452112</c:v>
                </c:pt>
                <c:pt idx="24">
                  <c:v>122.82754102452112</c:v>
                </c:pt>
                <c:pt idx="25">
                  <c:v>122.82754102452112</c:v>
                </c:pt>
                <c:pt idx="26">
                  <c:v>122.82754102452112</c:v>
                </c:pt>
                <c:pt idx="27">
                  <c:v>122.82754102452112</c:v>
                </c:pt>
                <c:pt idx="28">
                  <c:v>122.82754102452112</c:v>
                </c:pt>
                <c:pt idx="29">
                  <c:v>122.82754102452112</c:v>
                </c:pt>
                <c:pt idx="30">
                  <c:v>122.82754102452112</c:v>
                </c:pt>
                <c:pt idx="31">
                  <c:v>122.82754102452112</c:v>
                </c:pt>
                <c:pt idx="32">
                  <c:v>122.82754102452112</c:v>
                </c:pt>
                <c:pt idx="33">
                  <c:v>122.82754102452112</c:v>
                </c:pt>
                <c:pt idx="34">
                  <c:v>122.82754102452112</c:v>
                </c:pt>
                <c:pt idx="35">
                  <c:v>122.82754102452112</c:v>
                </c:pt>
                <c:pt idx="36">
                  <c:v>122.82754102452112</c:v>
                </c:pt>
                <c:pt idx="37">
                  <c:v>122.82754102452112</c:v>
                </c:pt>
                <c:pt idx="38">
                  <c:v>122.82754102452112</c:v>
                </c:pt>
                <c:pt idx="39">
                  <c:v>122.82754102452112</c:v>
                </c:pt>
                <c:pt idx="40">
                  <c:v>122.82754102452112</c:v>
                </c:pt>
                <c:pt idx="41">
                  <c:v>122.82754102452112</c:v>
                </c:pt>
                <c:pt idx="42">
                  <c:v>122.82754102452112</c:v>
                </c:pt>
                <c:pt idx="43">
                  <c:v>122.82754102452112</c:v>
                </c:pt>
                <c:pt idx="44">
                  <c:v>122.82754102452112</c:v>
                </c:pt>
                <c:pt idx="45">
                  <c:v>122.82754102452112</c:v>
                </c:pt>
                <c:pt idx="46">
                  <c:v>122.82754102452112</c:v>
                </c:pt>
                <c:pt idx="47">
                  <c:v>122.82754102452112</c:v>
                </c:pt>
              </c:numCache>
            </c:numRef>
          </c:val>
          <c:smooth val="0"/>
        </c:ser>
        <c:ser>
          <c:idx val="4"/>
          <c:order val="3"/>
          <c:tx>
            <c:strRef>
              <c:f>Stroke!$A$329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Stroke!$B$329:$AW$329</c:f>
              <c:numCache>
                <c:formatCode>0</c:formatCode>
                <c:ptCount val="48"/>
                <c:pt idx="0">
                  <c:v>38.204717039995003</c:v>
                </c:pt>
                <c:pt idx="1">
                  <c:v>38.204717039995003</c:v>
                </c:pt>
                <c:pt idx="2">
                  <c:v>38.204717039995003</c:v>
                </c:pt>
                <c:pt idx="3">
                  <c:v>38.204717039995003</c:v>
                </c:pt>
                <c:pt idx="4">
                  <c:v>38.204717039995003</c:v>
                </c:pt>
                <c:pt idx="5">
                  <c:v>38.204717039995003</c:v>
                </c:pt>
                <c:pt idx="6">
                  <c:v>38.204717039995003</c:v>
                </c:pt>
                <c:pt idx="7">
                  <c:v>38.204717039995003</c:v>
                </c:pt>
                <c:pt idx="8">
                  <c:v>38.204717039995003</c:v>
                </c:pt>
                <c:pt idx="9">
                  <c:v>38.204717039995003</c:v>
                </c:pt>
                <c:pt idx="10">
                  <c:v>38.204717039995003</c:v>
                </c:pt>
                <c:pt idx="11">
                  <c:v>38.204717039995003</c:v>
                </c:pt>
                <c:pt idx="12">
                  <c:v>38.204717039995003</c:v>
                </c:pt>
                <c:pt idx="13">
                  <c:v>38.204717039995003</c:v>
                </c:pt>
                <c:pt idx="14">
                  <c:v>38.204717039995003</c:v>
                </c:pt>
                <c:pt idx="15">
                  <c:v>38.204717039995003</c:v>
                </c:pt>
                <c:pt idx="16">
                  <c:v>38.204717039995003</c:v>
                </c:pt>
                <c:pt idx="17">
                  <c:v>38.204717039995003</c:v>
                </c:pt>
                <c:pt idx="18">
                  <c:v>38.204717039995003</c:v>
                </c:pt>
                <c:pt idx="19">
                  <c:v>38.204717039995003</c:v>
                </c:pt>
                <c:pt idx="20">
                  <c:v>38.204717039995003</c:v>
                </c:pt>
                <c:pt idx="21">
                  <c:v>38.204717039995003</c:v>
                </c:pt>
                <c:pt idx="22">
                  <c:v>38.204717039995003</c:v>
                </c:pt>
                <c:pt idx="23">
                  <c:v>38.204717039995003</c:v>
                </c:pt>
                <c:pt idx="24">
                  <c:v>38.204717039995003</c:v>
                </c:pt>
                <c:pt idx="25">
                  <c:v>38.204717039995003</c:v>
                </c:pt>
                <c:pt idx="26">
                  <c:v>38.204717039995003</c:v>
                </c:pt>
                <c:pt idx="27">
                  <c:v>38.204717039995003</c:v>
                </c:pt>
                <c:pt idx="28">
                  <c:v>38.204717039995003</c:v>
                </c:pt>
                <c:pt idx="29">
                  <c:v>38.204717039995003</c:v>
                </c:pt>
                <c:pt idx="30">
                  <c:v>38.204717039995003</c:v>
                </c:pt>
                <c:pt idx="31">
                  <c:v>38.204717039995003</c:v>
                </c:pt>
                <c:pt idx="32">
                  <c:v>38.204717039995003</c:v>
                </c:pt>
                <c:pt idx="33">
                  <c:v>38.204717039995003</c:v>
                </c:pt>
                <c:pt idx="34">
                  <c:v>38.204717039995003</c:v>
                </c:pt>
                <c:pt idx="35">
                  <c:v>38.204717039995003</c:v>
                </c:pt>
                <c:pt idx="36">
                  <c:v>38.204717039995003</c:v>
                </c:pt>
                <c:pt idx="37">
                  <c:v>38.204717039995003</c:v>
                </c:pt>
                <c:pt idx="38">
                  <c:v>38.204717039995003</c:v>
                </c:pt>
                <c:pt idx="39">
                  <c:v>38.204717039995003</c:v>
                </c:pt>
                <c:pt idx="40">
                  <c:v>38.204717039995003</c:v>
                </c:pt>
                <c:pt idx="41">
                  <c:v>38.204717039995003</c:v>
                </c:pt>
                <c:pt idx="42">
                  <c:v>38.204717039995003</c:v>
                </c:pt>
                <c:pt idx="43">
                  <c:v>38.204717039995003</c:v>
                </c:pt>
                <c:pt idx="44">
                  <c:v>38.204717039995003</c:v>
                </c:pt>
                <c:pt idx="45">
                  <c:v>38.204717039995003</c:v>
                </c:pt>
                <c:pt idx="46">
                  <c:v>38.204717039995003</c:v>
                </c:pt>
                <c:pt idx="47">
                  <c:v>38.204717039995003</c:v>
                </c:pt>
              </c:numCache>
            </c:numRef>
          </c:val>
          <c:smooth val="0"/>
        </c:ser>
        <c:dLbls>
          <c:showLegendKey val="0"/>
          <c:showVal val="0"/>
          <c:showCatName val="0"/>
          <c:showSerName val="0"/>
          <c:showPercent val="0"/>
          <c:showBubbleSize val="0"/>
        </c:dLbls>
        <c:marker val="1"/>
        <c:smooth val="0"/>
        <c:axId val="221518464"/>
        <c:axId val="221524352"/>
      </c:lineChart>
      <c:dateAx>
        <c:axId val="2215184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1524352"/>
        <c:crosses val="autoZero"/>
        <c:auto val="1"/>
        <c:lblOffset val="100"/>
        <c:baseTimeUnit val="months"/>
        <c:majorUnit val="1"/>
        <c:majorTimeUnit val="months"/>
      </c:dateAx>
      <c:valAx>
        <c:axId val="2215243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1518464"/>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5"/>
        </c:manualLayout>
      </c:layout>
      <c:lineChart>
        <c:grouping val="standard"/>
        <c:varyColors val="0"/>
        <c:ser>
          <c:idx val="1"/>
          <c:order val="0"/>
          <c:tx>
            <c:strRef>
              <c:f>Stroke!$A$342</c:f>
              <c:strCache>
                <c:ptCount val="1"/>
                <c:pt idx="0">
                  <c:v>Number admitted to Stroke Unit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Stroke!$B$342:$AW$342</c:f>
              <c:numCache>
                <c:formatCode>0.0</c:formatCode>
                <c:ptCount val="48"/>
                <c:pt idx="0">
                  <c:v>62</c:v>
                </c:pt>
                <c:pt idx="1">
                  <c:v>69</c:v>
                </c:pt>
                <c:pt idx="2" formatCode="0">
                  <c:v>53</c:v>
                </c:pt>
                <c:pt idx="3" formatCode="0">
                  <c:v>32</c:v>
                </c:pt>
                <c:pt idx="4" formatCode="0">
                  <c:v>44</c:v>
                </c:pt>
                <c:pt idx="5" formatCode="0">
                  <c:v>54</c:v>
                </c:pt>
                <c:pt idx="6" formatCode="0">
                  <c:v>73</c:v>
                </c:pt>
                <c:pt idx="7" formatCode="0">
                  <c:v>72</c:v>
                </c:pt>
                <c:pt idx="8" formatCode="0">
                  <c:v>49</c:v>
                </c:pt>
                <c:pt idx="9" formatCode="0">
                  <c:v>68</c:v>
                </c:pt>
                <c:pt idx="10" formatCode="0">
                  <c:v>52</c:v>
                </c:pt>
                <c:pt idx="11" formatCode="0">
                  <c:v>57</c:v>
                </c:pt>
                <c:pt idx="12" formatCode="0">
                  <c:v>60</c:v>
                </c:pt>
                <c:pt idx="13" formatCode="0">
                  <c:v>59</c:v>
                </c:pt>
                <c:pt idx="14" formatCode="0">
                  <c:v>65</c:v>
                </c:pt>
                <c:pt idx="15" formatCode="0">
                  <c:v>66</c:v>
                </c:pt>
                <c:pt idx="16" formatCode="0">
                  <c:v>61</c:v>
                </c:pt>
                <c:pt idx="17" formatCode="0">
                  <c:v>75</c:v>
                </c:pt>
                <c:pt idx="18" formatCode="0">
                  <c:v>53</c:v>
                </c:pt>
                <c:pt idx="19" formatCode="0">
                  <c:v>65</c:v>
                </c:pt>
                <c:pt idx="20" formatCode="0">
                  <c:v>71</c:v>
                </c:pt>
                <c:pt idx="21" formatCode="0">
                  <c:v>61</c:v>
                </c:pt>
                <c:pt idx="22" formatCode="0">
                  <c:v>54</c:v>
                </c:pt>
                <c:pt idx="23" formatCode="0">
                  <c:v>79</c:v>
                </c:pt>
                <c:pt idx="24" formatCode="0">
                  <c:v>59</c:v>
                </c:pt>
                <c:pt idx="25" formatCode="0">
                  <c:v>80</c:v>
                </c:pt>
                <c:pt idx="26" formatCode="0">
                  <c:v>76</c:v>
                </c:pt>
                <c:pt idx="27" formatCode="0">
                  <c:v>69</c:v>
                </c:pt>
                <c:pt idx="28" formatCode="0">
                  <c:v>56</c:v>
                </c:pt>
                <c:pt idx="29" formatCode="0">
                  <c:v>55</c:v>
                </c:pt>
                <c:pt idx="30" formatCode="0">
                  <c:v>67</c:v>
                </c:pt>
              </c:numCache>
            </c:numRef>
          </c:val>
          <c:smooth val="0"/>
        </c:ser>
        <c:ser>
          <c:idx val="2"/>
          <c:order val="1"/>
          <c:tx>
            <c:strRef>
              <c:f>Stroke!$A$345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Stroke!$B$345:$AW$345</c:f>
              <c:numCache>
                <c:formatCode>0.0</c:formatCode>
                <c:ptCount val="48"/>
                <c:pt idx="0">
                  <c:v>61.806451612903224</c:v>
                </c:pt>
                <c:pt idx="1">
                  <c:v>61.806451612903224</c:v>
                </c:pt>
                <c:pt idx="2">
                  <c:v>61.806451612903224</c:v>
                </c:pt>
                <c:pt idx="3">
                  <c:v>61.806451612903224</c:v>
                </c:pt>
                <c:pt idx="4">
                  <c:v>61.806451612903224</c:v>
                </c:pt>
                <c:pt idx="5">
                  <c:v>61.806451612903224</c:v>
                </c:pt>
                <c:pt idx="6">
                  <c:v>61.806451612903224</c:v>
                </c:pt>
                <c:pt idx="7">
                  <c:v>61.806451612903224</c:v>
                </c:pt>
                <c:pt idx="8">
                  <c:v>61.806451612903224</c:v>
                </c:pt>
                <c:pt idx="9">
                  <c:v>61.806451612903224</c:v>
                </c:pt>
                <c:pt idx="10">
                  <c:v>61.806451612903224</c:v>
                </c:pt>
                <c:pt idx="11">
                  <c:v>61.806451612903224</c:v>
                </c:pt>
                <c:pt idx="12">
                  <c:v>61.806451612903224</c:v>
                </c:pt>
                <c:pt idx="13">
                  <c:v>61.806451612903224</c:v>
                </c:pt>
                <c:pt idx="14">
                  <c:v>61.806451612903224</c:v>
                </c:pt>
                <c:pt idx="15">
                  <c:v>61.806451612903224</c:v>
                </c:pt>
                <c:pt idx="16">
                  <c:v>61.806451612903224</c:v>
                </c:pt>
                <c:pt idx="17">
                  <c:v>61.806451612903224</c:v>
                </c:pt>
                <c:pt idx="18">
                  <c:v>61.806451612903224</c:v>
                </c:pt>
                <c:pt idx="19">
                  <c:v>61.806451612903224</c:v>
                </c:pt>
                <c:pt idx="20">
                  <c:v>61.806451612903224</c:v>
                </c:pt>
                <c:pt idx="21">
                  <c:v>61.806451612903224</c:v>
                </c:pt>
                <c:pt idx="22">
                  <c:v>61.806451612903224</c:v>
                </c:pt>
                <c:pt idx="23">
                  <c:v>61.806451612903224</c:v>
                </c:pt>
                <c:pt idx="24">
                  <c:v>61.806451612903224</c:v>
                </c:pt>
                <c:pt idx="25">
                  <c:v>61.806451612903224</c:v>
                </c:pt>
                <c:pt idx="26">
                  <c:v>61.806451612903224</c:v>
                </c:pt>
                <c:pt idx="27">
                  <c:v>61.806451612903224</c:v>
                </c:pt>
                <c:pt idx="28">
                  <c:v>61.806451612903224</c:v>
                </c:pt>
                <c:pt idx="29">
                  <c:v>61.806451612903224</c:v>
                </c:pt>
                <c:pt idx="30">
                  <c:v>61.806451612903224</c:v>
                </c:pt>
                <c:pt idx="31">
                  <c:v>61.806451612903224</c:v>
                </c:pt>
                <c:pt idx="32">
                  <c:v>61.806451612903224</c:v>
                </c:pt>
                <c:pt idx="33">
                  <c:v>61.806451612903224</c:v>
                </c:pt>
                <c:pt idx="34">
                  <c:v>61.806451612903224</c:v>
                </c:pt>
                <c:pt idx="35">
                  <c:v>61.806451612903224</c:v>
                </c:pt>
                <c:pt idx="36">
                  <c:v>61.806451612903224</c:v>
                </c:pt>
                <c:pt idx="37">
                  <c:v>61.806451612903224</c:v>
                </c:pt>
                <c:pt idx="38">
                  <c:v>61.806451612903224</c:v>
                </c:pt>
                <c:pt idx="39">
                  <c:v>61.806451612903224</c:v>
                </c:pt>
                <c:pt idx="40">
                  <c:v>61.806451612903224</c:v>
                </c:pt>
                <c:pt idx="41">
                  <c:v>61.806451612903224</c:v>
                </c:pt>
                <c:pt idx="42">
                  <c:v>61.806451612903224</c:v>
                </c:pt>
                <c:pt idx="43">
                  <c:v>61.806451612903224</c:v>
                </c:pt>
                <c:pt idx="44">
                  <c:v>61.806451612903224</c:v>
                </c:pt>
                <c:pt idx="45">
                  <c:v>61.806451612903224</c:v>
                </c:pt>
                <c:pt idx="46">
                  <c:v>61.806451612903224</c:v>
                </c:pt>
                <c:pt idx="47">
                  <c:v>61.806451612903224</c:v>
                </c:pt>
              </c:numCache>
            </c:numRef>
          </c:val>
          <c:smooth val="0"/>
        </c:ser>
        <c:ser>
          <c:idx val="3"/>
          <c:order val="2"/>
          <c:tx>
            <c:strRef>
              <c:f>Stroke!$A$348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Stroke!$B$348:$AW$348</c:f>
              <c:numCache>
                <c:formatCode>0.0</c:formatCode>
                <c:ptCount val="48"/>
                <c:pt idx="0">
                  <c:v>102.78807637112374</c:v>
                </c:pt>
                <c:pt idx="1">
                  <c:v>102.78807637112374</c:v>
                </c:pt>
                <c:pt idx="2">
                  <c:v>102.78807637112374</c:v>
                </c:pt>
                <c:pt idx="3">
                  <c:v>102.78807637112374</c:v>
                </c:pt>
                <c:pt idx="4">
                  <c:v>102.78807637112374</c:v>
                </c:pt>
                <c:pt idx="5">
                  <c:v>102.78807637112374</c:v>
                </c:pt>
                <c:pt idx="6">
                  <c:v>102.78807637112374</c:v>
                </c:pt>
                <c:pt idx="7">
                  <c:v>102.78807637112374</c:v>
                </c:pt>
                <c:pt idx="8">
                  <c:v>102.78807637112374</c:v>
                </c:pt>
                <c:pt idx="9">
                  <c:v>102.78807637112374</c:v>
                </c:pt>
                <c:pt idx="10">
                  <c:v>102.78807637112374</c:v>
                </c:pt>
                <c:pt idx="11">
                  <c:v>102.78807637112374</c:v>
                </c:pt>
                <c:pt idx="12">
                  <c:v>102.78807637112374</c:v>
                </c:pt>
                <c:pt idx="13">
                  <c:v>102.78807637112374</c:v>
                </c:pt>
                <c:pt idx="14">
                  <c:v>102.78807637112374</c:v>
                </c:pt>
                <c:pt idx="15">
                  <c:v>102.78807637112374</c:v>
                </c:pt>
                <c:pt idx="16">
                  <c:v>102.78807637112374</c:v>
                </c:pt>
                <c:pt idx="17">
                  <c:v>102.78807637112374</c:v>
                </c:pt>
                <c:pt idx="18">
                  <c:v>102.78807637112374</c:v>
                </c:pt>
                <c:pt idx="19">
                  <c:v>102.78807637112374</c:v>
                </c:pt>
                <c:pt idx="20">
                  <c:v>102.78807637112374</c:v>
                </c:pt>
                <c:pt idx="21">
                  <c:v>102.78807637112374</c:v>
                </c:pt>
                <c:pt idx="22">
                  <c:v>102.78807637112374</c:v>
                </c:pt>
                <c:pt idx="23">
                  <c:v>102.78807637112374</c:v>
                </c:pt>
                <c:pt idx="24">
                  <c:v>102.78807637112374</c:v>
                </c:pt>
                <c:pt idx="25">
                  <c:v>102.78807637112374</c:v>
                </c:pt>
                <c:pt idx="26">
                  <c:v>102.78807637112374</c:v>
                </c:pt>
                <c:pt idx="27">
                  <c:v>102.78807637112374</c:v>
                </c:pt>
                <c:pt idx="28">
                  <c:v>102.78807637112374</c:v>
                </c:pt>
                <c:pt idx="29">
                  <c:v>102.78807637112374</c:v>
                </c:pt>
                <c:pt idx="30">
                  <c:v>102.78807637112374</c:v>
                </c:pt>
                <c:pt idx="31">
                  <c:v>102.78807637112374</c:v>
                </c:pt>
                <c:pt idx="32">
                  <c:v>102.78807637112374</c:v>
                </c:pt>
                <c:pt idx="33">
                  <c:v>102.78807637112374</c:v>
                </c:pt>
                <c:pt idx="34">
                  <c:v>102.78807637112374</c:v>
                </c:pt>
                <c:pt idx="35">
                  <c:v>102.78807637112374</c:v>
                </c:pt>
                <c:pt idx="36">
                  <c:v>102.78807637112374</c:v>
                </c:pt>
                <c:pt idx="37">
                  <c:v>102.78807637112374</c:v>
                </c:pt>
                <c:pt idx="38">
                  <c:v>102.78807637112374</c:v>
                </c:pt>
                <c:pt idx="39">
                  <c:v>102.78807637112374</c:v>
                </c:pt>
                <c:pt idx="40">
                  <c:v>102.78807637112374</c:v>
                </c:pt>
                <c:pt idx="41">
                  <c:v>102.78807637112374</c:v>
                </c:pt>
                <c:pt idx="42">
                  <c:v>102.78807637112374</c:v>
                </c:pt>
                <c:pt idx="43">
                  <c:v>102.78807637112374</c:v>
                </c:pt>
                <c:pt idx="44">
                  <c:v>102.78807637112374</c:v>
                </c:pt>
                <c:pt idx="45">
                  <c:v>102.78807637112374</c:v>
                </c:pt>
                <c:pt idx="46">
                  <c:v>102.78807637112374</c:v>
                </c:pt>
                <c:pt idx="47">
                  <c:v>102.78807637112374</c:v>
                </c:pt>
              </c:numCache>
            </c:numRef>
          </c:val>
          <c:smooth val="0"/>
        </c:ser>
        <c:ser>
          <c:idx val="4"/>
          <c:order val="3"/>
          <c:tx>
            <c:strRef>
              <c:f>Stroke!$A$349</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Stroke!$B$349:$AW$349</c:f>
              <c:numCache>
                <c:formatCode>0.0</c:formatCode>
                <c:ptCount val="48"/>
                <c:pt idx="0">
                  <c:v>20.824826854682719</c:v>
                </c:pt>
                <c:pt idx="1">
                  <c:v>20.824826854682719</c:v>
                </c:pt>
                <c:pt idx="2">
                  <c:v>20.824826854682719</c:v>
                </c:pt>
                <c:pt idx="3">
                  <c:v>20.824826854682719</c:v>
                </c:pt>
                <c:pt idx="4">
                  <c:v>20.824826854682719</c:v>
                </c:pt>
                <c:pt idx="5">
                  <c:v>20.824826854682719</c:v>
                </c:pt>
                <c:pt idx="6">
                  <c:v>20.824826854682719</c:v>
                </c:pt>
                <c:pt idx="7">
                  <c:v>20.824826854682719</c:v>
                </c:pt>
                <c:pt idx="8">
                  <c:v>20.824826854682719</c:v>
                </c:pt>
                <c:pt idx="9">
                  <c:v>20.824826854682719</c:v>
                </c:pt>
                <c:pt idx="10">
                  <c:v>20.824826854682719</c:v>
                </c:pt>
                <c:pt idx="11">
                  <c:v>20.824826854682719</c:v>
                </c:pt>
                <c:pt idx="12">
                  <c:v>20.824826854682719</c:v>
                </c:pt>
                <c:pt idx="13">
                  <c:v>20.824826854682719</c:v>
                </c:pt>
                <c:pt idx="14">
                  <c:v>20.824826854682719</c:v>
                </c:pt>
                <c:pt idx="15">
                  <c:v>20.824826854682719</c:v>
                </c:pt>
                <c:pt idx="16">
                  <c:v>20.824826854682719</c:v>
                </c:pt>
                <c:pt idx="17">
                  <c:v>20.824826854682719</c:v>
                </c:pt>
                <c:pt idx="18">
                  <c:v>20.824826854682719</c:v>
                </c:pt>
                <c:pt idx="19">
                  <c:v>20.824826854682719</c:v>
                </c:pt>
                <c:pt idx="20">
                  <c:v>20.824826854682719</c:v>
                </c:pt>
                <c:pt idx="21">
                  <c:v>20.824826854682719</c:v>
                </c:pt>
                <c:pt idx="22">
                  <c:v>20.824826854682719</c:v>
                </c:pt>
                <c:pt idx="23">
                  <c:v>20.824826854682719</c:v>
                </c:pt>
                <c:pt idx="24">
                  <c:v>20.824826854682719</c:v>
                </c:pt>
                <c:pt idx="25">
                  <c:v>20.824826854682719</c:v>
                </c:pt>
                <c:pt idx="26">
                  <c:v>20.824826854682719</c:v>
                </c:pt>
                <c:pt idx="27">
                  <c:v>20.824826854682719</c:v>
                </c:pt>
                <c:pt idx="28">
                  <c:v>20.824826854682719</c:v>
                </c:pt>
                <c:pt idx="29">
                  <c:v>20.824826854682719</c:v>
                </c:pt>
                <c:pt idx="30">
                  <c:v>20.824826854682719</c:v>
                </c:pt>
                <c:pt idx="31">
                  <c:v>20.824826854682719</c:v>
                </c:pt>
                <c:pt idx="32">
                  <c:v>20.824826854682719</c:v>
                </c:pt>
                <c:pt idx="33">
                  <c:v>20.824826854682719</c:v>
                </c:pt>
                <c:pt idx="34">
                  <c:v>20.824826854682719</c:v>
                </c:pt>
                <c:pt idx="35">
                  <c:v>20.824826854682719</c:v>
                </c:pt>
                <c:pt idx="36">
                  <c:v>20.824826854682719</c:v>
                </c:pt>
                <c:pt idx="37">
                  <c:v>20.824826854682719</c:v>
                </c:pt>
                <c:pt idx="38">
                  <c:v>20.824826854682719</c:v>
                </c:pt>
                <c:pt idx="39">
                  <c:v>20.824826854682719</c:v>
                </c:pt>
                <c:pt idx="40">
                  <c:v>20.824826854682719</c:v>
                </c:pt>
                <c:pt idx="41">
                  <c:v>20.824826854682719</c:v>
                </c:pt>
                <c:pt idx="42">
                  <c:v>20.824826854682719</c:v>
                </c:pt>
                <c:pt idx="43">
                  <c:v>20.824826854682719</c:v>
                </c:pt>
                <c:pt idx="44">
                  <c:v>20.824826854682719</c:v>
                </c:pt>
                <c:pt idx="45">
                  <c:v>20.824826854682719</c:v>
                </c:pt>
                <c:pt idx="46">
                  <c:v>20.824826854682719</c:v>
                </c:pt>
                <c:pt idx="47">
                  <c:v>20.824826854682719</c:v>
                </c:pt>
              </c:numCache>
            </c:numRef>
          </c:val>
          <c:smooth val="0"/>
        </c:ser>
        <c:dLbls>
          <c:showLegendKey val="0"/>
          <c:showVal val="0"/>
          <c:showCatName val="0"/>
          <c:showSerName val="0"/>
          <c:showPercent val="0"/>
          <c:showBubbleSize val="0"/>
        </c:dLbls>
        <c:marker val="1"/>
        <c:smooth val="0"/>
        <c:axId val="221566848"/>
        <c:axId val="221568384"/>
      </c:lineChart>
      <c:dateAx>
        <c:axId val="2215668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1568384"/>
        <c:crosses val="autoZero"/>
        <c:auto val="1"/>
        <c:lblOffset val="100"/>
        <c:baseTimeUnit val="months"/>
        <c:majorUnit val="1"/>
        <c:majorTimeUnit val="months"/>
      </c:dateAx>
      <c:valAx>
        <c:axId val="22156838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1566848"/>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83"/>
        </c:manualLayout>
      </c:layout>
      <c:lineChart>
        <c:grouping val="standard"/>
        <c:varyColors val="0"/>
        <c:ser>
          <c:idx val="1"/>
          <c:order val="0"/>
          <c:tx>
            <c:strRef>
              <c:f>Stroke!$A$385</c:f>
              <c:strCache>
                <c:ptCount val="1"/>
                <c:pt idx="0">
                  <c:v>Number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24"/>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Stroke!$B$385:$AW$385</c:f>
              <c:numCache>
                <c:formatCode>0</c:formatCode>
                <c:ptCount val="48"/>
                <c:pt idx="0">
                  <c:v>104</c:v>
                </c:pt>
                <c:pt idx="1">
                  <c:v>120</c:v>
                </c:pt>
                <c:pt idx="2">
                  <c:v>93</c:v>
                </c:pt>
                <c:pt idx="3">
                  <c:v>95</c:v>
                </c:pt>
                <c:pt idx="4">
                  <c:v>96</c:v>
                </c:pt>
                <c:pt idx="5">
                  <c:v>100</c:v>
                </c:pt>
                <c:pt idx="6">
                  <c:v>116</c:v>
                </c:pt>
                <c:pt idx="7">
                  <c:v>128</c:v>
                </c:pt>
                <c:pt idx="8">
                  <c:v>100</c:v>
                </c:pt>
                <c:pt idx="9">
                  <c:v>125</c:v>
                </c:pt>
                <c:pt idx="10">
                  <c:v>120</c:v>
                </c:pt>
                <c:pt idx="11">
                  <c:v>103</c:v>
                </c:pt>
                <c:pt idx="12">
                  <c:v>128</c:v>
                </c:pt>
                <c:pt idx="13">
                  <c:v>121</c:v>
                </c:pt>
                <c:pt idx="14">
                  <c:v>117</c:v>
                </c:pt>
                <c:pt idx="15">
                  <c:v>121</c:v>
                </c:pt>
                <c:pt idx="16">
                  <c:v>119</c:v>
                </c:pt>
                <c:pt idx="17">
                  <c:v>127</c:v>
                </c:pt>
                <c:pt idx="18">
                  <c:v>119</c:v>
                </c:pt>
                <c:pt idx="19">
                  <c:v>104</c:v>
                </c:pt>
                <c:pt idx="20">
                  <c:v>139</c:v>
                </c:pt>
                <c:pt idx="21">
                  <c:v>109</c:v>
                </c:pt>
                <c:pt idx="22">
                  <c:v>100</c:v>
                </c:pt>
                <c:pt idx="23">
                  <c:v>132</c:v>
                </c:pt>
                <c:pt idx="24">
                  <c:v>122</c:v>
                </c:pt>
                <c:pt idx="25">
                  <c:v>135</c:v>
                </c:pt>
                <c:pt idx="26">
                  <c:v>130</c:v>
                </c:pt>
                <c:pt idx="27">
                  <c:v>120</c:v>
                </c:pt>
                <c:pt idx="28">
                  <c:v>119</c:v>
                </c:pt>
                <c:pt idx="29">
                  <c:v>100</c:v>
                </c:pt>
                <c:pt idx="30">
                  <c:v>118</c:v>
                </c:pt>
              </c:numCache>
            </c:numRef>
          </c:val>
          <c:smooth val="0"/>
        </c:ser>
        <c:ser>
          <c:idx val="2"/>
          <c:order val="1"/>
          <c:tx>
            <c:strRef>
              <c:f>Stroke!$A$388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Stroke!$B$388:$AW$388</c:f>
              <c:numCache>
                <c:formatCode>0</c:formatCode>
                <c:ptCount val="48"/>
                <c:pt idx="0">
                  <c:v>115.48387096774194</c:v>
                </c:pt>
                <c:pt idx="1">
                  <c:v>115.48387096774194</c:v>
                </c:pt>
                <c:pt idx="2">
                  <c:v>115.48387096774194</c:v>
                </c:pt>
                <c:pt idx="3">
                  <c:v>115.48387096774194</c:v>
                </c:pt>
                <c:pt idx="4">
                  <c:v>115.48387096774194</c:v>
                </c:pt>
                <c:pt idx="5">
                  <c:v>115.48387096774194</c:v>
                </c:pt>
                <c:pt idx="6">
                  <c:v>115.48387096774194</c:v>
                </c:pt>
                <c:pt idx="7">
                  <c:v>115.48387096774194</c:v>
                </c:pt>
                <c:pt idx="8">
                  <c:v>115.48387096774194</c:v>
                </c:pt>
                <c:pt idx="9">
                  <c:v>115.48387096774194</c:v>
                </c:pt>
                <c:pt idx="10">
                  <c:v>115.48387096774194</c:v>
                </c:pt>
                <c:pt idx="11">
                  <c:v>115.48387096774194</c:v>
                </c:pt>
                <c:pt idx="12">
                  <c:v>115.48387096774194</c:v>
                </c:pt>
                <c:pt idx="13">
                  <c:v>115.48387096774194</c:v>
                </c:pt>
                <c:pt idx="14">
                  <c:v>115.48387096774194</c:v>
                </c:pt>
                <c:pt idx="15">
                  <c:v>115.48387096774194</c:v>
                </c:pt>
                <c:pt idx="16">
                  <c:v>115.48387096774194</c:v>
                </c:pt>
                <c:pt idx="17">
                  <c:v>115.48387096774194</c:v>
                </c:pt>
                <c:pt idx="18">
                  <c:v>115.48387096774194</c:v>
                </c:pt>
                <c:pt idx="19">
                  <c:v>115.48387096774194</c:v>
                </c:pt>
                <c:pt idx="20">
                  <c:v>115.48387096774194</c:v>
                </c:pt>
                <c:pt idx="21">
                  <c:v>115.48387096774194</c:v>
                </c:pt>
                <c:pt idx="22">
                  <c:v>115.48387096774194</c:v>
                </c:pt>
                <c:pt idx="23">
                  <c:v>115.48387096774194</c:v>
                </c:pt>
                <c:pt idx="24">
                  <c:v>115.48387096774194</c:v>
                </c:pt>
                <c:pt idx="25">
                  <c:v>115.48387096774194</c:v>
                </c:pt>
                <c:pt idx="26">
                  <c:v>115.48387096774194</c:v>
                </c:pt>
                <c:pt idx="27">
                  <c:v>115.48387096774194</c:v>
                </c:pt>
                <c:pt idx="28">
                  <c:v>115.48387096774194</c:v>
                </c:pt>
                <c:pt idx="29">
                  <c:v>115.48387096774194</c:v>
                </c:pt>
                <c:pt idx="30">
                  <c:v>115.48387096774194</c:v>
                </c:pt>
                <c:pt idx="31">
                  <c:v>115.48387096774194</c:v>
                </c:pt>
                <c:pt idx="32">
                  <c:v>115.48387096774194</c:v>
                </c:pt>
                <c:pt idx="33">
                  <c:v>115.48387096774194</c:v>
                </c:pt>
                <c:pt idx="34">
                  <c:v>115.48387096774194</c:v>
                </c:pt>
                <c:pt idx="35">
                  <c:v>115.48387096774194</c:v>
                </c:pt>
                <c:pt idx="36">
                  <c:v>115.48387096774194</c:v>
                </c:pt>
                <c:pt idx="37">
                  <c:v>115.48387096774194</c:v>
                </c:pt>
                <c:pt idx="38">
                  <c:v>115.48387096774194</c:v>
                </c:pt>
                <c:pt idx="39">
                  <c:v>115.48387096774194</c:v>
                </c:pt>
                <c:pt idx="40">
                  <c:v>115.48387096774194</c:v>
                </c:pt>
                <c:pt idx="41">
                  <c:v>115.48387096774194</c:v>
                </c:pt>
                <c:pt idx="42">
                  <c:v>115.48387096774194</c:v>
                </c:pt>
                <c:pt idx="43">
                  <c:v>115.48387096774194</c:v>
                </c:pt>
                <c:pt idx="44">
                  <c:v>115.48387096774194</c:v>
                </c:pt>
                <c:pt idx="45">
                  <c:v>115.48387096774194</c:v>
                </c:pt>
                <c:pt idx="46">
                  <c:v>115.48387096774194</c:v>
                </c:pt>
                <c:pt idx="47">
                  <c:v>115.48387096774194</c:v>
                </c:pt>
              </c:numCache>
            </c:numRef>
          </c:val>
          <c:smooth val="0"/>
        </c:ser>
        <c:ser>
          <c:idx val="3"/>
          <c:order val="2"/>
          <c:tx>
            <c:strRef>
              <c:f>Stroke!$A$391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Stroke!$B$391:$AW$391</c:f>
              <c:numCache>
                <c:formatCode>0</c:formatCode>
                <c:ptCount val="48"/>
                <c:pt idx="0">
                  <c:v>164.80688837586575</c:v>
                </c:pt>
                <c:pt idx="1">
                  <c:v>164.80688837586575</c:v>
                </c:pt>
                <c:pt idx="2">
                  <c:v>164.80688837586575</c:v>
                </c:pt>
                <c:pt idx="3">
                  <c:v>164.80688837586575</c:v>
                </c:pt>
                <c:pt idx="4">
                  <c:v>164.80688837586575</c:v>
                </c:pt>
                <c:pt idx="5">
                  <c:v>164.80688837586575</c:v>
                </c:pt>
                <c:pt idx="6">
                  <c:v>164.80688837586575</c:v>
                </c:pt>
                <c:pt idx="7">
                  <c:v>164.80688837586575</c:v>
                </c:pt>
                <c:pt idx="8">
                  <c:v>164.80688837586575</c:v>
                </c:pt>
                <c:pt idx="9">
                  <c:v>164.80688837586575</c:v>
                </c:pt>
                <c:pt idx="10">
                  <c:v>164.80688837586575</c:v>
                </c:pt>
                <c:pt idx="11">
                  <c:v>164.80688837586575</c:v>
                </c:pt>
                <c:pt idx="12">
                  <c:v>164.80688837586575</c:v>
                </c:pt>
                <c:pt idx="13">
                  <c:v>164.80688837586575</c:v>
                </c:pt>
                <c:pt idx="14">
                  <c:v>164.80688837586575</c:v>
                </c:pt>
                <c:pt idx="15">
                  <c:v>164.80688837586575</c:v>
                </c:pt>
                <c:pt idx="16">
                  <c:v>164.80688837586575</c:v>
                </c:pt>
                <c:pt idx="17">
                  <c:v>164.80688837586575</c:v>
                </c:pt>
                <c:pt idx="18">
                  <c:v>164.80688837586575</c:v>
                </c:pt>
                <c:pt idx="19">
                  <c:v>164.80688837586575</c:v>
                </c:pt>
                <c:pt idx="20">
                  <c:v>164.80688837586575</c:v>
                </c:pt>
                <c:pt idx="21">
                  <c:v>164.80688837586575</c:v>
                </c:pt>
                <c:pt idx="22">
                  <c:v>164.80688837586575</c:v>
                </c:pt>
                <c:pt idx="23">
                  <c:v>164.80688837586575</c:v>
                </c:pt>
                <c:pt idx="24">
                  <c:v>164.80688837586575</c:v>
                </c:pt>
                <c:pt idx="25">
                  <c:v>164.80688837586575</c:v>
                </c:pt>
                <c:pt idx="26">
                  <c:v>164.80688837586575</c:v>
                </c:pt>
                <c:pt idx="27">
                  <c:v>164.80688837586575</c:v>
                </c:pt>
                <c:pt idx="28">
                  <c:v>164.80688837586575</c:v>
                </c:pt>
                <c:pt idx="29">
                  <c:v>164.80688837586575</c:v>
                </c:pt>
                <c:pt idx="30">
                  <c:v>164.80688837586575</c:v>
                </c:pt>
                <c:pt idx="31">
                  <c:v>164.80688837586575</c:v>
                </c:pt>
                <c:pt idx="32">
                  <c:v>164.80688837586575</c:v>
                </c:pt>
                <c:pt idx="33">
                  <c:v>164.80688837586575</c:v>
                </c:pt>
                <c:pt idx="34">
                  <c:v>164.80688837586575</c:v>
                </c:pt>
                <c:pt idx="35">
                  <c:v>164.80688837586575</c:v>
                </c:pt>
                <c:pt idx="36">
                  <c:v>164.80688837586575</c:v>
                </c:pt>
                <c:pt idx="37">
                  <c:v>164.80688837586575</c:v>
                </c:pt>
                <c:pt idx="38">
                  <c:v>164.80688837586575</c:v>
                </c:pt>
                <c:pt idx="39">
                  <c:v>164.80688837586575</c:v>
                </c:pt>
                <c:pt idx="40">
                  <c:v>164.80688837586575</c:v>
                </c:pt>
                <c:pt idx="41">
                  <c:v>164.80688837586575</c:v>
                </c:pt>
                <c:pt idx="42">
                  <c:v>164.80688837586575</c:v>
                </c:pt>
                <c:pt idx="43">
                  <c:v>164.80688837586575</c:v>
                </c:pt>
                <c:pt idx="44">
                  <c:v>164.80688837586575</c:v>
                </c:pt>
                <c:pt idx="45">
                  <c:v>164.80688837586575</c:v>
                </c:pt>
                <c:pt idx="46">
                  <c:v>164.80688837586575</c:v>
                </c:pt>
                <c:pt idx="47">
                  <c:v>164.80688837586575</c:v>
                </c:pt>
              </c:numCache>
            </c:numRef>
          </c:val>
          <c:smooth val="0"/>
        </c:ser>
        <c:ser>
          <c:idx val="4"/>
          <c:order val="3"/>
          <c:tx>
            <c:strRef>
              <c:f>Stroke!$A$392</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Stroke!$B$392:$AW$392</c:f>
              <c:numCache>
                <c:formatCode>0</c:formatCode>
                <c:ptCount val="48"/>
                <c:pt idx="0">
                  <c:v>66.160853559618133</c:v>
                </c:pt>
                <c:pt idx="1">
                  <c:v>66.160853559618133</c:v>
                </c:pt>
                <c:pt idx="2">
                  <c:v>66.160853559618133</c:v>
                </c:pt>
                <c:pt idx="3">
                  <c:v>66.160853559618133</c:v>
                </c:pt>
                <c:pt idx="4">
                  <c:v>66.160853559618133</c:v>
                </c:pt>
                <c:pt idx="5">
                  <c:v>66.160853559618133</c:v>
                </c:pt>
                <c:pt idx="6">
                  <c:v>66.160853559618133</c:v>
                </c:pt>
                <c:pt idx="7">
                  <c:v>66.160853559618133</c:v>
                </c:pt>
                <c:pt idx="8">
                  <c:v>66.160853559618133</c:v>
                </c:pt>
                <c:pt idx="9">
                  <c:v>66.160853559618133</c:v>
                </c:pt>
                <c:pt idx="10">
                  <c:v>66.160853559618133</c:v>
                </c:pt>
                <c:pt idx="11">
                  <c:v>66.160853559618133</c:v>
                </c:pt>
                <c:pt idx="12">
                  <c:v>66.160853559618133</c:v>
                </c:pt>
                <c:pt idx="13">
                  <c:v>66.160853559618133</c:v>
                </c:pt>
                <c:pt idx="14">
                  <c:v>66.160853559618133</c:v>
                </c:pt>
                <c:pt idx="15">
                  <c:v>66.160853559618133</c:v>
                </c:pt>
                <c:pt idx="16">
                  <c:v>66.160853559618133</c:v>
                </c:pt>
                <c:pt idx="17">
                  <c:v>66.160853559618133</c:v>
                </c:pt>
                <c:pt idx="18">
                  <c:v>66.160853559618133</c:v>
                </c:pt>
                <c:pt idx="19">
                  <c:v>66.160853559618133</c:v>
                </c:pt>
                <c:pt idx="20">
                  <c:v>66.160853559618133</c:v>
                </c:pt>
                <c:pt idx="21">
                  <c:v>66.160853559618133</c:v>
                </c:pt>
                <c:pt idx="22">
                  <c:v>66.160853559618133</c:v>
                </c:pt>
                <c:pt idx="23">
                  <c:v>66.160853559618133</c:v>
                </c:pt>
                <c:pt idx="24">
                  <c:v>66.160853559618133</c:v>
                </c:pt>
                <c:pt idx="25">
                  <c:v>66.160853559618133</c:v>
                </c:pt>
                <c:pt idx="26">
                  <c:v>66.160853559618133</c:v>
                </c:pt>
                <c:pt idx="27">
                  <c:v>66.160853559618133</c:v>
                </c:pt>
                <c:pt idx="28">
                  <c:v>66.160853559618133</c:v>
                </c:pt>
                <c:pt idx="29">
                  <c:v>66.160853559618133</c:v>
                </c:pt>
                <c:pt idx="30">
                  <c:v>66.160853559618133</c:v>
                </c:pt>
                <c:pt idx="31">
                  <c:v>66.160853559618133</c:v>
                </c:pt>
                <c:pt idx="32">
                  <c:v>66.160853559618133</c:v>
                </c:pt>
                <c:pt idx="33">
                  <c:v>66.160853559618133</c:v>
                </c:pt>
                <c:pt idx="34">
                  <c:v>66.160853559618133</c:v>
                </c:pt>
                <c:pt idx="35">
                  <c:v>66.160853559618133</c:v>
                </c:pt>
                <c:pt idx="36">
                  <c:v>66.160853559618133</c:v>
                </c:pt>
                <c:pt idx="37">
                  <c:v>66.160853559618133</c:v>
                </c:pt>
                <c:pt idx="38">
                  <c:v>66.160853559618133</c:v>
                </c:pt>
                <c:pt idx="39">
                  <c:v>66.160853559618133</c:v>
                </c:pt>
                <c:pt idx="40">
                  <c:v>66.160853559618133</c:v>
                </c:pt>
                <c:pt idx="41">
                  <c:v>66.160853559618133</c:v>
                </c:pt>
                <c:pt idx="42">
                  <c:v>66.160853559618133</c:v>
                </c:pt>
                <c:pt idx="43">
                  <c:v>66.160853559618133</c:v>
                </c:pt>
                <c:pt idx="44">
                  <c:v>66.160853559618133</c:v>
                </c:pt>
                <c:pt idx="45">
                  <c:v>66.160853559618133</c:v>
                </c:pt>
                <c:pt idx="46">
                  <c:v>66.160853559618133</c:v>
                </c:pt>
                <c:pt idx="47">
                  <c:v>66.160853559618133</c:v>
                </c:pt>
              </c:numCache>
            </c:numRef>
          </c:val>
          <c:smooth val="0"/>
        </c:ser>
        <c:dLbls>
          <c:showLegendKey val="0"/>
          <c:showVal val="0"/>
          <c:showCatName val="0"/>
          <c:showSerName val="0"/>
          <c:showPercent val="0"/>
          <c:showBubbleSize val="0"/>
        </c:dLbls>
        <c:marker val="1"/>
        <c:smooth val="0"/>
        <c:axId val="221615232"/>
        <c:axId val="221616768"/>
      </c:lineChart>
      <c:dateAx>
        <c:axId val="2216152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1616768"/>
        <c:crosses val="autoZero"/>
        <c:auto val="1"/>
        <c:lblOffset val="100"/>
        <c:baseTimeUnit val="months"/>
        <c:majorUnit val="1"/>
        <c:majorTimeUnit val="months"/>
      </c:dateAx>
      <c:valAx>
        <c:axId val="22161676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1615232"/>
        <c:crosses val="autoZero"/>
        <c:crossBetween val="between"/>
      </c:valAx>
    </c:plotArea>
    <c:legend>
      <c:legendPos val="r"/>
      <c:layout>
        <c:manualLayout>
          <c:xMode val="edge"/>
          <c:yMode val="edge"/>
          <c:x val="5.4759279676589487E-2"/>
          <c:y val="0.91005291005290956"/>
          <c:w val="0.91780962881293637"/>
          <c:h val="8.99470899470900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83"/>
        </c:manualLayout>
      </c:layout>
      <c:lineChart>
        <c:grouping val="standard"/>
        <c:varyColors val="0"/>
        <c:ser>
          <c:idx val="1"/>
          <c:order val="0"/>
          <c:tx>
            <c:strRef>
              <c:f>Stroke!$A$406</c:f>
              <c:strCache>
                <c:ptCount val="1"/>
                <c:pt idx="0">
                  <c:v>Number receiving aspirin within one day of admission </c:v>
                </c:pt>
              </c:strCache>
            </c:strRef>
          </c:tx>
          <c:spPr>
            <a:ln w="25400">
              <a:solidFill>
                <a:srgbClr val="00B050"/>
              </a:solidFill>
            </a:ln>
          </c:spPr>
          <c:marker>
            <c:symbol val="circle"/>
            <c:size val="4"/>
            <c:spPr>
              <a:solidFill>
                <a:srgbClr val="0070C0"/>
              </a:solidFill>
              <a:ln w="25400">
                <a:solidFill>
                  <a:srgbClr val="0070C0"/>
                </a:solidFill>
              </a:ln>
            </c:spPr>
          </c:marker>
          <c:dPt>
            <c:idx val="29"/>
            <c:marker>
              <c:spPr>
                <a:solidFill>
                  <a:schemeClr val="bg1"/>
                </a:solidFill>
                <a:ln w="25400">
                  <a:solidFill>
                    <a:srgbClr val="0070C0"/>
                  </a:solidFill>
                </a:ln>
              </c:spPr>
            </c:marker>
            <c:bubble3D val="0"/>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Stroke!$B$406:$AW$406</c:f>
              <c:numCache>
                <c:formatCode>0</c:formatCode>
                <c:ptCount val="48"/>
                <c:pt idx="0">
                  <c:v>64</c:v>
                </c:pt>
                <c:pt idx="1">
                  <c:v>70</c:v>
                </c:pt>
                <c:pt idx="2">
                  <c:v>58</c:v>
                </c:pt>
                <c:pt idx="3">
                  <c:v>50</c:v>
                </c:pt>
                <c:pt idx="4">
                  <c:v>56</c:v>
                </c:pt>
                <c:pt idx="5">
                  <c:v>58</c:v>
                </c:pt>
                <c:pt idx="6">
                  <c:v>64</c:v>
                </c:pt>
                <c:pt idx="7">
                  <c:v>76</c:v>
                </c:pt>
                <c:pt idx="8">
                  <c:v>54</c:v>
                </c:pt>
                <c:pt idx="9">
                  <c:v>70</c:v>
                </c:pt>
                <c:pt idx="10">
                  <c:v>60</c:v>
                </c:pt>
                <c:pt idx="11">
                  <c:v>49</c:v>
                </c:pt>
                <c:pt idx="12">
                  <c:v>68</c:v>
                </c:pt>
                <c:pt idx="13">
                  <c:v>71</c:v>
                </c:pt>
                <c:pt idx="14">
                  <c:v>61</c:v>
                </c:pt>
                <c:pt idx="15">
                  <c:v>59</c:v>
                </c:pt>
                <c:pt idx="16">
                  <c:v>52</c:v>
                </c:pt>
                <c:pt idx="17">
                  <c:v>57</c:v>
                </c:pt>
                <c:pt idx="18">
                  <c:v>46</c:v>
                </c:pt>
                <c:pt idx="19">
                  <c:v>50</c:v>
                </c:pt>
                <c:pt idx="20">
                  <c:v>71</c:v>
                </c:pt>
                <c:pt idx="21">
                  <c:v>54</c:v>
                </c:pt>
                <c:pt idx="22">
                  <c:v>51</c:v>
                </c:pt>
                <c:pt idx="23">
                  <c:v>72</c:v>
                </c:pt>
                <c:pt idx="24">
                  <c:v>67</c:v>
                </c:pt>
                <c:pt idx="25">
                  <c:v>77</c:v>
                </c:pt>
                <c:pt idx="26">
                  <c:v>63</c:v>
                </c:pt>
                <c:pt idx="27">
                  <c:v>59</c:v>
                </c:pt>
                <c:pt idx="28">
                  <c:v>54</c:v>
                </c:pt>
                <c:pt idx="29">
                  <c:v>42</c:v>
                </c:pt>
                <c:pt idx="30">
                  <c:v>49</c:v>
                </c:pt>
              </c:numCache>
            </c:numRef>
          </c:val>
          <c:smooth val="0"/>
        </c:ser>
        <c:ser>
          <c:idx val="2"/>
          <c:order val="1"/>
          <c:tx>
            <c:strRef>
              <c:f>Stroke!$A$409</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Stroke!$B$409:$AW$409</c:f>
              <c:numCache>
                <c:formatCode>0</c:formatCode>
                <c:ptCount val="48"/>
                <c:pt idx="0">
                  <c:v>80.521739130434781</c:v>
                </c:pt>
                <c:pt idx="1">
                  <c:v>80.521739130434781</c:v>
                </c:pt>
                <c:pt idx="2">
                  <c:v>80.521739130434781</c:v>
                </c:pt>
                <c:pt idx="3">
                  <c:v>80.521739130434781</c:v>
                </c:pt>
                <c:pt idx="4">
                  <c:v>80.521739130434781</c:v>
                </c:pt>
                <c:pt idx="5">
                  <c:v>80.521739130434781</c:v>
                </c:pt>
                <c:pt idx="6">
                  <c:v>80.521739130434781</c:v>
                </c:pt>
                <c:pt idx="7">
                  <c:v>80.521739130434781</c:v>
                </c:pt>
                <c:pt idx="8">
                  <c:v>80.521739130434781</c:v>
                </c:pt>
                <c:pt idx="9">
                  <c:v>80.521739130434781</c:v>
                </c:pt>
                <c:pt idx="10">
                  <c:v>80.521739130434781</c:v>
                </c:pt>
                <c:pt idx="11">
                  <c:v>80.521739130434781</c:v>
                </c:pt>
                <c:pt idx="12">
                  <c:v>80.521739130434781</c:v>
                </c:pt>
                <c:pt idx="13">
                  <c:v>80.521739130434781</c:v>
                </c:pt>
                <c:pt idx="14">
                  <c:v>80.521739130434781</c:v>
                </c:pt>
                <c:pt idx="15">
                  <c:v>80.521739130434781</c:v>
                </c:pt>
                <c:pt idx="16">
                  <c:v>80.521739130434781</c:v>
                </c:pt>
                <c:pt idx="17">
                  <c:v>80.521739130434781</c:v>
                </c:pt>
                <c:pt idx="18">
                  <c:v>80.521739130434781</c:v>
                </c:pt>
                <c:pt idx="19">
                  <c:v>80.521739130434781</c:v>
                </c:pt>
                <c:pt idx="20">
                  <c:v>80.521739130434781</c:v>
                </c:pt>
                <c:pt idx="21">
                  <c:v>80.521739130434781</c:v>
                </c:pt>
                <c:pt idx="22">
                  <c:v>80.521739130434781</c:v>
                </c:pt>
                <c:pt idx="23">
                  <c:v>80.521739130434781</c:v>
                </c:pt>
                <c:pt idx="24">
                  <c:v>80.521739130434781</c:v>
                </c:pt>
                <c:pt idx="25">
                  <c:v>80.521739130434781</c:v>
                </c:pt>
                <c:pt idx="26">
                  <c:v>80.521739130434781</c:v>
                </c:pt>
                <c:pt idx="27">
                  <c:v>80.521739130434781</c:v>
                </c:pt>
                <c:pt idx="28">
                  <c:v>80.521739130434781</c:v>
                </c:pt>
                <c:pt idx="29">
                  <c:v>80.521739130434781</c:v>
                </c:pt>
                <c:pt idx="30">
                  <c:v>80.521739130434781</c:v>
                </c:pt>
                <c:pt idx="31">
                  <c:v>80.521739130434781</c:v>
                </c:pt>
                <c:pt idx="32">
                  <c:v>80.521739130434781</c:v>
                </c:pt>
                <c:pt idx="33">
                  <c:v>80.521739130434781</c:v>
                </c:pt>
                <c:pt idx="34">
                  <c:v>80.521739130434781</c:v>
                </c:pt>
                <c:pt idx="35">
                  <c:v>80.521739130434781</c:v>
                </c:pt>
                <c:pt idx="36">
                  <c:v>80.521739130434781</c:v>
                </c:pt>
                <c:pt idx="37">
                  <c:v>80.521739130434781</c:v>
                </c:pt>
                <c:pt idx="38">
                  <c:v>80.521739130434781</c:v>
                </c:pt>
                <c:pt idx="39">
                  <c:v>80.521739130434781</c:v>
                </c:pt>
                <c:pt idx="40">
                  <c:v>80.521739130434781</c:v>
                </c:pt>
                <c:pt idx="41">
                  <c:v>80.521739130434781</c:v>
                </c:pt>
                <c:pt idx="42">
                  <c:v>80.521739130434781</c:v>
                </c:pt>
                <c:pt idx="43">
                  <c:v>80.521739130434781</c:v>
                </c:pt>
                <c:pt idx="44">
                  <c:v>80.521739130434781</c:v>
                </c:pt>
                <c:pt idx="45">
                  <c:v>80.521739130434781</c:v>
                </c:pt>
                <c:pt idx="46">
                  <c:v>80.521739130434781</c:v>
                </c:pt>
                <c:pt idx="47">
                  <c:v>80.521739130434781</c:v>
                </c:pt>
              </c:numCache>
            </c:numRef>
          </c:val>
          <c:smooth val="0"/>
        </c:ser>
        <c:ser>
          <c:idx val="3"/>
          <c:order val="2"/>
          <c:tx>
            <c:strRef>
              <c:f>Stroke!$A$412</c:f>
              <c:strCache>
                <c:ptCount val="1"/>
                <c:pt idx="0">
                  <c:v>Upper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Stroke!$B$412:$AW$412</c:f>
              <c:numCache>
                <c:formatCode>0</c:formatCode>
                <c:ptCount val="48"/>
                <c:pt idx="0">
                  <c:v>115.70065595828778</c:v>
                </c:pt>
                <c:pt idx="1">
                  <c:v>115.70065595828778</c:v>
                </c:pt>
                <c:pt idx="2">
                  <c:v>115.70065595828778</c:v>
                </c:pt>
                <c:pt idx="3">
                  <c:v>115.70065595828778</c:v>
                </c:pt>
                <c:pt idx="4">
                  <c:v>115.70065595828778</c:v>
                </c:pt>
                <c:pt idx="5">
                  <c:v>115.70065595828778</c:v>
                </c:pt>
                <c:pt idx="6">
                  <c:v>115.70065595828778</c:v>
                </c:pt>
                <c:pt idx="7">
                  <c:v>115.70065595828778</c:v>
                </c:pt>
                <c:pt idx="8">
                  <c:v>115.70065595828778</c:v>
                </c:pt>
                <c:pt idx="9">
                  <c:v>115.70065595828778</c:v>
                </c:pt>
                <c:pt idx="10">
                  <c:v>115.70065595828778</c:v>
                </c:pt>
                <c:pt idx="11">
                  <c:v>115.70065595828778</c:v>
                </c:pt>
                <c:pt idx="12">
                  <c:v>115.70065595828778</c:v>
                </c:pt>
                <c:pt idx="13">
                  <c:v>115.70065595828778</c:v>
                </c:pt>
                <c:pt idx="14">
                  <c:v>115.70065595828778</c:v>
                </c:pt>
                <c:pt idx="15">
                  <c:v>115.70065595828778</c:v>
                </c:pt>
                <c:pt idx="16">
                  <c:v>115.70065595828778</c:v>
                </c:pt>
                <c:pt idx="17">
                  <c:v>115.70065595828778</c:v>
                </c:pt>
                <c:pt idx="18">
                  <c:v>115.70065595828778</c:v>
                </c:pt>
                <c:pt idx="19">
                  <c:v>115.70065595828778</c:v>
                </c:pt>
                <c:pt idx="20">
                  <c:v>115.70065595828778</c:v>
                </c:pt>
                <c:pt idx="21">
                  <c:v>115.70065595828778</c:v>
                </c:pt>
                <c:pt idx="22">
                  <c:v>115.70065595828778</c:v>
                </c:pt>
                <c:pt idx="23">
                  <c:v>115.70065595828778</c:v>
                </c:pt>
                <c:pt idx="24">
                  <c:v>115.70065595828778</c:v>
                </c:pt>
                <c:pt idx="25">
                  <c:v>115.70065595828778</c:v>
                </c:pt>
                <c:pt idx="26">
                  <c:v>115.70065595828778</c:v>
                </c:pt>
                <c:pt idx="27">
                  <c:v>115.70065595828778</c:v>
                </c:pt>
                <c:pt idx="28">
                  <c:v>115.70065595828778</c:v>
                </c:pt>
                <c:pt idx="29">
                  <c:v>115.70065595828778</c:v>
                </c:pt>
                <c:pt idx="30">
                  <c:v>115.70065595828778</c:v>
                </c:pt>
                <c:pt idx="31">
                  <c:v>115.70065595828778</c:v>
                </c:pt>
                <c:pt idx="32">
                  <c:v>115.70065595828778</c:v>
                </c:pt>
                <c:pt idx="33">
                  <c:v>115.70065595828778</c:v>
                </c:pt>
                <c:pt idx="34">
                  <c:v>115.70065595828778</c:v>
                </c:pt>
                <c:pt idx="35">
                  <c:v>115.70065595828778</c:v>
                </c:pt>
                <c:pt idx="36">
                  <c:v>115.70065595828778</c:v>
                </c:pt>
                <c:pt idx="37">
                  <c:v>115.70065595828778</c:v>
                </c:pt>
                <c:pt idx="38">
                  <c:v>115.70065595828778</c:v>
                </c:pt>
                <c:pt idx="39">
                  <c:v>115.70065595828778</c:v>
                </c:pt>
                <c:pt idx="40">
                  <c:v>115.70065595828778</c:v>
                </c:pt>
                <c:pt idx="41">
                  <c:v>115.70065595828778</c:v>
                </c:pt>
                <c:pt idx="42">
                  <c:v>115.70065595828778</c:v>
                </c:pt>
                <c:pt idx="43">
                  <c:v>115.70065595828778</c:v>
                </c:pt>
                <c:pt idx="44">
                  <c:v>115.70065595828778</c:v>
                </c:pt>
                <c:pt idx="45">
                  <c:v>115.70065595828778</c:v>
                </c:pt>
                <c:pt idx="46">
                  <c:v>115.70065595828778</c:v>
                </c:pt>
                <c:pt idx="47">
                  <c:v>115.70065595828778</c:v>
                </c:pt>
              </c:numCache>
            </c:numRef>
          </c:val>
          <c:smooth val="0"/>
        </c:ser>
        <c:ser>
          <c:idx val="4"/>
          <c:order val="3"/>
          <c:tx>
            <c:strRef>
              <c:f>Stroke!$A$413</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Stroke!$B$413:$AW$413</c:f>
              <c:numCache>
                <c:formatCode>0</c:formatCode>
                <c:ptCount val="48"/>
                <c:pt idx="0">
                  <c:v>45.34282230258178</c:v>
                </c:pt>
                <c:pt idx="1">
                  <c:v>45.34282230258178</c:v>
                </c:pt>
                <c:pt idx="2">
                  <c:v>45.34282230258178</c:v>
                </c:pt>
                <c:pt idx="3">
                  <c:v>45.34282230258178</c:v>
                </c:pt>
                <c:pt idx="4">
                  <c:v>45.34282230258178</c:v>
                </c:pt>
                <c:pt idx="5">
                  <c:v>45.34282230258178</c:v>
                </c:pt>
                <c:pt idx="6">
                  <c:v>45.34282230258178</c:v>
                </c:pt>
                <c:pt idx="7">
                  <c:v>45.34282230258178</c:v>
                </c:pt>
                <c:pt idx="8">
                  <c:v>45.34282230258178</c:v>
                </c:pt>
                <c:pt idx="9">
                  <c:v>45.34282230258178</c:v>
                </c:pt>
                <c:pt idx="10">
                  <c:v>45.34282230258178</c:v>
                </c:pt>
                <c:pt idx="11">
                  <c:v>45.34282230258178</c:v>
                </c:pt>
                <c:pt idx="12">
                  <c:v>45.34282230258178</c:v>
                </c:pt>
                <c:pt idx="13">
                  <c:v>45.34282230258178</c:v>
                </c:pt>
                <c:pt idx="14">
                  <c:v>45.34282230258178</c:v>
                </c:pt>
                <c:pt idx="15">
                  <c:v>45.34282230258178</c:v>
                </c:pt>
                <c:pt idx="16">
                  <c:v>45.34282230258178</c:v>
                </c:pt>
                <c:pt idx="17">
                  <c:v>45.34282230258178</c:v>
                </c:pt>
                <c:pt idx="18">
                  <c:v>45.34282230258178</c:v>
                </c:pt>
                <c:pt idx="19">
                  <c:v>45.34282230258178</c:v>
                </c:pt>
                <c:pt idx="20">
                  <c:v>45.34282230258178</c:v>
                </c:pt>
                <c:pt idx="21">
                  <c:v>45.34282230258178</c:v>
                </c:pt>
                <c:pt idx="22">
                  <c:v>45.34282230258178</c:v>
                </c:pt>
                <c:pt idx="23">
                  <c:v>45.34282230258178</c:v>
                </c:pt>
                <c:pt idx="24">
                  <c:v>45.34282230258178</c:v>
                </c:pt>
                <c:pt idx="25">
                  <c:v>45.34282230258178</c:v>
                </c:pt>
                <c:pt idx="26">
                  <c:v>45.34282230258178</c:v>
                </c:pt>
                <c:pt idx="27">
                  <c:v>45.34282230258178</c:v>
                </c:pt>
                <c:pt idx="28">
                  <c:v>45.34282230258178</c:v>
                </c:pt>
                <c:pt idx="29">
                  <c:v>45.34282230258178</c:v>
                </c:pt>
                <c:pt idx="30">
                  <c:v>45.34282230258178</c:v>
                </c:pt>
                <c:pt idx="31">
                  <c:v>45.34282230258178</c:v>
                </c:pt>
                <c:pt idx="32">
                  <c:v>45.34282230258178</c:v>
                </c:pt>
                <c:pt idx="33">
                  <c:v>45.34282230258178</c:v>
                </c:pt>
                <c:pt idx="34">
                  <c:v>45.34282230258178</c:v>
                </c:pt>
                <c:pt idx="35">
                  <c:v>45.34282230258178</c:v>
                </c:pt>
                <c:pt idx="36">
                  <c:v>45.34282230258178</c:v>
                </c:pt>
                <c:pt idx="37">
                  <c:v>45.34282230258178</c:v>
                </c:pt>
                <c:pt idx="38">
                  <c:v>45.34282230258178</c:v>
                </c:pt>
                <c:pt idx="39">
                  <c:v>45.34282230258178</c:v>
                </c:pt>
                <c:pt idx="40">
                  <c:v>45.34282230258178</c:v>
                </c:pt>
                <c:pt idx="41">
                  <c:v>45.34282230258178</c:v>
                </c:pt>
                <c:pt idx="42">
                  <c:v>45.34282230258178</c:v>
                </c:pt>
                <c:pt idx="43">
                  <c:v>45.34282230258178</c:v>
                </c:pt>
                <c:pt idx="44">
                  <c:v>45.34282230258178</c:v>
                </c:pt>
                <c:pt idx="45">
                  <c:v>45.34282230258178</c:v>
                </c:pt>
                <c:pt idx="46">
                  <c:v>45.34282230258178</c:v>
                </c:pt>
                <c:pt idx="47">
                  <c:v>45.34282230258178</c:v>
                </c:pt>
              </c:numCache>
            </c:numRef>
          </c:val>
          <c:smooth val="0"/>
        </c:ser>
        <c:dLbls>
          <c:showLegendKey val="0"/>
          <c:showVal val="0"/>
          <c:showCatName val="0"/>
          <c:showSerName val="0"/>
          <c:showPercent val="0"/>
          <c:showBubbleSize val="0"/>
        </c:dLbls>
        <c:marker val="1"/>
        <c:smooth val="0"/>
        <c:axId val="220160768"/>
        <c:axId val="220162304"/>
      </c:lineChart>
      <c:dateAx>
        <c:axId val="2201607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0162304"/>
        <c:crosses val="autoZero"/>
        <c:auto val="1"/>
        <c:lblOffset val="100"/>
        <c:baseTimeUnit val="months"/>
        <c:majorUnit val="1"/>
        <c:majorTimeUnit val="months"/>
      </c:dateAx>
      <c:valAx>
        <c:axId val="22016230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0160768"/>
        <c:crosses val="autoZero"/>
        <c:crossBetween val="between"/>
      </c:valAx>
    </c:plotArea>
    <c:legend>
      <c:legendPos val="r"/>
      <c:layout>
        <c:manualLayout>
          <c:xMode val="edge"/>
          <c:yMode val="edge"/>
          <c:x val="5.4759279676589487E-2"/>
          <c:y val="0.90299823633158904"/>
          <c:w val="0.91780962881293637"/>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83"/>
        </c:manualLayout>
      </c:layout>
      <c:lineChart>
        <c:grouping val="standard"/>
        <c:varyColors val="0"/>
        <c:ser>
          <c:idx val="0"/>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101</c:v>
                </c:pt>
                <c:pt idx="22">
                  <c:v>80</c:v>
                </c:pt>
                <c:pt idx="23">
                  <c:v>123</c:v>
                </c:pt>
                <c:pt idx="24">
                  <c:v>102</c:v>
                </c:pt>
                <c:pt idx="25">
                  <c:v>122</c:v>
                </c:pt>
                <c:pt idx="26">
                  <c:v>119</c:v>
                </c:pt>
                <c:pt idx="27">
                  <c:v>97</c:v>
                </c:pt>
                <c:pt idx="28">
                  <c:v>111</c:v>
                </c:pt>
                <c:pt idx="29">
                  <c:v>81</c:v>
                </c:pt>
                <c:pt idx="30">
                  <c:v>106</c:v>
                </c:pt>
              </c:numCache>
            </c:numRef>
          </c:val>
          <c:smooth val="0"/>
        </c:ser>
        <c:ser>
          <c:idx val="2"/>
          <c:order val="1"/>
          <c:tx>
            <c:strRef>
              <c:f>Stroke!$A$368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Stroke!$B$368:$AW$368</c:f>
              <c:numCache>
                <c:formatCode>0</c:formatCode>
                <c:ptCount val="48"/>
                <c:pt idx="0">
                  <c:v>99.161290322580641</c:v>
                </c:pt>
                <c:pt idx="1">
                  <c:v>99.161290322580641</c:v>
                </c:pt>
                <c:pt idx="2">
                  <c:v>99.161290322580641</c:v>
                </c:pt>
                <c:pt idx="3">
                  <c:v>99.161290322580641</c:v>
                </c:pt>
                <c:pt idx="4">
                  <c:v>99.161290322580641</c:v>
                </c:pt>
                <c:pt idx="5">
                  <c:v>99.161290322580641</c:v>
                </c:pt>
                <c:pt idx="6">
                  <c:v>99.161290322580641</c:v>
                </c:pt>
                <c:pt idx="7">
                  <c:v>99.161290322580641</c:v>
                </c:pt>
                <c:pt idx="8">
                  <c:v>99.161290322580641</c:v>
                </c:pt>
                <c:pt idx="9">
                  <c:v>99.161290322580641</c:v>
                </c:pt>
                <c:pt idx="10">
                  <c:v>99.161290322580641</c:v>
                </c:pt>
                <c:pt idx="11">
                  <c:v>99.161290322580641</c:v>
                </c:pt>
                <c:pt idx="12">
                  <c:v>99.161290322580641</c:v>
                </c:pt>
                <c:pt idx="13">
                  <c:v>99.161290322580641</c:v>
                </c:pt>
                <c:pt idx="14">
                  <c:v>99.161290322580641</c:v>
                </c:pt>
                <c:pt idx="15">
                  <c:v>99.161290322580641</c:v>
                </c:pt>
                <c:pt idx="16">
                  <c:v>99.161290322580641</c:v>
                </c:pt>
                <c:pt idx="17">
                  <c:v>99.161290322580641</c:v>
                </c:pt>
                <c:pt idx="18">
                  <c:v>99.161290322580641</c:v>
                </c:pt>
                <c:pt idx="19">
                  <c:v>99.161290322580641</c:v>
                </c:pt>
                <c:pt idx="20">
                  <c:v>99.161290322580641</c:v>
                </c:pt>
                <c:pt idx="21">
                  <c:v>99.161290322580641</c:v>
                </c:pt>
                <c:pt idx="22">
                  <c:v>99.161290322580641</c:v>
                </c:pt>
                <c:pt idx="23">
                  <c:v>99.161290322580641</c:v>
                </c:pt>
                <c:pt idx="24">
                  <c:v>99.161290322580641</c:v>
                </c:pt>
                <c:pt idx="25">
                  <c:v>99.161290322580641</c:v>
                </c:pt>
                <c:pt idx="26">
                  <c:v>99.161290322580641</c:v>
                </c:pt>
                <c:pt idx="27">
                  <c:v>99.161290322580641</c:v>
                </c:pt>
                <c:pt idx="28">
                  <c:v>99.161290322580641</c:v>
                </c:pt>
                <c:pt idx="29">
                  <c:v>99.161290322580641</c:v>
                </c:pt>
                <c:pt idx="30">
                  <c:v>99.161290322580641</c:v>
                </c:pt>
                <c:pt idx="31">
                  <c:v>99.161290322580641</c:v>
                </c:pt>
                <c:pt idx="32">
                  <c:v>99.161290322580641</c:v>
                </c:pt>
                <c:pt idx="33">
                  <c:v>99.161290322580641</c:v>
                </c:pt>
                <c:pt idx="34">
                  <c:v>99.161290322580641</c:v>
                </c:pt>
                <c:pt idx="35">
                  <c:v>99.161290322580641</c:v>
                </c:pt>
                <c:pt idx="36">
                  <c:v>99.161290322580641</c:v>
                </c:pt>
                <c:pt idx="37">
                  <c:v>99.161290322580641</c:v>
                </c:pt>
                <c:pt idx="38">
                  <c:v>99.161290322580641</c:v>
                </c:pt>
                <c:pt idx="39">
                  <c:v>99.161290322580641</c:v>
                </c:pt>
                <c:pt idx="40">
                  <c:v>99.161290322580641</c:v>
                </c:pt>
                <c:pt idx="41">
                  <c:v>99.161290322580641</c:v>
                </c:pt>
                <c:pt idx="42">
                  <c:v>99.161290322580641</c:v>
                </c:pt>
                <c:pt idx="43">
                  <c:v>99.161290322580641</c:v>
                </c:pt>
                <c:pt idx="44">
                  <c:v>99.161290322580641</c:v>
                </c:pt>
                <c:pt idx="45">
                  <c:v>99.161290322580641</c:v>
                </c:pt>
                <c:pt idx="46">
                  <c:v>99.161290322580641</c:v>
                </c:pt>
                <c:pt idx="47">
                  <c:v>99.161290322580641</c:v>
                </c:pt>
              </c:numCache>
            </c:numRef>
          </c:val>
          <c:smooth val="0"/>
        </c:ser>
        <c:ser>
          <c:idx val="3"/>
          <c:order val="2"/>
          <c:tx>
            <c:strRef>
              <c:f>Stroke!$A$371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Stroke!$B$371:$AW$371</c:f>
              <c:numCache>
                <c:formatCode>0</c:formatCode>
                <c:ptCount val="48"/>
                <c:pt idx="0">
                  <c:v>153.44078742122667</c:v>
                </c:pt>
                <c:pt idx="1">
                  <c:v>153.44078742122667</c:v>
                </c:pt>
                <c:pt idx="2">
                  <c:v>153.44078742122667</c:v>
                </c:pt>
                <c:pt idx="3">
                  <c:v>153.44078742122667</c:v>
                </c:pt>
                <c:pt idx="4">
                  <c:v>153.44078742122667</c:v>
                </c:pt>
                <c:pt idx="5">
                  <c:v>153.44078742122667</c:v>
                </c:pt>
                <c:pt idx="6">
                  <c:v>153.44078742122667</c:v>
                </c:pt>
                <c:pt idx="7">
                  <c:v>153.44078742122667</c:v>
                </c:pt>
                <c:pt idx="8">
                  <c:v>153.44078742122667</c:v>
                </c:pt>
                <c:pt idx="9">
                  <c:v>153.44078742122667</c:v>
                </c:pt>
                <c:pt idx="10">
                  <c:v>153.44078742122667</c:v>
                </c:pt>
                <c:pt idx="11">
                  <c:v>153.44078742122667</c:v>
                </c:pt>
                <c:pt idx="12">
                  <c:v>153.44078742122667</c:v>
                </c:pt>
                <c:pt idx="13">
                  <c:v>153.44078742122667</c:v>
                </c:pt>
                <c:pt idx="14">
                  <c:v>153.44078742122667</c:v>
                </c:pt>
                <c:pt idx="15">
                  <c:v>153.44078742122667</c:v>
                </c:pt>
                <c:pt idx="16">
                  <c:v>153.44078742122667</c:v>
                </c:pt>
                <c:pt idx="17">
                  <c:v>153.44078742122667</c:v>
                </c:pt>
                <c:pt idx="18">
                  <c:v>153.44078742122667</c:v>
                </c:pt>
                <c:pt idx="19">
                  <c:v>153.44078742122667</c:v>
                </c:pt>
                <c:pt idx="20">
                  <c:v>153.44078742122667</c:v>
                </c:pt>
                <c:pt idx="21">
                  <c:v>153.44078742122667</c:v>
                </c:pt>
                <c:pt idx="22">
                  <c:v>153.44078742122667</c:v>
                </c:pt>
                <c:pt idx="23">
                  <c:v>153.44078742122667</c:v>
                </c:pt>
                <c:pt idx="24">
                  <c:v>153.44078742122667</c:v>
                </c:pt>
                <c:pt idx="25">
                  <c:v>153.44078742122667</c:v>
                </c:pt>
                <c:pt idx="26">
                  <c:v>153.44078742122667</c:v>
                </c:pt>
                <c:pt idx="27">
                  <c:v>153.44078742122667</c:v>
                </c:pt>
                <c:pt idx="28">
                  <c:v>153.44078742122667</c:v>
                </c:pt>
                <c:pt idx="29">
                  <c:v>153.44078742122667</c:v>
                </c:pt>
                <c:pt idx="30">
                  <c:v>153.44078742122667</c:v>
                </c:pt>
                <c:pt idx="31">
                  <c:v>153.44078742122667</c:v>
                </c:pt>
                <c:pt idx="32">
                  <c:v>153.44078742122667</c:v>
                </c:pt>
                <c:pt idx="33">
                  <c:v>153.44078742122667</c:v>
                </c:pt>
                <c:pt idx="34">
                  <c:v>153.44078742122667</c:v>
                </c:pt>
                <c:pt idx="35">
                  <c:v>153.44078742122667</c:v>
                </c:pt>
                <c:pt idx="36">
                  <c:v>153.44078742122667</c:v>
                </c:pt>
                <c:pt idx="37">
                  <c:v>153.44078742122667</c:v>
                </c:pt>
                <c:pt idx="38">
                  <c:v>153.44078742122667</c:v>
                </c:pt>
                <c:pt idx="39">
                  <c:v>153.44078742122667</c:v>
                </c:pt>
                <c:pt idx="40">
                  <c:v>153.44078742122667</c:v>
                </c:pt>
                <c:pt idx="41">
                  <c:v>153.44078742122667</c:v>
                </c:pt>
                <c:pt idx="42">
                  <c:v>153.44078742122667</c:v>
                </c:pt>
                <c:pt idx="43">
                  <c:v>153.44078742122667</c:v>
                </c:pt>
                <c:pt idx="44">
                  <c:v>153.44078742122667</c:v>
                </c:pt>
                <c:pt idx="45">
                  <c:v>153.44078742122667</c:v>
                </c:pt>
                <c:pt idx="46">
                  <c:v>153.44078742122667</c:v>
                </c:pt>
                <c:pt idx="47">
                  <c:v>153.44078742122667</c:v>
                </c:pt>
              </c:numCache>
            </c:numRef>
          </c:val>
          <c:smooth val="0"/>
        </c:ser>
        <c:ser>
          <c:idx val="4"/>
          <c:order val="3"/>
          <c:tx>
            <c:strRef>
              <c:f>Stroke!$A$372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Stroke!$B$372:$AW$372</c:f>
              <c:numCache>
                <c:formatCode>0</c:formatCode>
                <c:ptCount val="48"/>
                <c:pt idx="0">
                  <c:v>44.881793223934594</c:v>
                </c:pt>
                <c:pt idx="1">
                  <c:v>44.881793223934594</c:v>
                </c:pt>
                <c:pt idx="2">
                  <c:v>44.881793223934594</c:v>
                </c:pt>
                <c:pt idx="3">
                  <c:v>44.881793223934594</c:v>
                </c:pt>
                <c:pt idx="4">
                  <c:v>44.881793223934594</c:v>
                </c:pt>
                <c:pt idx="5">
                  <c:v>44.881793223934594</c:v>
                </c:pt>
                <c:pt idx="6">
                  <c:v>44.881793223934594</c:v>
                </c:pt>
                <c:pt idx="7">
                  <c:v>44.881793223934594</c:v>
                </c:pt>
                <c:pt idx="8">
                  <c:v>44.881793223934594</c:v>
                </c:pt>
                <c:pt idx="9">
                  <c:v>44.881793223934594</c:v>
                </c:pt>
                <c:pt idx="10">
                  <c:v>44.881793223934594</c:v>
                </c:pt>
                <c:pt idx="11">
                  <c:v>44.881793223934594</c:v>
                </c:pt>
                <c:pt idx="12">
                  <c:v>44.881793223934594</c:v>
                </c:pt>
                <c:pt idx="13">
                  <c:v>44.881793223934594</c:v>
                </c:pt>
                <c:pt idx="14">
                  <c:v>44.881793223934594</c:v>
                </c:pt>
                <c:pt idx="15">
                  <c:v>44.881793223934594</c:v>
                </c:pt>
                <c:pt idx="16">
                  <c:v>44.881793223934594</c:v>
                </c:pt>
                <c:pt idx="17">
                  <c:v>44.881793223934594</c:v>
                </c:pt>
                <c:pt idx="18">
                  <c:v>44.881793223934594</c:v>
                </c:pt>
                <c:pt idx="19">
                  <c:v>44.881793223934594</c:v>
                </c:pt>
                <c:pt idx="20">
                  <c:v>44.881793223934594</c:v>
                </c:pt>
                <c:pt idx="21">
                  <c:v>44.881793223934594</c:v>
                </c:pt>
                <c:pt idx="22">
                  <c:v>44.881793223934594</c:v>
                </c:pt>
                <c:pt idx="23">
                  <c:v>44.881793223934594</c:v>
                </c:pt>
                <c:pt idx="24">
                  <c:v>44.881793223934594</c:v>
                </c:pt>
                <c:pt idx="25">
                  <c:v>44.881793223934594</c:v>
                </c:pt>
                <c:pt idx="26">
                  <c:v>44.881793223934594</c:v>
                </c:pt>
                <c:pt idx="27">
                  <c:v>44.881793223934594</c:v>
                </c:pt>
                <c:pt idx="28">
                  <c:v>44.881793223934594</c:v>
                </c:pt>
                <c:pt idx="29">
                  <c:v>44.881793223934594</c:v>
                </c:pt>
                <c:pt idx="30">
                  <c:v>44.881793223934594</c:v>
                </c:pt>
                <c:pt idx="31">
                  <c:v>44.881793223934594</c:v>
                </c:pt>
                <c:pt idx="32">
                  <c:v>44.881793223934594</c:v>
                </c:pt>
                <c:pt idx="33">
                  <c:v>44.881793223934594</c:v>
                </c:pt>
                <c:pt idx="34">
                  <c:v>44.881793223934594</c:v>
                </c:pt>
                <c:pt idx="35">
                  <c:v>44.881793223934594</c:v>
                </c:pt>
                <c:pt idx="36">
                  <c:v>44.881793223934594</c:v>
                </c:pt>
                <c:pt idx="37">
                  <c:v>44.881793223934594</c:v>
                </c:pt>
                <c:pt idx="38">
                  <c:v>44.881793223934594</c:v>
                </c:pt>
                <c:pt idx="39">
                  <c:v>44.881793223934594</c:v>
                </c:pt>
                <c:pt idx="40">
                  <c:v>44.881793223934594</c:v>
                </c:pt>
                <c:pt idx="41">
                  <c:v>44.881793223934594</c:v>
                </c:pt>
                <c:pt idx="42">
                  <c:v>44.881793223934594</c:v>
                </c:pt>
                <c:pt idx="43">
                  <c:v>44.881793223934594</c:v>
                </c:pt>
                <c:pt idx="44">
                  <c:v>44.881793223934594</c:v>
                </c:pt>
                <c:pt idx="45">
                  <c:v>44.881793223934594</c:v>
                </c:pt>
                <c:pt idx="46">
                  <c:v>44.881793223934594</c:v>
                </c:pt>
                <c:pt idx="47">
                  <c:v>44.881793223934594</c:v>
                </c:pt>
              </c:numCache>
            </c:numRef>
          </c:val>
          <c:smooth val="0"/>
        </c:ser>
        <c:dLbls>
          <c:showLegendKey val="0"/>
          <c:showVal val="0"/>
          <c:showCatName val="0"/>
          <c:showSerName val="0"/>
          <c:showPercent val="0"/>
          <c:showBubbleSize val="0"/>
        </c:dLbls>
        <c:marker val="1"/>
        <c:smooth val="0"/>
        <c:axId val="220300032"/>
        <c:axId val="220301568"/>
      </c:lineChart>
      <c:dateAx>
        <c:axId val="2203000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0301568"/>
        <c:crosses val="autoZero"/>
        <c:auto val="1"/>
        <c:lblOffset val="100"/>
        <c:baseTimeUnit val="months"/>
        <c:majorUnit val="1"/>
        <c:majorTimeUnit val="months"/>
      </c:dateAx>
      <c:valAx>
        <c:axId val="22030156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0300032"/>
        <c:crosses val="autoZero"/>
        <c:crossBetween val="between"/>
      </c:valAx>
    </c:plotArea>
    <c:legend>
      <c:legendPos val="r"/>
      <c:layout>
        <c:manualLayout>
          <c:xMode val="edge"/>
          <c:yMode val="edge"/>
          <c:x val="5.4759279676589487E-2"/>
          <c:y val="0.92063492063492069"/>
          <c:w val="0.9112900247998218"/>
          <c:h val="7.9365079365079361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5"/>
        </c:manualLayout>
      </c:layout>
      <c:lineChart>
        <c:grouping val="standard"/>
        <c:varyColors val="0"/>
        <c:ser>
          <c:idx val="1"/>
          <c:order val="0"/>
          <c:tx>
            <c:strRef>
              <c:f>Stroke!$A$311</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Stroke!$B$311:$AW$311</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0.70338983050847459</c:v>
                </c:pt>
                <c:pt idx="22">
                  <c:v>0.72549019607843135</c:v>
                </c:pt>
                <c:pt idx="23">
                  <c:v>0.77941176470588236</c:v>
                </c:pt>
                <c:pt idx="24">
                  <c:v>0.63779527559055116</c:v>
                </c:pt>
                <c:pt idx="25">
                  <c:v>0.73571428571428588</c:v>
                </c:pt>
                <c:pt idx="26">
                  <c:v>0.73722627737226276</c:v>
                </c:pt>
                <c:pt idx="27">
                  <c:v>0.69918699186991873</c:v>
                </c:pt>
                <c:pt idx="28">
                  <c:v>0.79166666666666652</c:v>
                </c:pt>
                <c:pt idx="29">
                  <c:v>0.69902912621359226</c:v>
                </c:pt>
                <c:pt idx="30">
                  <c:v>0.70731707317073178</c:v>
                </c:pt>
              </c:numCache>
            </c:numRef>
          </c:val>
          <c:smooth val="0"/>
        </c:ser>
        <c:ser>
          <c:idx val="2"/>
          <c:order val="1"/>
          <c:tx>
            <c:strRef>
              <c:f>Stroke!$A$315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Stroke!$B$315:$AW$315</c:f>
              <c:numCache>
                <c:formatCode>0.0%</c:formatCode>
                <c:ptCount val="48"/>
                <c:pt idx="0">
                  <c:v>0.67509057815896467</c:v>
                </c:pt>
                <c:pt idx="1">
                  <c:v>0.67509057815896467</c:v>
                </c:pt>
                <c:pt idx="2">
                  <c:v>0.67509057815896467</c:v>
                </c:pt>
                <c:pt idx="3">
                  <c:v>0.67509057815896467</c:v>
                </c:pt>
                <c:pt idx="4">
                  <c:v>0.67509057815896467</c:v>
                </c:pt>
                <c:pt idx="5">
                  <c:v>0.67509057815896467</c:v>
                </c:pt>
                <c:pt idx="6">
                  <c:v>0.67509057815896467</c:v>
                </c:pt>
                <c:pt idx="7">
                  <c:v>0.67509057815896467</c:v>
                </c:pt>
                <c:pt idx="8">
                  <c:v>0.67509057815896467</c:v>
                </c:pt>
                <c:pt idx="9">
                  <c:v>0.67509057815896467</c:v>
                </c:pt>
                <c:pt idx="10">
                  <c:v>0.67509057815896467</c:v>
                </c:pt>
                <c:pt idx="11">
                  <c:v>0.67509057815896467</c:v>
                </c:pt>
                <c:pt idx="12">
                  <c:v>0.67509057815896467</c:v>
                </c:pt>
                <c:pt idx="13">
                  <c:v>0.67509057815896467</c:v>
                </c:pt>
                <c:pt idx="14">
                  <c:v>0.67509057815896467</c:v>
                </c:pt>
                <c:pt idx="15">
                  <c:v>0.67509057815896467</c:v>
                </c:pt>
                <c:pt idx="16">
                  <c:v>0.67509057815896467</c:v>
                </c:pt>
                <c:pt idx="17">
                  <c:v>0.67509057815896467</c:v>
                </c:pt>
                <c:pt idx="18">
                  <c:v>0.67509057815896467</c:v>
                </c:pt>
                <c:pt idx="19">
                  <c:v>0.67509057815896467</c:v>
                </c:pt>
                <c:pt idx="20">
                  <c:v>0.67509057815896467</c:v>
                </c:pt>
                <c:pt idx="21">
                  <c:v>0.67509057815896467</c:v>
                </c:pt>
                <c:pt idx="22">
                  <c:v>0.67509057815896467</c:v>
                </c:pt>
                <c:pt idx="23">
                  <c:v>0.67509057815896467</c:v>
                </c:pt>
                <c:pt idx="24">
                  <c:v>0.67509057815896467</c:v>
                </c:pt>
                <c:pt idx="25">
                  <c:v>0.67509057815896467</c:v>
                </c:pt>
                <c:pt idx="26">
                  <c:v>0.67509057815896467</c:v>
                </c:pt>
                <c:pt idx="27">
                  <c:v>0.67509057815896467</c:v>
                </c:pt>
                <c:pt idx="28">
                  <c:v>0.67509057815896467</c:v>
                </c:pt>
                <c:pt idx="29">
                  <c:v>0.67509057815896467</c:v>
                </c:pt>
                <c:pt idx="30">
                  <c:v>0.67509057815896467</c:v>
                </c:pt>
                <c:pt idx="31">
                  <c:v>0.67509057815896467</c:v>
                </c:pt>
                <c:pt idx="32">
                  <c:v>0.67509057815896467</c:v>
                </c:pt>
                <c:pt idx="33">
                  <c:v>0.67509057815896467</c:v>
                </c:pt>
                <c:pt idx="34">
                  <c:v>0.67509057815896467</c:v>
                </c:pt>
                <c:pt idx="35">
                  <c:v>0.67509057815896467</c:v>
                </c:pt>
                <c:pt idx="36">
                  <c:v>0.67509057815896467</c:v>
                </c:pt>
                <c:pt idx="37">
                  <c:v>0.67509057815896467</c:v>
                </c:pt>
                <c:pt idx="38">
                  <c:v>0.67509057815896467</c:v>
                </c:pt>
                <c:pt idx="39">
                  <c:v>0.67509057815896467</c:v>
                </c:pt>
                <c:pt idx="40">
                  <c:v>0.67509057815896467</c:v>
                </c:pt>
                <c:pt idx="41">
                  <c:v>0.67509057815896467</c:v>
                </c:pt>
                <c:pt idx="42">
                  <c:v>0.67509057815896467</c:v>
                </c:pt>
                <c:pt idx="43">
                  <c:v>0.67509057815896467</c:v>
                </c:pt>
                <c:pt idx="44">
                  <c:v>0.67509057815896467</c:v>
                </c:pt>
                <c:pt idx="45">
                  <c:v>0.67509057815896467</c:v>
                </c:pt>
                <c:pt idx="46">
                  <c:v>0.67509057815896467</c:v>
                </c:pt>
                <c:pt idx="47">
                  <c:v>0.67509057815896467</c:v>
                </c:pt>
              </c:numCache>
            </c:numRef>
          </c:val>
          <c:smooth val="0"/>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Stroke!$B$318:$AW$318</c:f>
              <c:numCache>
                <c:formatCode>0.0%</c:formatCode>
                <c:ptCount val="48"/>
                <c:pt idx="0">
                  <c:v>0.91689541367069383</c:v>
                </c:pt>
                <c:pt idx="1">
                  <c:v>0.91689541367069383</c:v>
                </c:pt>
                <c:pt idx="2">
                  <c:v>0.91689541367069383</c:v>
                </c:pt>
                <c:pt idx="3">
                  <c:v>0.91689541367069383</c:v>
                </c:pt>
                <c:pt idx="4">
                  <c:v>0.91689541367069383</c:v>
                </c:pt>
                <c:pt idx="5">
                  <c:v>0.91689541367069383</c:v>
                </c:pt>
                <c:pt idx="6">
                  <c:v>0.91689541367069383</c:v>
                </c:pt>
                <c:pt idx="7">
                  <c:v>0.91689541367069383</c:v>
                </c:pt>
                <c:pt idx="8">
                  <c:v>0.91689541367069383</c:v>
                </c:pt>
                <c:pt idx="9">
                  <c:v>0.91689541367069383</c:v>
                </c:pt>
                <c:pt idx="10">
                  <c:v>0.91689541367069383</c:v>
                </c:pt>
                <c:pt idx="11">
                  <c:v>0.91689541367069383</c:v>
                </c:pt>
                <c:pt idx="12">
                  <c:v>0.91689541367069383</c:v>
                </c:pt>
                <c:pt idx="13">
                  <c:v>0.91689541367069383</c:v>
                </c:pt>
                <c:pt idx="14">
                  <c:v>0.91689541367069383</c:v>
                </c:pt>
                <c:pt idx="15">
                  <c:v>0.91689541367069383</c:v>
                </c:pt>
                <c:pt idx="16">
                  <c:v>0.91689541367069383</c:v>
                </c:pt>
                <c:pt idx="17">
                  <c:v>0.91689541367069383</c:v>
                </c:pt>
                <c:pt idx="18">
                  <c:v>0.91689541367069383</c:v>
                </c:pt>
                <c:pt idx="19">
                  <c:v>0.91689541367069383</c:v>
                </c:pt>
                <c:pt idx="20">
                  <c:v>0.91689541367069383</c:v>
                </c:pt>
                <c:pt idx="21">
                  <c:v>0.91689541367069383</c:v>
                </c:pt>
                <c:pt idx="22">
                  <c:v>0.91689541367069383</c:v>
                </c:pt>
                <c:pt idx="23">
                  <c:v>0.91689541367069383</c:v>
                </c:pt>
                <c:pt idx="24">
                  <c:v>0.91689541367069383</c:v>
                </c:pt>
                <c:pt idx="25">
                  <c:v>0.91689541367069383</c:v>
                </c:pt>
                <c:pt idx="26">
                  <c:v>0.91689541367069383</c:v>
                </c:pt>
                <c:pt idx="27">
                  <c:v>0.91689541367069383</c:v>
                </c:pt>
                <c:pt idx="28">
                  <c:v>0.91689541367069383</c:v>
                </c:pt>
                <c:pt idx="29">
                  <c:v>0.91689541367069383</c:v>
                </c:pt>
                <c:pt idx="30">
                  <c:v>0.91689541367069383</c:v>
                </c:pt>
                <c:pt idx="31">
                  <c:v>0.91689541367069383</c:v>
                </c:pt>
                <c:pt idx="32">
                  <c:v>0.91689541367069383</c:v>
                </c:pt>
                <c:pt idx="33">
                  <c:v>0.91689541367069383</c:v>
                </c:pt>
                <c:pt idx="34">
                  <c:v>0.91689541367069383</c:v>
                </c:pt>
                <c:pt idx="35">
                  <c:v>0.91689541367069383</c:v>
                </c:pt>
                <c:pt idx="36">
                  <c:v>0.91689541367069383</c:v>
                </c:pt>
                <c:pt idx="37">
                  <c:v>0.91689541367069383</c:v>
                </c:pt>
                <c:pt idx="38">
                  <c:v>0.91689541367069383</c:v>
                </c:pt>
                <c:pt idx="39">
                  <c:v>0.91689541367069383</c:v>
                </c:pt>
                <c:pt idx="40">
                  <c:v>0.91689541367069383</c:v>
                </c:pt>
                <c:pt idx="41">
                  <c:v>0.91689541367069383</c:v>
                </c:pt>
                <c:pt idx="42">
                  <c:v>0.91689541367069383</c:v>
                </c:pt>
                <c:pt idx="43">
                  <c:v>0.91689541367069383</c:v>
                </c:pt>
                <c:pt idx="44">
                  <c:v>0.91689541367069383</c:v>
                </c:pt>
                <c:pt idx="45">
                  <c:v>0.91689541367069383</c:v>
                </c:pt>
                <c:pt idx="46">
                  <c:v>0.91689541367069383</c:v>
                </c:pt>
                <c:pt idx="47">
                  <c:v>0.91689541367069383</c:v>
                </c:pt>
              </c:numCache>
            </c:numRef>
          </c:val>
          <c:smooth val="0"/>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Stroke!$B$319:$AW$319</c:f>
              <c:numCache>
                <c:formatCode>0.0%</c:formatCode>
                <c:ptCount val="48"/>
                <c:pt idx="0">
                  <c:v>0.43328574264723552</c:v>
                </c:pt>
                <c:pt idx="1">
                  <c:v>0.43328574264723552</c:v>
                </c:pt>
                <c:pt idx="2">
                  <c:v>0.43328574264723552</c:v>
                </c:pt>
                <c:pt idx="3">
                  <c:v>0.43328574264723552</c:v>
                </c:pt>
                <c:pt idx="4">
                  <c:v>0.43328574264723552</c:v>
                </c:pt>
                <c:pt idx="5">
                  <c:v>0.43328574264723552</c:v>
                </c:pt>
                <c:pt idx="6">
                  <c:v>0.43328574264723552</c:v>
                </c:pt>
                <c:pt idx="7">
                  <c:v>0.43328574264723552</c:v>
                </c:pt>
                <c:pt idx="8">
                  <c:v>0.43328574264723552</c:v>
                </c:pt>
                <c:pt idx="9">
                  <c:v>0.43328574264723552</c:v>
                </c:pt>
                <c:pt idx="10">
                  <c:v>0.43328574264723552</c:v>
                </c:pt>
                <c:pt idx="11">
                  <c:v>0.43328574264723552</c:v>
                </c:pt>
                <c:pt idx="12">
                  <c:v>0.43328574264723552</c:v>
                </c:pt>
                <c:pt idx="13">
                  <c:v>0.43328574264723552</c:v>
                </c:pt>
                <c:pt idx="14">
                  <c:v>0.43328574264723552</c:v>
                </c:pt>
                <c:pt idx="15">
                  <c:v>0.43328574264723552</c:v>
                </c:pt>
                <c:pt idx="16">
                  <c:v>0.43328574264723552</c:v>
                </c:pt>
                <c:pt idx="17">
                  <c:v>0.43328574264723552</c:v>
                </c:pt>
                <c:pt idx="18">
                  <c:v>0.43328574264723552</c:v>
                </c:pt>
                <c:pt idx="19">
                  <c:v>0.43328574264723552</c:v>
                </c:pt>
                <c:pt idx="20">
                  <c:v>0.43328574264723552</c:v>
                </c:pt>
                <c:pt idx="21">
                  <c:v>0.43328574264723552</c:v>
                </c:pt>
                <c:pt idx="22">
                  <c:v>0.43328574264723552</c:v>
                </c:pt>
                <c:pt idx="23">
                  <c:v>0.43328574264723552</c:v>
                </c:pt>
                <c:pt idx="24">
                  <c:v>0.43328574264723552</c:v>
                </c:pt>
                <c:pt idx="25">
                  <c:v>0.43328574264723552</c:v>
                </c:pt>
                <c:pt idx="26">
                  <c:v>0.43328574264723552</c:v>
                </c:pt>
                <c:pt idx="27">
                  <c:v>0.43328574264723552</c:v>
                </c:pt>
                <c:pt idx="28">
                  <c:v>0.43328574264723552</c:v>
                </c:pt>
                <c:pt idx="29">
                  <c:v>0.43328574264723552</c:v>
                </c:pt>
                <c:pt idx="30">
                  <c:v>0.43328574264723552</c:v>
                </c:pt>
                <c:pt idx="31">
                  <c:v>0.43328574264723552</c:v>
                </c:pt>
                <c:pt idx="32">
                  <c:v>0.43328574264723552</c:v>
                </c:pt>
                <c:pt idx="33">
                  <c:v>0.43328574264723552</c:v>
                </c:pt>
                <c:pt idx="34">
                  <c:v>0.43328574264723552</c:v>
                </c:pt>
                <c:pt idx="35">
                  <c:v>0.43328574264723552</c:v>
                </c:pt>
                <c:pt idx="36">
                  <c:v>0.43328574264723552</c:v>
                </c:pt>
                <c:pt idx="37">
                  <c:v>0.43328574264723552</c:v>
                </c:pt>
                <c:pt idx="38">
                  <c:v>0.43328574264723552</c:v>
                </c:pt>
                <c:pt idx="39">
                  <c:v>0.43328574264723552</c:v>
                </c:pt>
                <c:pt idx="40">
                  <c:v>0.43328574264723552</c:v>
                </c:pt>
                <c:pt idx="41">
                  <c:v>0.43328574264723552</c:v>
                </c:pt>
                <c:pt idx="42">
                  <c:v>0.43328574264723552</c:v>
                </c:pt>
                <c:pt idx="43">
                  <c:v>0.43328574264723552</c:v>
                </c:pt>
                <c:pt idx="44">
                  <c:v>0.43328574264723552</c:v>
                </c:pt>
                <c:pt idx="45">
                  <c:v>0.43328574264723552</c:v>
                </c:pt>
                <c:pt idx="46">
                  <c:v>0.43328574264723552</c:v>
                </c:pt>
                <c:pt idx="47">
                  <c:v>0.43328574264723552</c:v>
                </c:pt>
              </c:numCache>
            </c:numRef>
          </c:val>
          <c:smooth val="0"/>
        </c:ser>
        <c:ser>
          <c:idx val="0"/>
          <c:order val="4"/>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220361856"/>
        <c:axId val="220363392"/>
      </c:lineChart>
      <c:dateAx>
        <c:axId val="22036185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0363392"/>
        <c:crosses val="autoZero"/>
        <c:auto val="1"/>
        <c:lblOffset val="100"/>
        <c:baseTimeUnit val="months"/>
        <c:majorUnit val="1"/>
        <c:majorTimeUnit val="months"/>
      </c:dateAx>
      <c:valAx>
        <c:axId val="220363392"/>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0361856"/>
        <c:crosses val="autoZero"/>
        <c:crossBetween val="between"/>
      </c:valAx>
    </c:plotArea>
    <c:legend>
      <c:legendPos val="r"/>
      <c:layout>
        <c:manualLayout>
          <c:xMode val="edge"/>
          <c:yMode val="edge"/>
          <c:x val="5.4759279676589487E-2"/>
          <c:y val="0.91358024691358064"/>
          <c:w val="0.90791144777788868"/>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283"/>
        </c:manualLayout>
      </c:layout>
      <c:lineChart>
        <c:grouping val="standard"/>
        <c:varyColors val="0"/>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
            <c:marker>
              <c:symbol val="none"/>
            </c:marker>
            <c:bubble3D val="0"/>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dPt>
            <c:idx val="24"/>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0.77215189873417733</c:v>
                </c:pt>
                <c:pt idx="22">
                  <c:v>0.80597014925373134</c:v>
                </c:pt>
                <c:pt idx="23">
                  <c:v>0.86813186813186816</c:v>
                </c:pt>
                <c:pt idx="24">
                  <c:v>0.68604651162790697</c:v>
                </c:pt>
                <c:pt idx="25">
                  <c:v>0.79207920792079212</c:v>
                </c:pt>
                <c:pt idx="26">
                  <c:v>0.80851063829787218</c:v>
                </c:pt>
                <c:pt idx="27">
                  <c:v>0.81176470588235294</c:v>
                </c:pt>
                <c:pt idx="28">
                  <c:v>0.7777777777777779</c:v>
                </c:pt>
                <c:pt idx="29">
                  <c:v>0.80882352941176483</c:v>
                </c:pt>
                <c:pt idx="30">
                  <c:v>0.77906976744186052</c:v>
                </c:pt>
              </c:numCache>
            </c:numRef>
          </c:val>
          <c:smooth val="0"/>
        </c:ser>
        <c:ser>
          <c:idx val="2"/>
          <c:order val="1"/>
          <c:tx>
            <c:strRef>
              <c:f>Stroke!$A$315</c:f>
              <c:strCache>
                <c:ptCount val="1"/>
                <c:pt idx="0">
                  <c:v>Mean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Stroke!$B$315:$AW$315</c:f>
              <c:numCache>
                <c:formatCode>0.0%</c:formatCode>
                <c:ptCount val="48"/>
                <c:pt idx="0">
                  <c:v>0.67509057815896467</c:v>
                </c:pt>
                <c:pt idx="1">
                  <c:v>0.67509057815896467</c:v>
                </c:pt>
                <c:pt idx="2">
                  <c:v>0.67509057815896467</c:v>
                </c:pt>
                <c:pt idx="3">
                  <c:v>0.67509057815896467</c:v>
                </c:pt>
                <c:pt idx="4">
                  <c:v>0.67509057815896467</c:v>
                </c:pt>
                <c:pt idx="5">
                  <c:v>0.67509057815896467</c:v>
                </c:pt>
                <c:pt idx="6">
                  <c:v>0.67509057815896467</c:v>
                </c:pt>
                <c:pt idx="7">
                  <c:v>0.67509057815896467</c:v>
                </c:pt>
                <c:pt idx="8">
                  <c:v>0.67509057815896467</c:v>
                </c:pt>
                <c:pt idx="9">
                  <c:v>0.67509057815896467</c:v>
                </c:pt>
                <c:pt idx="10">
                  <c:v>0.67509057815896467</c:v>
                </c:pt>
                <c:pt idx="11">
                  <c:v>0.67509057815896467</c:v>
                </c:pt>
                <c:pt idx="12">
                  <c:v>0.67509057815896467</c:v>
                </c:pt>
                <c:pt idx="13">
                  <c:v>0.67509057815896467</c:v>
                </c:pt>
                <c:pt idx="14">
                  <c:v>0.67509057815896467</c:v>
                </c:pt>
                <c:pt idx="15">
                  <c:v>0.67509057815896467</c:v>
                </c:pt>
                <c:pt idx="16">
                  <c:v>0.67509057815896467</c:v>
                </c:pt>
                <c:pt idx="17">
                  <c:v>0.67509057815896467</c:v>
                </c:pt>
                <c:pt idx="18">
                  <c:v>0.67509057815896467</c:v>
                </c:pt>
                <c:pt idx="19">
                  <c:v>0.67509057815896467</c:v>
                </c:pt>
                <c:pt idx="20">
                  <c:v>0.67509057815896467</c:v>
                </c:pt>
                <c:pt idx="21">
                  <c:v>0.67509057815896467</c:v>
                </c:pt>
                <c:pt idx="22">
                  <c:v>0.67509057815896467</c:v>
                </c:pt>
                <c:pt idx="23">
                  <c:v>0.67509057815896467</c:v>
                </c:pt>
                <c:pt idx="24">
                  <c:v>0.67509057815896467</c:v>
                </c:pt>
                <c:pt idx="25">
                  <c:v>0.67509057815896467</c:v>
                </c:pt>
                <c:pt idx="26">
                  <c:v>0.67509057815896467</c:v>
                </c:pt>
                <c:pt idx="27">
                  <c:v>0.67509057815896467</c:v>
                </c:pt>
                <c:pt idx="28">
                  <c:v>0.67509057815896467</c:v>
                </c:pt>
                <c:pt idx="29">
                  <c:v>0.67509057815896467</c:v>
                </c:pt>
                <c:pt idx="30">
                  <c:v>0.67509057815896467</c:v>
                </c:pt>
                <c:pt idx="31">
                  <c:v>0.67509057815896467</c:v>
                </c:pt>
                <c:pt idx="32">
                  <c:v>0.67509057815896467</c:v>
                </c:pt>
                <c:pt idx="33">
                  <c:v>0.67509057815896467</c:v>
                </c:pt>
                <c:pt idx="34">
                  <c:v>0.67509057815896467</c:v>
                </c:pt>
                <c:pt idx="35">
                  <c:v>0.67509057815896467</c:v>
                </c:pt>
                <c:pt idx="36">
                  <c:v>0.67509057815896467</c:v>
                </c:pt>
                <c:pt idx="37">
                  <c:v>0.67509057815896467</c:v>
                </c:pt>
                <c:pt idx="38">
                  <c:v>0.67509057815896467</c:v>
                </c:pt>
                <c:pt idx="39">
                  <c:v>0.67509057815896467</c:v>
                </c:pt>
                <c:pt idx="40">
                  <c:v>0.67509057815896467</c:v>
                </c:pt>
                <c:pt idx="41">
                  <c:v>0.67509057815896467</c:v>
                </c:pt>
                <c:pt idx="42">
                  <c:v>0.67509057815896467</c:v>
                </c:pt>
                <c:pt idx="43">
                  <c:v>0.67509057815896467</c:v>
                </c:pt>
                <c:pt idx="44">
                  <c:v>0.67509057815896467</c:v>
                </c:pt>
                <c:pt idx="45">
                  <c:v>0.67509057815896467</c:v>
                </c:pt>
                <c:pt idx="46">
                  <c:v>0.67509057815896467</c:v>
                </c:pt>
                <c:pt idx="47">
                  <c:v>0.67509057815896467</c:v>
                </c:pt>
              </c:numCache>
            </c:numRef>
          </c:val>
          <c:smooth val="0"/>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Stroke!$B$318:$AW$318</c:f>
              <c:numCache>
                <c:formatCode>0.0%</c:formatCode>
                <c:ptCount val="48"/>
                <c:pt idx="0">
                  <c:v>0.91689541367069383</c:v>
                </c:pt>
                <c:pt idx="1">
                  <c:v>0.91689541367069383</c:v>
                </c:pt>
                <c:pt idx="2">
                  <c:v>0.91689541367069383</c:v>
                </c:pt>
                <c:pt idx="3">
                  <c:v>0.91689541367069383</c:v>
                </c:pt>
                <c:pt idx="4">
                  <c:v>0.91689541367069383</c:v>
                </c:pt>
                <c:pt idx="5">
                  <c:v>0.91689541367069383</c:v>
                </c:pt>
                <c:pt idx="6">
                  <c:v>0.91689541367069383</c:v>
                </c:pt>
                <c:pt idx="7">
                  <c:v>0.91689541367069383</c:v>
                </c:pt>
                <c:pt idx="8">
                  <c:v>0.91689541367069383</c:v>
                </c:pt>
                <c:pt idx="9">
                  <c:v>0.91689541367069383</c:v>
                </c:pt>
                <c:pt idx="10">
                  <c:v>0.91689541367069383</c:v>
                </c:pt>
                <c:pt idx="11">
                  <c:v>0.91689541367069383</c:v>
                </c:pt>
                <c:pt idx="12">
                  <c:v>0.91689541367069383</c:v>
                </c:pt>
                <c:pt idx="13">
                  <c:v>0.91689541367069383</c:v>
                </c:pt>
                <c:pt idx="14">
                  <c:v>0.91689541367069383</c:v>
                </c:pt>
                <c:pt idx="15">
                  <c:v>0.91689541367069383</c:v>
                </c:pt>
                <c:pt idx="16">
                  <c:v>0.91689541367069383</c:v>
                </c:pt>
                <c:pt idx="17">
                  <c:v>0.91689541367069383</c:v>
                </c:pt>
                <c:pt idx="18">
                  <c:v>0.91689541367069383</c:v>
                </c:pt>
                <c:pt idx="19">
                  <c:v>0.91689541367069383</c:v>
                </c:pt>
                <c:pt idx="20">
                  <c:v>0.91689541367069383</c:v>
                </c:pt>
                <c:pt idx="21">
                  <c:v>0.91689541367069383</c:v>
                </c:pt>
                <c:pt idx="22">
                  <c:v>0.91689541367069383</c:v>
                </c:pt>
                <c:pt idx="23">
                  <c:v>0.91689541367069383</c:v>
                </c:pt>
                <c:pt idx="24">
                  <c:v>0.91689541367069383</c:v>
                </c:pt>
                <c:pt idx="25">
                  <c:v>0.91689541367069383</c:v>
                </c:pt>
                <c:pt idx="26">
                  <c:v>0.91689541367069383</c:v>
                </c:pt>
                <c:pt idx="27">
                  <c:v>0.91689541367069383</c:v>
                </c:pt>
                <c:pt idx="28">
                  <c:v>0.91689541367069383</c:v>
                </c:pt>
                <c:pt idx="29">
                  <c:v>0.91689541367069383</c:v>
                </c:pt>
                <c:pt idx="30">
                  <c:v>0.91689541367069383</c:v>
                </c:pt>
                <c:pt idx="31">
                  <c:v>0.91689541367069383</c:v>
                </c:pt>
                <c:pt idx="32">
                  <c:v>0.91689541367069383</c:v>
                </c:pt>
                <c:pt idx="33">
                  <c:v>0.91689541367069383</c:v>
                </c:pt>
                <c:pt idx="34">
                  <c:v>0.91689541367069383</c:v>
                </c:pt>
                <c:pt idx="35">
                  <c:v>0.91689541367069383</c:v>
                </c:pt>
                <c:pt idx="36">
                  <c:v>0.91689541367069383</c:v>
                </c:pt>
                <c:pt idx="37">
                  <c:v>0.91689541367069383</c:v>
                </c:pt>
                <c:pt idx="38">
                  <c:v>0.91689541367069383</c:v>
                </c:pt>
                <c:pt idx="39">
                  <c:v>0.91689541367069383</c:v>
                </c:pt>
                <c:pt idx="40">
                  <c:v>0.91689541367069383</c:v>
                </c:pt>
                <c:pt idx="41">
                  <c:v>0.91689541367069383</c:v>
                </c:pt>
                <c:pt idx="42">
                  <c:v>0.91689541367069383</c:v>
                </c:pt>
                <c:pt idx="43">
                  <c:v>0.91689541367069383</c:v>
                </c:pt>
                <c:pt idx="44">
                  <c:v>0.91689541367069383</c:v>
                </c:pt>
                <c:pt idx="45">
                  <c:v>0.91689541367069383</c:v>
                </c:pt>
                <c:pt idx="46">
                  <c:v>0.91689541367069383</c:v>
                </c:pt>
                <c:pt idx="47">
                  <c:v>0.91689541367069383</c:v>
                </c:pt>
              </c:numCache>
            </c:numRef>
          </c:val>
          <c:smooth val="0"/>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Stroke!$B$319:$AW$319</c:f>
              <c:numCache>
                <c:formatCode>0.0%</c:formatCode>
                <c:ptCount val="48"/>
                <c:pt idx="0">
                  <c:v>0.43328574264723552</c:v>
                </c:pt>
                <c:pt idx="1">
                  <c:v>0.43328574264723552</c:v>
                </c:pt>
                <c:pt idx="2">
                  <c:v>0.43328574264723552</c:v>
                </c:pt>
                <c:pt idx="3">
                  <c:v>0.43328574264723552</c:v>
                </c:pt>
                <c:pt idx="4">
                  <c:v>0.43328574264723552</c:v>
                </c:pt>
                <c:pt idx="5">
                  <c:v>0.43328574264723552</c:v>
                </c:pt>
                <c:pt idx="6">
                  <c:v>0.43328574264723552</c:v>
                </c:pt>
                <c:pt idx="7">
                  <c:v>0.43328574264723552</c:v>
                </c:pt>
                <c:pt idx="8">
                  <c:v>0.43328574264723552</c:v>
                </c:pt>
                <c:pt idx="9">
                  <c:v>0.43328574264723552</c:v>
                </c:pt>
                <c:pt idx="10">
                  <c:v>0.43328574264723552</c:v>
                </c:pt>
                <c:pt idx="11">
                  <c:v>0.43328574264723552</c:v>
                </c:pt>
                <c:pt idx="12">
                  <c:v>0.43328574264723552</c:v>
                </c:pt>
                <c:pt idx="13">
                  <c:v>0.43328574264723552</c:v>
                </c:pt>
                <c:pt idx="14">
                  <c:v>0.43328574264723552</c:v>
                </c:pt>
                <c:pt idx="15">
                  <c:v>0.43328574264723552</c:v>
                </c:pt>
                <c:pt idx="16">
                  <c:v>0.43328574264723552</c:v>
                </c:pt>
                <c:pt idx="17">
                  <c:v>0.43328574264723552</c:v>
                </c:pt>
                <c:pt idx="18">
                  <c:v>0.43328574264723552</c:v>
                </c:pt>
                <c:pt idx="19">
                  <c:v>0.43328574264723552</c:v>
                </c:pt>
                <c:pt idx="20">
                  <c:v>0.43328574264723552</c:v>
                </c:pt>
                <c:pt idx="21">
                  <c:v>0.43328574264723552</c:v>
                </c:pt>
                <c:pt idx="22">
                  <c:v>0.43328574264723552</c:v>
                </c:pt>
                <c:pt idx="23">
                  <c:v>0.43328574264723552</c:v>
                </c:pt>
                <c:pt idx="24">
                  <c:v>0.43328574264723552</c:v>
                </c:pt>
                <c:pt idx="25">
                  <c:v>0.43328574264723552</c:v>
                </c:pt>
                <c:pt idx="26">
                  <c:v>0.43328574264723552</c:v>
                </c:pt>
                <c:pt idx="27">
                  <c:v>0.43328574264723552</c:v>
                </c:pt>
                <c:pt idx="28">
                  <c:v>0.43328574264723552</c:v>
                </c:pt>
                <c:pt idx="29">
                  <c:v>0.43328574264723552</c:v>
                </c:pt>
                <c:pt idx="30">
                  <c:v>0.43328574264723552</c:v>
                </c:pt>
                <c:pt idx="31">
                  <c:v>0.43328574264723552</c:v>
                </c:pt>
                <c:pt idx="32">
                  <c:v>0.43328574264723552</c:v>
                </c:pt>
                <c:pt idx="33">
                  <c:v>0.43328574264723552</c:v>
                </c:pt>
                <c:pt idx="34">
                  <c:v>0.43328574264723552</c:v>
                </c:pt>
                <c:pt idx="35">
                  <c:v>0.43328574264723552</c:v>
                </c:pt>
                <c:pt idx="36">
                  <c:v>0.43328574264723552</c:v>
                </c:pt>
                <c:pt idx="37">
                  <c:v>0.43328574264723552</c:v>
                </c:pt>
                <c:pt idx="38">
                  <c:v>0.43328574264723552</c:v>
                </c:pt>
                <c:pt idx="39">
                  <c:v>0.43328574264723552</c:v>
                </c:pt>
                <c:pt idx="40">
                  <c:v>0.43328574264723552</c:v>
                </c:pt>
                <c:pt idx="41">
                  <c:v>0.43328574264723552</c:v>
                </c:pt>
                <c:pt idx="42">
                  <c:v>0.43328574264723552</c:v>
                </c:pt>
                <c:pt idx="43">
                  <c:v>0.43328574264723552</c:v>
                </c:pt>
                <c:pt idx="44">
                  <c:v>0.43328574264723552</c:v>
                </c:pt>
                <c:pt idx="45">
                  <c:v>0.43328574264723552</c:v>
                </c:pt>
                <c:pt idx="46">
                  <c:v>0.43328574264723552</c:v>
                </c:pt>
                <c:pt idx="47">
                  <c:v>0.43328574264723552</c:v>
                </c:pt>
              </c:numCache>
            </c:numRef>
          </c:val>
          <c:smooth val="0"/>
        </c:ser>
        <c:ser>
          <c:idx val="0"/>
          <c:order val="4"/>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222085120"/>
        <c:axId val="222086656"/>
      </c:lineChart>
      <c:dateAx>
        <c:axId val="2220851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086656"/>
        <c:crosses val="autoZero"/>
        <c:auto val="1"/>
        <c:lblOffset val="100"/>
        <c:baseTimeUnit val="months"/>
        <c:majorUnit val="1"/>
        <c:majorTimeUnit val="months"/>
      </c:dateAx>
      <c:valAx>
        <c:axId val="22208665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085120"/>
        <c:crosses val="autoZero"/>
        <c:crossBetween val="between"/>
      </c:valAx>
    </c:plotArea>
    <c:legend>
      <c:legendPos val="r"/>
      <c:layout>
        <c:manualLayout>
          <c:xMode val="edge"/>
          <c:yMode val="edge"/>
          <c:x val="6.8462315996908863E-4"/>
          <c:y val="0.91005291005290956"/>
          <c:w val="0.99834512595310698"/>
          <c:h val="8.994708994709006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5108668161762E-2"/>
          <c:y val="4.6647296725948563E-2"/>
          <c:w val="0.88080291355443563"/>
          <c:h val="0.6667986111111307"/>
        </c:manualLayout>
      </c:layout>
      <c:lineChart>
        <c:grouping val="standard"/>
        <c:varyColors val="0"/>
        <c:ser>
          <c:idx val="0"/>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0.87068965517241381</c:v>
                </c:pt>
                <c:pt idx="22">
                  <c:v>0.8</c:v>
                </c:pt>
                <c:pt idx="23">
                  <c:v>0.91111111111111109</c:v>
                </c:pt>
                <c:pt idx="24">
                  <c:v>0.80314960629921262</c:v>
                </c:pt>
                <c:pt idx="25">
                  <c:v>0.87769784172661869</c:v>
                </c:pt>
                <c:pt idx="26">
                  <c:v>0.86861313868613133</c:v>
                </c:pt>
                <c:pt idx="27">
                  <c:v>0.79508196721311475</c:v>
                </c:pt>
                <c:pt idx="28">
                  <c:v>0.94067796610169496</c:v>
                </c:pt>
                <c:pt idx="29">
                  <c:v>0.79411764705882348</c:v>
                </c:pt>
                <c:pt idx="30">
                  <c:v>0.86885245901639341</c:v>
                </c:pt>
              </c:numCache>
            </c:numRef>
          </c:val>
          <c:smooth val="0"/>
        </c:ser>
        <c:ser>
          <c:idx val="2"/>
          <c:order val="1"/>
          <c:tx>
            <c:strRef>
              <c:f>Stroke!$A$358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Stroke!$B$358:$AW$358</c:f>
              <c:numCache>
                <c:formatCode>0.0%</c:formatCode>
                <c:ptCount val="48"/>
                <c:pt idx="0">
                  <c:v>0.83870218573838373</c:v>
                </c:pt>
                <c:pt idx="1">
                  <c:v>0.83870218573838373</c:v>
                </c:pt>
                <c:pt idx="2">
                  <c:v>0.83870218573838373</c:v>
                </c:pt>
                <c:pt idx="3">
                  <c:v>0.83870218573838373</c:v>
                </c:pt>
                <c:pt idx="4">
                  <c:v>0.83870218573838373</c:v>
                </c:pt>
                <c:pt idx="5">
                  <c:v>0.83870218573838373</c:v>
                </c:pt>
                <c:pt idx="6">
                  <c:v>0.83870218573838373</c:v>
                </c:pt>
                <c:pt idx="7">
                  <c:v>0.83870218573838373</c:v>
                </c:pt>
                <c:pt idx="8">
                  <c:v>0.83870218573838373</c:v>
                </c:pt>
                <c:pt idx="9">
                  <c:v>0.83870218573838373</c:v>
                </c:pt>
                <c:pt idx="10">
                  <c:v>0.83870218573838373</c:v>
                </c:pt>
                <c:pt idx="11">
                  <c:v>0.83870218573838373</c:v>
                </c:pt>
                <c:pt idx="12">
                  <c:v>0.83870218573838373</c:v>
                </c:pt>
                <c:pt idx="13">
                  <c:v>0.83870218573838373</c:v>
                </c:pt>
                <c:pt idx="14">
                  <c:v>0.83870218573838373</c:v>
                </c:pt>
                <c:pt idx="15">
                  <c:v>0.83870218573838373</c:v>
                </c:pt>
                <c:pt idx="16">
                  <c:v>0.83870218573838373</c:v>
                </c:pt>
                <c:pt idx="17">
                  <c:v>0.83870218573838373</c:v>
                </c:pt>
                <c:pt idx="18">
                  <c:v>0.83870218573838373</c:v>
                </c:pt>
                <c:pt idx="19">
                  <c:v>0.83870218573838373</c:v>
                </c:pt>
                <c:pt idx="20">
                  <c:v>0.83870218573838373</c:v>
                </c:pt>
                <c:pt idx="21">
                  <c:v>0.83870218573838373</c:v>
                </c:pt>
                <c:pt idx="22">
                  <c:v>0.83870218573838373</c:v>
                </c:pt>
                <c:pt idx="23">
                  <c:v>0.83870218573838373</c:v>
                </c:pt>
                <c:pt idx="24">
                  <c:v>0.83870218573838373</c:v>
                </c:pt>
                <c:pt idx="25">
                  <c:v>0.83870218573838373</c:v>
                </c:pt>
                <c:pt idx="26">
                  <c:v>0.83870218573838373</c:v>
                </c:pt>
                <c:pt idx="27">
                  <c:v>0.83870218573838373</c:v>
                </c:pt>
                <c:pt idx="28">
                  <c:v>0.83870218573838373</c:v>
                </c:pt>
                <c:pt idx="29">
                  <c:v>0.83870218573838373</c:v>
                </c:pt>
                <c:pt idx="30">
                  <c:v>0.83870218573838373</c:v>
                </c:pt>
                <c:pt idx="31">
                  <c:v>0.83870218573838373</c:v>
                </c:pt>
                <c:pt idx="32">
                  <c:v>0.83870218573838373</c:v>
                </c:pt>
                <c:pt idx="33">
                  <c:v>0.83870218573838373</c:v>
                </c:pt>
                <c:pt idx="34">
                  <c:v>0.83870218573838373</c:v>
                </c:pt>
                <c:pt idx="35">
                  <c:v>0.83870218573838373</c:v>
                </c:pt>
                <c:pt idx="36">
                  <c:v>0.83870218573838373</c:v>
                </c:pt>
                <c:pt idx="37">
                  <c:v>0.83870218573838373</c:v>
                </c:pt>
                <c:pt idx="38">
                  <c:v>0.83870218573838373</c:v>
                </c:pt>
                <c:pt idx="39">
                  <c:v>0.83870218573838373</c:v>
                </c:pt>
                <c:pt idx="40">
                  <c:v>0.83870218573838373</c:v>
                </c:pt>
                <c:pt idx="41">
                  <c:v>0.83870218573838373</c:v>
                </c:pt>
                <c:pt idx="42">
                  <c:v>0.83870218573838373</c:v>
                </c:pt>
                <c:pt idx="43">
                  <c:v>0.83870218573838373</c:v>
                </c:pt>
                <c:pt idx="44">
                  <c:v>0.83870218573838373</c:v>
                </c:pt>
                <c:pt idx="45">
                  <c:v>0.83870218573838373</c:v>
                </c:pt>
                <c:pt idx="46">
                  <c:v>0.83870218573838373</c:v>
                </c:pt>
                <c:pt idx="47">
                  <c:v>0.83870218573838373</c:v>
                </c:pt>
              </c:numCache>
            </c:numRef>
          </c:val>
          <c:smooth val="0"/>
        </c:ser>
        <c:ser>
          <c:idx val="3"/>
          <c:order val="2"/>
          <c:tx>
            <c:strRef>
              <c:f>Stroke!$A$361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Stroke!$B$361:$AW$361</c:f>
              <c:numCache>
                <c:formatCode>0.0%</c:formatCode>
                <c:ptCount val="48"/>
                <c:pt idx="0">
                  <c:v>1.0278209448439044</c:v>
                </c:pt>
                <c:pt idx="1">
                  <c:v>1.0278209448439044</c:v>
                </c:pt>
                <c:pt idx="2">
                  <c:v>1.0278209448439044</c:v>
                </c:pt>
                <c:pt idx="3">
                  <c:v>1.0278209448439044</c:v>
                </c:pt>
                <c:pt idx="4">
                  <c:v>1.0278209448439044</c:v>
                </c:pt>
                <c:pt idx="5">
                  <c:v>1.0278209448439044</c:v>
                </c:pt>
                <c:pt idx="6">
                  <c:v>1.0278209448439044</c:v>
                </c:pt>
                <c:pt idx="7">
                  <c:v>1.0278209448439044</c:v>
                </c:pt>
                <c:pt idx="8">
                  <c:v>1.0278209448439044</c:v>
                </c:pt>
                <c:pt idx="9">
                  <c:v>1.0278209448439044</c:v>
                </c:pt>
                <c:pt idx="10">
                  <c:v>1.0278209448439044</c:v>
                </c:pt>
                <c:pt idx="11">
                  <c:v>1.0278209448439044</c:v>
                </c:pt>
                <c:pt idx="12">
                  <c:v>1.0278209448439044</c:v>
                </c:pt>
                <c:pt idx="13">
                  <c:v>1.0278209448439044</c:v>
                </c:pt>
                <c:pt idx="14">
                  <c:v>1.0278209448439044</c:v>
                </c:pt>
                <c:pt idx="15">
                  <c:v>1.0278209448439044</c:v>
                </c:pt>
                <c:pt idx="16">
                  <c:v>1.0278209448439044</c:v>
                </c:pt>
                <c:pt idx="17">
                  <c:v>1.0278209448439044</c:v>
                </c:pt>
                <c:pt idx="18">
                  <c:v>1.0278209448439044</c:v>
                </c:pt>
                <c:pt idx="19">
                  <c:v>1.0278209448439044</c:v>
                </c:pt>
                <c:pt idx="20">
                  <c:v>1.0278209448439044</c:v>
                </c:pt>
                <c:pt idx="21">
                  <c:v>1.0278209448439044</c:v>
                </c:pt>
                <c:pt idx="22">
                  <c:v>1.0278209448439044</c:v>
                </c:pt>
                <c:pt idx="23">
                  <c:v>1.0278209448439044</c:v>
                </c:pt>
                <c:pt idx="24">
                  <c:v>1.0278209448439044</c:v>
                </c:pt>
                <c:pt idx="25">
                  <c:v>1.0278209448439044</c:v>
                </c:pt>
                <c:pt idx="26">
                  <c:v>1.0278209448439044</c:v>
                </c:pt>
                <c:pt idx="27">
                  <c:v>1.0278209448439044</c:v>
                </c:pt>
                <c:pt idx="28">
                  <c:v>1.0278209448439044</c:v>
                </c:pt>
                <c:pt idx="29">
                  <c:v>1.0278209448439044</c:v>
                </c:pt>
                <c:pt idx="30">
                  <c:v>1.0278209448439044</c:v>
                </c:pt>
                <c:pt idx="31">
                  <c:v>1.0278209448439044</c:v>
                </c:pt>
                <c:pt idx="32">
                  <c:v>1.0278209448439044</c:v>
                </c:pt>
                <c:pt idx="33">
                  <c:v>1.0278209448439044</c:v>
                </c:pt>
                <c:pt idx="34">
                  <c:v>1.0278209448439044</c:v>
                </c:pt>
                <c:pt idx="35">
                  <c:v>1.0278209448439044</c:v>
                </c:pt>
                <c:pt idx="36">
                  <c:v>1.0278209448439044</c:v>
                </c:pt>
                <c:pt idx="37">
                  <c:v>1.0278209448439044</c:v>
                </c:pt>
                <c:pt idx="38">
                  <c:v>1.0278209448439044</c:v>
                </c:pt>
                <c:pt idx="39">
                  <c:v>1.0278209448439044</c:v>
                </c:pt>
                <c:pt idx="40">
                  <c:v>1.0278209448439044</c:v>
                </c:pt>
                <c:pt idx="41">
                  <c:v>1.0278209448439044</c:v>
                </c:pt>
                <c:pt idx="42">
                  <c:v>1.0278209448439044</c:v>
                </c:pt>
                <c:pt idx="43">
                  <c:v>1.0278209448439044</c:v>
                </c:pt>
                <c:pt idx="44">
                  <c:v>1.0278209448439044</c:v>
                </c:pt>
                <c:pt idx="45">
                  <c:v>1.0278209448439044</c:v>
                </c:pt>
                <c:pt idx="46">
                  <c:v>1.0278209448439044</c:v>
                </c:pt>
                <c:pt idx="47">
                  <c:v>1.0278209448439044</c:v>
                </c:pt>
              </c:numCache>
            </c:numRef>
          </c:val>
          <c:smooth val="0"/>
        </c:ser>
        <c:ser>
          <c:idx val="4"/>
          <c:order val="3"/>
          <c:tx>
            <c:strRef>
              <c:f>Stroke!$A$362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Stroke!$B$362:$AW$362</c:f>
              <c:numCache>
                <c:formatCode>0.0%</c:formatCode>
                <c:ptCount val="48"/>
                <c:pt idx="0">
                  <c:v>0.64958342663286306</c:v>
                </c:pt>
                <c:pt idx="1">
                  <c:v>0.64958342663286306</c:v>
                </c:pt>
                <c:pt idx="2">
                  <c:v>0.64958342663286306</c:v>
                </c:pt>
                <c:pt idx="3">
                  <c:v>0.64958342663286306</c:v>
                </c:pt>
                <c:pt idx="4">
                  <c:v>0.64958342663286306</c:v>
                </c:pt>
                <c:pt idx="5">
                  <c:v>0.64958342663286306</c:v>
                </c:pt>
                <c:pt idx="6">
                  <c:v>0.64958342663286306</c:v>
                </c:pt>
                <c:pt idx="7">
                  <c:v>0.64958342663286306</c:v>
                </c:pt>
                <c:pt idx="8">
                  <c:v>0.64958342663286306</c:v>
                </c:pt>
                <c:pt idx="9">
                  <c:v>0.64958342663286306</c:v>
                </c:pt>
                <c:pt idx="10">
                  <c:v>0.64958342663286306</c:v>
                </c:pt>
                <c:pt idx="11">
                  <c:v>0.64958342663286306</c:v>
                </c:pt>
                <c:pt idx="12">
                  <c:v>0.64958342663286306</c:v>
                </c:pt>
                <c:pt idx="13">
                  <c:v>0.64958342663286306</c:v>
                </c:pt>
                <c:pt idx="14">
                  <c:v>0.64958342663286306</c:v>
                </c:pt>
                <c:pt idx="15">
                  <c:v>0.64958342663286306</c:v>
                </c:pt>
                <c:pt idx="16">
                  <c:v>0.64958342663286306</c:v>
                </c:pt>
                <c:pt idx="17">
                  <c:v>0.64958342663286306</c:v>
                </c:pt>
                <c:pt idx="18">
                  <c:v>0.64958342663286306</c:v>
                </c:pt>
                <c:pt idx="19">
                  <c:v>0.64958342663286306</c:v>
                </c:pt>
                <c:pt idx="20">
                  <c:v>0.64958342663286306</c:v>
                </c:pt>
                <c:pt idx="21">
                  <c:v>0.64958342663286306</c:v>
                </c:pt>
                <c:pt idx="22">
                  <c:v>0.64958342663286306</c:v>
                </c:pt>
                <c:pt idx="23">
                  <c:v>0.64958342663286306</c:v>
                </c:pt>
                <c:pt idx="24">
                  <c:v>0.64958342663286306</c:v>
                </c:pt>
                <c:pt idx="25">
                  <c:v>0.64958342663286306</c:v>
                </c:pt>
                <c:pt idx="26">
                  <c:v>0.64958342663286306</c:v>
                </c:pt>
                <c:pt idx="27">
                  <c:v>0.64958342663286306</c:v>
                </c:pt>
                <c:pt idx="28">
                  <c:v>0.64958342663286306</c:v>
                </c:pt>
                <c:pt idx="29">
                  <c:v>0.64958342663286306</c:v>
                </c:pt>
                <c:pt idx="30">
                  <c:v>0.64958342663286306</c:v>
                </c:pt>
                <c:pt idx="31">
                  <c:v>0.64958342663286306</c:v>
                </c:pt>
                <c:pt idx="32">
                  <c:v>0.64958342663286306</c:v>
                </c:pt>
                <c:pt idx="33">
                  <c:v>0.64958342663286306</c:v>
                </c:pt>
                <c:pt idx="34">
                  <c:v>0.64958342663286306</c:v>
                </c:pt>
                <c:pt idx="35">
                  <c:v>0.64958342663286306</c:v>
                </c:pt>
                <c:pt idx="36">
                  <c:v>0.64958342663286306</c:v>
                </c:pt>
                <c:pt idx="37">
                  <c:v>0.64958342663286306</c:v>
                </c:pt>
                <c:pt idx="38">
                  <c:v>0.64958342663286306</c:v>
                </c:pt>
                <c:pt idx="39">
                  <c:v>0.64958342663286306</c:v>
                </c:pt>
                <c:pt idx="40">
                  <c:v>0.64958342663286306</c:v>
                </c:pt>
                <c:pt idx="41">
                  <c:v>0.64958342663286306</c:v>
                </c:pt>
                <c:pt idx="42">
                  <c:v>0.64958342663286306</c:v>
                </c:pt>
                <c:pt idx="43">
                  <c:v>0.64958342663286306</c:v>
                </c:pt>
                <c:pt idx="44">
                  <c:v>0.64958342663286306</c:v>
                </c:pt>
                <c:pt idx="45">
                  <c:v>0.64958342663286306</c:v>
                </c:pt>
                <c:pt idx="46">
                  <c:v>0.64958342663286306</c:v>
                </c:pt>
                <c:pt idx="47">
                  <c:v>0.64958342663286306</c:v>
                </c:pt>
              </c:numCache>
            </c:numRef>
          </c:val>
          <c:smooth val="0"/>
        </c:ser>
        <c:ser>
          <c:idx val="1"/>
          <c:order val="4"/>
          <c:tx>
            <c:strRef>
              <c:f>Stroke!$A$352</c:f>
              <c:strCache>
                <c:ptCount val="1"/>
                <c:pt idx="0">
                  <c:v>Component Target - 90% on day of admission (min)</c:v>
                </c:pt>
              </c:strCache>
            </c:strRef>
          </c:tx>
          <c:spPr>
            <a:ln w="25400">
              <a:solidFill>
                <a:srgbClr val="FF0000"/>
              </a:solidFill>
              <a:prstDash val="sysDot"/>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5"/>
          <c:order val="5"/>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222128000"/>
        <c:axId val="222129536"/>
      </c:lineChart>
      <c:dateAx>
        <c:axId val="2221280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129536"/>
        <c:crosses val="autoZero"/>
        <c:auto val="1"/>
        <c:lblOffset val="100"/>
        <c:baseTimeUnit val="months"/>
        <c:majorUnit val="1"/>
        <c:majorTimeUnit val="months"/>
      </c:dateAx>
      <c:valAx>
        <c:axId val="222129536"/>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128000"/>
        <c:crosses val="autoZero"/>
        <c:crossBetween val="between"/>
      </c:valAx>
    </c:plotArea>
    <c:legend>
      <c:legendPos val="b"/>
      <c:layout>
        <c:manualLayout>
          <c:xMode val="edge"/>
          <c:yMode val="edge"/>
          <c:x val="4.7190057125212834E-3"/>
          <c:y val="0.8372222222222222"/>
          <c:w val="0.97353944727497665"/>
          <c:h val="0.15208500000000041"/>
        </c:manualLayout>
      </c:layout>
      <c:overlay val="1"/>
      <c:txPr>
        <a:bodyPr/>
        <a:lstStyle/>
        <a:p>
          <a:pPr>
            <a:defRPr sz="57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306"/>
        </c:manualLayout>
      </c:layout>
      <c:lineChart>
        <c:grouping val="standard"/>
        <c:varyColors val="0"/>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0.97058823529411764</c:v>
                </c:pt>
                <c:pt idx="24">
                  <c:v>0.96062992125984248</c:v>
                </c:pt>
                <c:pt idx="25">
                  <c:v>0.9642857142857143</c:v>
                </c:pt>
                <c:pt idx="26">
                  <c:v>0.94890510948905105</c:v>
                </c:pt>
                <c:pt idx="27">
                  <c:v>0.97560975609756095</c:v>
                </c:pt>
                <c:pt idx="28">
                  <c:v>0.9916666666666667</c:v>
                </c:pt>
                <c:pt idx="29">
                  <c:v>0.970873786407767</c:v>
                </c:pt>
                <c:pt idx="30">
                  <c:v>0.95934959349593496</c:v>
                </c:pt>
              </c:numCache>
            </c:numRef>
          </c:val>
          <c:smooth val="0"/>
        </c:ser>
        <c:ser>
          <c:idx val="2"/>
          <c:order val="1"/>
          <c:tx>
            <c:strRef>
              <c:f>Stroke!$A$380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Stroke!$B$380:$AW$380</c:f>
              <c:numCache>
                <c:formatCode>0.0%</c:formatCode>
                <c:ptCount val="48"/>
                <c:pt idx="0">
                  <c:v>0.96377543344104777</c:v>
                </c:pt>
                <c:pt idx="1">
                  <c:v>0.96377543344104777</c:v>
                </c:pt>
                <c:pt idx="2">
                  <c:v>0.96377543344104777</c:v>
                </c:pt>
                <c:pt idx="3">
                  <c:v>0.96377543344104777</c:v>
                </c:pt>
                <c:pt idx="4">
                  <c:v>0.96377543344104777</c:v>
                </c:pt>
                <c:pt idx="5">
                  <c:v>0.96377543344104777</c:v>
                </c:pt>
                <c:pt idx="6">
                  <c:v>0.96377543344104777</c:v>
                </c:pt>
                <c:pt idx="7">
                  <c:v>0.96377543344104777</c:v>
                </c:pt>
                <c:pt idx="8">
                  <c:v>0.96377543344104777</c:v>
                </c:pt>
                <c:pt idx="9">
                  <c:v>0.96377543344104777</c:v>
                </c:pt>
                <c:pt idx="10">
                  <c:v>0.96377543344104777</c:v>
                </c:pt>
                <c:pt idx="11">
                  <c:v>0.96377543344104777</c:v>
                </c:pt>
                <c:pt idx="12">
                  <c:v>0.96377543344104777</c:v>
                </c:pt>
                <c:pt idx="13">
                  <c:v>0.96377543344104777</c:v>
                </c:pt>
                <c:pt idx="14">
                  <c:v>0.96377543344104777</c:v>
                </c:pt>
                <c:pt idx="15">
                  <c:v>0.96377543344104777</c:v>
                </c:pt>
                <c:pt idx="16">
                  <c:v>0.96377543344104777</c:v>
                </c:pt>
                <c:pt idx="17">
                  <c:v>0.96377543344104777</c:v>
                </c:pt>
                <c:pt idx="18">
                  <c:v>0.96377543344104777</c:v>
                </c:pt>
                <c:pt idx="19">
                  <c:v>0.96377543344104777</c:v>
                </c:pt>
                <c:pt idx="20">
                  <c:v>0.96377543344104777</c:v>
                </c:pt>
                <c:pt idx="21">
                  <c:v>0.96377543344104777</c:v>
                </c:pt>
                <c:pt idx="22">
                  <c:v>0.96377543344104777</c:v>
                </c:pt>
                <c:pt idx="23">
                  <c:v>0.96377543344104777</c:v>
                </c:pt>
                <c:pt idx="24">
                  <c:v>0.96377543344104777</c:v>
                </c:pt>
                <c:pt idx="25">
                  <c:v>0.96377543344104777</c:v>
                </c:pt>
                <c:pt idx="26">
                  <c:v>0.96377543344104777</c:v>
                </c:pt>
                <c:pt idx="27">
                  <c:v>0.96377543344104777</c:v>
                </c:pt>
                <c:pt idx="28">
                  <c:v>0.96377543344104777</c:v>
                </c:pt>
                <c:pt idx="29">
                  <c:v>0.96377543344104777</c:v>
                </c:pt>
                <c:pt idx="30">
                  <c:v>0.96377543344104777</c:v>
                </c:pt>
                <c:pt idx="31">
                  <c:v>0.96377543344104777</c:v>
                </c:pt>
                <c:pt idx="32">
                  <c:v>0.96377543344104777</c:v>
                </c:pt>
                <c:pt idx="33">
                  <c:v>0.96377543344104777</c:v>
                </c:pt>
                <c:pt idx="34">
                  <c:v>0.96377543344104777</c:v>
                </c:pt>
                <c:pt idx="35">
                  <c:v>0.96377543344104777</c:v>
                </c:pt>
                <c:pt idx="36">
                  <c:v>0.96377543344104777</c:v>
                </c:pt>
                <c:pt idx="37">
                  <c:v>0.96377543344104777</c:v>
                </c:pt>
                <c:pt idx="38">
                  <c:v>0.96377543344104777</c:v>
                </c:pt>
                <c:pt idx="39">
                  <c:v>0.96377543344104777</c:v>
                </c:pt>
                <c:pt idx="40">
                  <c:v>0.96377543344104777</c:v>
                </c:pt>
                <c:pt idx="41">
                  <c:v>0.96377543344104777</c:v>
                </c:pt>
                <c:pt idx="42">
                  <c:v>0.96377543344104777</c:v>
                </c:pt>
                <c:pt idx="43">
                  <c:v>0.96377543344104777</c:v>
                </c:pt>
                <c:pt idx="44">
                  <c:v>0.96377543344104777</c:v>
                </c:pt>
                <c:pt idx="45">
                  <c:v>0.96377543344104777</c:v>
                </c:pt>
                <c:pt idx="46">
                  <c:v>0.96377543344104777</c:v>
                </c:pt>
                <c:pt idx="47">
                  <c:v>0.96377543344104777</c:v>
                </c:pt>
              </c:numCache>
            </c:numRef>
          </c:val>
          <c:smooth val="0"/>
        </c:ser>
        <c:ser>
          <c:idx val="4"/>
          <c:order val="2"/>
          <c:tx>
            <c:strRef>
              <c:f>Stroke!$A$384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Stroke!$B$384:$AW$384</c:f>
              <c:numCache>
                <c:formatCode>0.0%</c:formatCode>
                <c:ptCount val="48"/>
                <c:pt idx="0">
                  <c:v>0.88935627816546059</c:v>
                </c:pt>
                <c:pt idx="1">
                  <c:v>0.88935627816546059</c:v>
                </c:pt>
                <c:pt idx="2">
                  <c:v>0.88935627816546059</c:v>
                </c:pt>
                <c:pt idx="3">
                  <c:v>0.88935627816546059</c:v>
                </c:pt>
                <c:pt idx="4">
                  <c:v>0.88935627816546059</c:v>
                </c:pt>
                <c:pt idx="5">
                  <c:v>0.88935627816546059</c:v>
                </c:pt>
                <c:pt idx="6">
                  <c:v>0.88935627816546059</c:v>
                </c:pt>
                <c:pt idx="7">
                  <c:v>0.88935627816546059</c:v>
                </c:pt>
                <c:pt idx="8">
                  <c:v>0.88935627816546059</c:v>
                </c:pt>
                <c:pt idx="9">
                  <c:v>0.88935627816546059</c:v>
                </c:pt>
                <c:pt idx="10">
                  <c:v>0.88935627816546059</c:v>
                </c:pt>
                <c:pt idx="11">
                  <c:v>0.88935627816546059</c:v>
                </c:pt>
                <c:pt idx="12">
                  <c:v>0.88935627816546059</c:v>
                </c:pt>
                <c:pt idx="13">
                  <c:v>0.88935627816546059</c:v>
                </c:pt>
                <c:pt idx="14">
                  <c:v>0.88935627816546059</c:v>
                </c:pt>
                <c:pt idx="15">
                  <c:v>0.88935627816546059</c:v>
                </c:pt>
                <c:pt idx="16">
                  <c:v>0.88935627816546059</c:v>
                </c:pt>
                <c:pt idx="17">
                  <c:v>0.88935627816546059</c:v>
                </c:pt>
                <c:pt idx="18">
                  <c:v>0.88935627816546059</c:v>
                </c:pt>
                <c:pt idx="19">
                  <c:v>0.88935627816546059</c:v>
                </c:pt>
                <c:pt idx="20">
                  <c:v>0.88935627816546059</c:v>
                </c:pt>
                <c:pt idx="21">
                  <c:v>0.88935627816546059</c:v>
                </c:pt>
                <c:pt idx="22">
                  <c:v>0.88935627816546059</c:v>
                </c:pt>
                <c:pt idx="23">
                  <c:v>0.88935627816546059</c:v>
                </c:pt>
                <c:pt idx="24">
                  <c:v>0.88935627816546059</c:v>
                </c:pt>
                <c:pt idx="25">
                  <c:v>0.88935627816546059</c:v>
                </c:pt>
                <c:pt idx="26">
                  <c:v>0.88935627816546059</c:v>
                </c:pt>
                <c:pt idx="27">
                  <c:v>0.88935627816546059</c:v>
                </c:pt>
                <c:pt idx="28">
                  <c:v>0.88935627816546059</c:v>
                </c:pt>
                <c:pt idx="29">
                  <c:v>0.88935627816546059</c:v>
                </c:pt>
                <c:pt idx="30">
                  <c:v>0.88935627816546059</c:v>
                </c:pt>
                <c:pt idx="31">
                  <c:v>0.88935627816546059</c:v>
                </c:pt>
                <c:pt idx="32">
                  <c:v>0.88935627816546059</c:v>
                </c:pt>
                <c:pt idx="33">
                  <c:v>0.88935627816546059</c:v>
                </c:pt>
                <c:pt idx="34">
                  <c:v>0.88935627816546059</c:v>
                </c:pt>
                <c:pt idx="35">
                  <c:v>0.88935627816546059</c:v>
                </c:pt>
                <c:pt idx="36">
                  <c:v>0.88935627816546059</c:v>
                </c:pt>
                <c:pt idx="37">
                  <c:v>0.88935627816546059</c:v>
                </c:pt>
                <c:pt idx="38">
                  <c:v>0.88935627816546059</c:v>
                </c:pt>
                <c:pt idx="39">
                  <c:v>0.88935627816546059</c:v>
                </c:pt>
                <c:pt idx="40">
                  <c:v>0.88935627816546059</c:v>
                </c:pt>
                <c:pt idx="41">
                  <c:v>0.88935627816546059</c:v>
                </c:pt>
                <c:pt idx="42">
                  <c:v>0.88935627816546059</c:v>
                </c:pt>
                <c:pt idx="43">
                  <c:v>0.88935627816546059</c:v>
                </c:pt>
                <c:pt idx="44">
                  <c:v>0.88935627816546059</c:v>
                </c:pt>
                <c:pt idx="45">
                  <c:v>0.88935627816546059</c:v>
                </c:pt>
                <c:pt idx="46">
                  <c:v>0.88935627816546059</c:v>
                </c:pt>
                <c:pt idx="47">
                  <c:v>0.88935627816546059</c:v>
                </c:pt>
              </c:numCache>
            </c:numRef>
          </c:val>
          <c:smooth val="0"/>
        </c:ser>
        <c:ser>
          <c:idx val="0"/>
          <c:order val="3"/>
          <c:tx>
            <c:strRef>
              <c:f>Stroke!$A$375</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222176384"/>
        <c:axId val="222177920"/>
      </c:lineChart>
      <c:dateAx>
        <c:axId val="2221763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177920"/>
        <c:crosses val="autoZero"/>
        <c:auto val="1"/>
        <c:lblOffset val="100"/>
        <c:baseTimeUnit val="months"/>
        <c:majorUnit val="1"/>
        <c:majorTimeUnit val="months"/>
      </c:dateAx>
      <c:valAx>
        <c:axId val="222177920"/>
        <c:scaling>
          <c:orientation val="minMax"/>
          <c:max val="1"/>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176384"/>
        <c:crosses val="autoZero"/>
        <c:crossBetween val="between"/>
      </c:valAx>
    </c:plotArea>
    <c:legend>
      <c:legendPos val="r"/>
      <c:layout>
        <c:manualLayout>
          <c:xMode val="edge"/>
          <c:yMode val="edge"/>
          <c:x val="5.4759279676589487E-2"/>
          <c:y val="0.89241622574954627"/>
          <c:w val="0.89823600054403341"/>
          <c:h val="0.10758377425044251"/>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306"/>
        </c:manualLayout>
      </c:layout>
      <c:lineChart>
        <c:grouping val="standard"/>
        <c:varyColors val="0"/>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1"/>
            <c:marker>
              <c:spPr>
                <a:solidFill>
                  <a:schemeClr val="bg1"/>
                </a:solidFill>
                <a:ln w="25400">
                  <a:solidFill>
                    <a:srgbClr val="0070C0"/>
                  </a:solidFill>
                </a:ln>
              </c:spPr>
            </c:marker>
            <c:bubble3D val="0"/>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0.94736842105263153</c:v>
                </c:pt>
                <c:pt idx="24">
                  <c:v>0.93055555555555558</c:v>
                </c:pt>
                <c:pt idx="25">
                  <c:v>0.90588235294117647</c:v>
                </c:pt>
                <c:pt idx="26">
                  <c:v>0.95454545454545459</c:v>
                </c:pt>
                <c:pt idx="27">
                  <c:v>0.89393939393939392</c:v>
                </c:pt>
                <c:pt idx="28">
                  <c:v>0.93103448275862066</c:v>
                </c:pt>
                <c:pt idx="29">
                  <c:v>0.93333333333333324</c:v>
                </c:pt>
                <c:pt idx="30">
                  <c:v>0.875</c:v>
                </c:pt>
              </c:numCache>
            </c:numRef>
          </c:val>
          <c:smooth val="0"/>
        </c:ser>
        <c:ser>
          <c:idx val="2"/>
          <c:order val="1"/>
          <c:tx>
            <c:strRef>
              <c:f>Stroke!$A$400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Stroke!$B$400:$AW$400</c:f>
              <c:numCache>
                <c:formatCode>0.0%</c:formatCode>
                <c:ptCount val="48"/>
                <c:pt idx="0">
                  <c:v>0.91677265655431239</c:v>
                </c:pt>
                <c:pt idx="1">
                  <c:v>0.91677265655431239</c:v>
                </c:pt>
                <c:pt idx="2">
                  <c:v>0.91677265655431239</c:v>
                </c:pt>
                <c:pt idx="3">
                  <c:v>0.91677265655431239</c:v>
                </c:pt>
                <c:pt idx="4">
                  <c:v>0.91677265655431239</c:v>
                </c:pt>
                <c:pt idx="5">
                  <c:v>0.91677265655431239</c:v>
                </c:pt>
                <c:pt idx="6">
                  <c:v>0.91677265655431239</c:v>
                </c:pt>
                <c:pt idx="7">
                  <c:v>0.91677265655431239</c:v>
                </c:pt>
                <c:pt idx="8">
                  <c:v>0.91677265655431239</c:v>
                </c:pt>
                <c:pt idx="9">
                  <c:v>0.91677265655431239</c:v>
                </c:pt>
                <c:pt idx="10">
                  <c:v>0.91677265655431239</c:v>
                </c:pt>
                <c:pt idx="11">
                  <c:v>0.91677265655431239</c:v>
                </c:pt>
                <c:pt idx="12">
                  <c:v>0.91677265655431239</c:v>
                </c:pt>
                <c:pt idx="13">
                  <c:v>0.91677265655431239</c:v>
                </c:pt>
                <c:pt idx="14">
                  <c:v>0.91677265655431239</c:v>
                </c:pt>
                <c:pt idx="15">
                  <c:v>0.91677265655431239</c:v>
                </c:pt>
                <c:pt idx="16">
                  <c:v>0.91677265655431239</c:v>
                </c:pt>
                <c:pt idx="17">
                  <c:v>0.91677265655431239</c:v>
                </c:pt>
                <c:pt idx="18">
                  <c:v>0.91677265655431239</c:v>
                </c:pt>
                <c:pt idx="19">
                  <c:v>0.91677265655431239</c:v>
                </c:pt>
                <c:pt idx="20">
                  <c:v>0.91677265655431239</c:v>
                </c:pt>
                <c:pt idx="21">
                  <c:v>0.91677265655431239</c:v>
                </c:pt>
                <c:pt idx="22">
                  <c:v>0.91677265655431239</c:v>
                </c:pt>
                <c:pt idx="23">
                  <c:v>0.91677265655431239</c:v>
                </c:pt>
                <c:pt idx="24">
                  <c:v>0.91677265655431239</c:v>
                </c:pt>
                <c:pt idx="25">
                  <c:v>0.91677265655431239</c:v>
                </c:pt>
                <c:pt idx="26">
                  <c:v>0.91677265655431239</c:v>
                </c:pt>
                <c:pt idx="27">
                  <c:v>0.91677265655431239</c:v>
                </c:pt>
                <c:pt idx="28">
                  <c:v>0.91677265655431239</c:v>
                </c:pt>
                <c:pt idx="29">
                  <c:v>0.91677265655431239</c:v>
                </c:pt>
                <c:pt idx="30">
                  <c:v>0.91677265655431239</c:v>
                </c:pt>
                <c:pt idx="31">
                  <c:v>0.91677265655431239</c:v>
                </c:pt>
                <c:pt idx="32">
                  <c:v>0.91677265655431239</c:v>
                </c:pt>
                <c:pt idx="33">
                  <c:v>0.91677265655431239</c:v>
                </c:pt>
                <c:pt idx="34">
                  <c:v>0.91677265655431239</c:v>
                </c:pt>
                <c:pt idx="35">
                  <c:v>0.91677265655431239</c:v>
                </c:pt>
                <c:pt idx="36">
                  <c:v>0.91677265655431239</c:v>
                </c:pt>
                <c:pt idx="37">
                  <c:v>0.91677265655431239</c:v>
                </c:pt>
                <c:pt idx="38">
                  <c:v>0.91677265655431239</c:v>
                </c:pt>
                <c:pt idx="39">
                  <c:v>0.91677265655431239</c:v>
                </c:pt>
                <c:pt idx="40">
                  <c:v>0.91677265655431239</c:v>
                </c:pt>
                <c:pt idx="41">
                  <c:v>0.91677265655431239</c:v>
                </c:pt>
                <c:pt idx="42">
                  <c:v>0.91677265655431239</c:v>
                </c:pt>
                <c:pt idx="43">
                  <c:v>0.91677265655431239</c:v>
                </c:pt>
                <c:pt idx="44">
                  <c:v>0.91677265655431239</c:v>
                </c:pt>
                <c:pt idx="45">
                  <c:v>0.91677265655431239</c:v>
                </c:pt>
                <c:pt idx="46">
                  <c:v>0.91677265655431239</c:v>
                </c:pt>
                <c:pt idx="47">
                  <c:v>0.91677265655431239</c:v>
                </c:pt>
              </c:numCache>
            </c:numRef>
          </c:val>
          <c:smooth val="0"/>
        </c:ser>
        <c:ser>
          <c:idx val="4"/>
          <c:order val="2"/>
          <c:tx>
            <c:strRef>
              <c:f>Stroke!$A$404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Stroke!$B$404:$AW$404</c:f>
              <c:numCache>
                <c:formatCode>0.0%</c:formatCode>
                <c:ptCount val="48"/>
                <c:pt idx="0">
                  <c:v>0.79870946400030252</c:v>
                </c:pt>
                <c:pt idx="1">
                  <c:v>0.79870946400030252</c:v>
                </c:pt>
                <c:pt idx="2">
                  <c:v>0.79870946400030252</c:v>
                </c:pt>
                <c:pt idx="3">
                  <c:v>0.79870946400030252</c:v>
                </c:pt>
                <c:pt idx="4">
                  <c:v>0.79870946400030252</c:v>
                </c:pt>
                <c:pt idx="5">
                  <c:v>0.79870946400030252</c:v>
                </c:pt>
                <c:pt idx="6">
                  <c:v>0.79870946400030252</c:v>
                </c:pt>
                <c:pt idx="7">
                  <c:v>0.79870946400030252</c:v>
                </c:pt>
                <c:pt idx="8">
                  <c:v>0.79870946400030252</c:v>
                </c:pt>
                <c:pt idx="9">
                  <c:v>0.79870946400030252</c:v>
                </c:pt>
                <c:pt idx="10">
                  <c:v>0.79870946400030252</c:v>
                </c:pt>
                <c:pt idx="11">
                  <c:v>0.79870946400030252</c:v>
                </c:pt>
                <c:pt idx="12">
                  <c:v>0.79870946400030252</c:v>
                </c:pt>
                <c:pt idx="13">
                  <c:v>0.79870946400030252</c:v>
                </c:pt>
                <c:pt idx="14">
                  <c:v>0.79870946400030252</c:v>
                </c:pt>
                <c:pt idx="15">
                  <c:v>0.79870946400030252</c:v>
                </c:pt>
                <c:pt idx="16">
                  <c:v>0.79870946400030252</c:v>
                </c:pt>
                <c:pt idx="17">
                  <c:v>0.79870946400030252</c:v>
                </c:pt>
                <c:pt idx="18">
                  <c:v>0.79870946400030252</c:v>
                </c:pt>
                <c:pt idx="19">
                  <c:v>0.79870946400030252</c:v>
                </c:pt>
                <c:pt idx="20">
                  <c:v>0.79870946400030252</c:v>
                </c:pt>
                <c:pt idx="21">
                  <c:v>0.79870946400030252</c:v>
                </c:pt>
                <c:pt idx="22">
                  <c:v>0.79870946400030252</c:v>
                </c:pt>
                <c:pt idx="23">
                  <c:v>0.79870946400030252</c:v>
                </c:pt>
                <c:pt idx="24">
                  <c:v>0.79870946400030252</c:v>
                </c:pt>
                <c:pt idx="25">
                  <c:v>0.79870946400030252</c:v>
                </c:pt>
                <c:pt idx="26">
                  <c:v>0.79870946400030252</c:v>
                </c:pt>
                <c:pt idx="27">
                  <c:v>0.79870946400030252</c:v>
                </c:pt>
                <c:pt idx="28">
                  <c:v>0.79870946400030252</c:v>
                </c:pt>
                <c:pt idx="29">
                  <c:v>0.79870946400030252</c:v>
                </c:pt>
                <c:pt idx="30">
                  <c:v>0.79870946400030252</c:v>
                </c:pt>
                <c:pt idx="31">
                  <c:v>0.79870946400030252</c:v>
                </c:pt>
                <c:pt idx="32">
                  <c:v>0.79870946400030252</c:v>
                </c:pt>
                <c:pt idx="33">
                  <c:v>0.79870946400030252</c:v>
                </c:pt>
                <c:pt idx="34">
                  <c:v>0.79870946400030252</c:v>
                </c:pt>
                <c:pt idx="35">
                  <c:v>0.79870946400030252</c:v>
                </c:pt>
                <c:pt idx="36">
                  <c:v>0.79870946400030252</c:v>
                </c:pt>
                <c:pt idx="37">
                  <c:v>0.79870946400030252</c:v>
                </c:pt>
                <c:pt idx="38">
                  <c:v>0.79870946400030252</c:v>
                </c:pt>
                <c:pt idx="39">
                  <c:v>0.79870946400030252</c:v>
                </c:pt>
                <c:pt idx="40">
                  <c:v>0.79870946400030252</c:v>
                </c:pt>
                <c:pt idx="41">
                  <c:v>0.79870946400030252</c:v>
                </c:pt>
                <c:pt idx="42">
                  <c:v>0.79870946400030252</c:v>
                </c:pt>
                <c:pt idx="43">
                  <c:v>0.79870946400030252</c:v>
                </c:pt>
                <c:pt idx="44">
                  <c:v>0.79870946400030252</c:v>
                </c:pt>
                <c:pt idx="45">
                  <c:v>0.79870946400030252</c:v>
                </c:pt>
                <c:pt idx="46">
                  <c:v>0.79870946400030252</c:v>
                </c:pt>
                <c:pt idx="47">
                  <c:v>0.79870946400030252</c:v>
                </c:pt>
              </c:numCache>
            </c:numRef>
          </c:val>
          <c:smooth val="0"/>
        </c:ser>
        <c:dLbls>
          <c:showLegendKey val="0"/>
          <c:showVal val="0"/>
          <c:showCatName val="0"/>
          <c:showSerName val="0"/>
          <c:showPercent val="0"/>
          <c:showBubbleSize val="0"/>
        </c:dLbls>
        <c:marker val="1"/>
        <c:smooth val="0"/>
        <c:axId val="222198400"/>
        <c:axId val="222212480"/>
      </c:lineChart>
      <c:dateAx>
        <c:axId val="2221984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222212480"/>
        <c:crosses val="autoZero"/>
        <c:auto val="1"/>
        <c:lblOffset val="100"/>
        <c:baseTimeUnit val="months"/>
        <c:majorUnit val="1"/>
        <c:majorTimeUnit val="months"/>
      </c:dateAx>
      <c:valAx>
        <c:axId val="222212480"/>
        <c:scaling>
          <c:orientation val="minMax"/>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22198400"/>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4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76.xml"/><Relationship Id="rId7" Type="http://schemas.openxmlformats.org/officeDocument/2006/relationships/image" Target="../media/image12.png"/><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chart" Target="../charts/chart96.xml"/><Relationship Id="rId18" Type="http://schemas.openxmlformats.org/officeDocument/2006/relationships/chart" Target="../charts/chart101.xml"/><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chart" Target="../charts/chart95.xml"/><Relationship Id="rId17" Type="http://schemas.openxmlformats.org/officeDocument/2006/relationships/chart" Target="../charts/chart100.xml"/><Relationship Id="rId2" Type="http://schemas.openxmlformats.org/officeDocument/2006/relationships/chart" Target="../charts/chart85.xml"/><Relationship Id="rId16" Type="http://schemas.openxmlformats.org/officeDocument/2006/relationships/chart" Target="../charts/chart99.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5" Type="http://schemas.openxmlformats.org/officeDocument/2006/relationships/chart" Target="../charts/chart9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chart" Target="../charts/chart9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2333625</xdr:colOff>
      <xdr:row>39</xdr:row>
      <xdr:rowOff>95250</xdr:rowOff>
    </xdr:from>
    <xdr:to>
      <xdr:col>0</xdr:col>
      <xdr:colOff>2981325</xdr:colOff>
      <xdr:row>39</xdr:row>
      <xdr:rowOff>95250</xdr:rowOff>
    </xdr:to>
    <xdr:cxnSp macro="">
      <xdr:nvCxnSpPr>
        <xdr:cNvPr id="5" name="Straight Connector 4"/>
        <xdr:cNvCxnSpPr/>
      </xdr:nvCxnSpPr>
      <xdr:spPr>
        <a:xfrm>
          <a:off x="2333625" y="6838950"/>
          <a:ext cx="647700" cy="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33393</xdr:colOff>
      <xdr:row>39</xdr:row>
      <xdr:rowOff>142771</xdr:rowOff>
    </xdr:from>
    <xdr:to>
      <xdr:col>1</xdr:col>
      <xdr:colOff>929360</xdr:colOff>
      <xdr:row>41</xdr:row>
      <xdr:rowOff>24526</xdr:rowOff>
    </xdr:to>
    <xdr:sp macro="" textlink="">
      <xdr:nvSpPr>
        <xdr:cNvPr id="6" name="Oval 5"/>
        <xdr:cNvSpPr/>
      </xdr:nvSpPr>
      <xdr:spPr>
        <a:xfrm>
          <a:off x="3100443" y="6886471"/>
          <a:ext cx="895967" cy="205605"/>
        </a:xfrm>
        <a:prstGeom prst="ellipse">
          <a:avLst/>
        </a:prstGeom>
        <a:noFill/>
        <a:ln w="9525">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GB"/>
        </a:p>
      </xdr:txBody>
    </xdr:sp>
    <xdr:clientData/>
  </xdr:twoCellAnchor>
  <xdr:twoCellAnchor>
    <xdr:from>
      <xdr:col>1</xdr:col>
      <xdr:colOff>990600</xdr:colOff>
      <xdr:row>41</xdr:row>
      <xdr:rowOff>38100</xdr:rowOff>
    </xdr:from>
    <xdr:to>
      <xdr:col>1</xdr:col>
      <xdr:colOff>1162050</xdr:colOff>
      <xdr:row>41</xdr:row>
      <xdr:rowOff>142875</xdr:rowOff>
    </xdr:to>
    <xdr:sp macro="" textlink="">
      <xdr:nvSpPr>
        <xdr:cNvPr id="7" name="Oval 6"/>
        <xdr:cNvSpPr/>
      </xdr:nvSpPr>
      <xdr:spPr>
        <a:xfrm>
          <a:off x="4057650" y="7105650"/>
          <a:ext cx="171450" cy="104775"/>
        </a:xfrm>
        <a:prstGeom prst="ellipse">
          <a:avLst/>
        </a:prstGeom>
        <a:solidFill>
          <a:schemeClr val="bg1"/>
        </a:solidFill>
        <a:ln w="254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75</xdr:row>
      <xdr:rowOff>9525</xdr:rowOff>
    </xdr:from>
    <xdr:to>
      <xdr:col>27</xdr:col>
      <xdr:colOff>104775</xdr:colOff>
      <xdr:row>97</xdr:row>
      <xdr:rowOff>47625</xdr:rowOff>
    </xdr:to>
    <xdr:graphicFrame macro="">
      <xdr:nvGraphicFramePr>
        <xdr:cNvPr id="481328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85725</xdr:rowOff>
    </xdr:from>
    <xdr:to>
      <xdr:col>12</xdr:col>
      <xdr:colOff>123825</xdr:colOff>
      <xdr:row>72</xdr:row>
      <xdr:rowOff>123825</xdr:rowOff>
    </xdr:to>
    <xdr:graphicFrame macro="">
      <xdr:nvGraphicFramePr>
        <xdr:cNvPr id="481328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9525</xdr:rowOff>
    </xdr:from>
    <xdr:to>
      <xdr:col>12</xdr:col>
      <xdr:colOff>123825</xdr:colOff>
      <xdr:row>97</xdr:row>
      <xdr:rowOff>47625</xdr:rowOff>
    </xdr:to>
    <xdr:graphicFrame macro="">
      <xdr:nvGraphicFramePr>
        <xdr:cNvPr id="48132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1</xdr:colOff>
      <xdr:row>175</xdr:row>
      <xdr:rowOff>4</xdr:rowOff>
    </xdr:from>
    <xdr:to>
      <xdr:col>27</xdr:col>
      <xdr:colOff>104775</xdr:colOff>
      <xdr:row>201</xdr:row>
      <xdr:rowOff>109954</xdr:rowOff>
    </xdr:to>
    <xdr:pic>
      <xdr:nvPicPr>
        <xdr:cNvPr id="10" name="Picture 9"/>
        <xdr:cNvPicPr>
          <a:picLocks noChangeAspect="1"/>
        </xdr:cNvPicPr>
      </xdr:nvPicPr>
      <xdr:blipFill>
        <a:blip xmlns:r="http://schemas.openxmlformats.org/officeDocument/2006/relationships" r:embed="rId4" cstate="print"/>
        <a:stretch>
          <a:fillRect/>
        </a:stretch>
      </xdr:blipFill>
      <xdr:spPr>
        <a:xfrm>
          <a:off x="9124951" y="29813254"/>
          <a:ext cx="8639174" cy="4320000"/>
        </a:xfrm>
        <a:prstGeom prst="rect">
          <a:avLst/>
        </a:prstGeom>
      </xdr:spPr>
    </xdr:pic>
    <xdr:clientData/>
  </xdr:twoCellAnchor>
  <xdr:twoCellAnchor editAs="oneCell">
    <xdr:from>
      <xdr:col>0</xdr:col>
      <xdr:colOff>0</xdr:colOff>
      <xdr:row>100</xdr:row>
      <xdr:rowOff>0</xdr:rowOff>
    </xdr:from>
    <xdr:to>
      <xdr:col>12</xdr:col>
      <xdr:colOff>123825</xdr:colOff>
      <xdr:row>122</xdr:row>
      <xdr:rowOff>37650</xdr:rowOff>
    </xdr:to>
    <xdr:pic>
      <xdr:nvPicPr>
        <xdr:cNvPr id="2" name="Picture 1"/>
        <xdr:cNvPicPr>
          <a:picLocks noChangeAspect="1"/>
        </xdr:cNvPicPr>
      </xdr:nvPicPr>
      <xdr:blipFill>
        <a:blip xmlns:r="http://schemas.openxmlformats.org/officeDocument/2006/relationships" r:embed="rId5" cstate="print"/>
        <a:stretch>
          <a:fillRect/>
        </a:stretch>
      </xdr:blipFill>
      <xdr:spPr>
        <a:xfrm>
          <a:off x="0" y="17649825"/>
          <a:ext cx="8639175" cy="3600000"/>
        </a:xfrm>
        <a:prstGeom prst="rect">
          <a:avLst/>
        </a:prstGeom>
      </xdr:spPr>
    </xdr:pic>
    <xdr:clientData/>
  </xdr:twoCellAnchor>
  <xdr:twoCellAnchor editAs="oneCell">
    <xdr:from>
      <xdr:col>12</xdr:col>
      <xdr:colOff>609599</xdr:colOff>
      <xdr:row>100</xdr:row>
      <xdr:rowOff>0</xdr:rowOff>
    </xdr:from>
    <xdr:to>
      <xdr:col>27</xdr:col>
      <xdr:colOff>104774</xdr:colOff>
      <xdr:row>122</xdr:row>
      <xdr:rowOff>37650</xdr:rowOff>
    </xdr:to>
    <xdr:pic>
      <xdr:nvPicPr>
        <xdr:cNvPr id="11" name="Picture 10"/>
        <xdr:cNvPicPr>
          <a:picLocks noChangeAspect="1"/>
        </xdr:cNvPicPr>
      </xdr:nvPicPr>
      <xdr:blipFill>
        <a:blip xmlns:r="http://schemas.openxmlformats.org/officeDocument/2006/relationships" r:embed="rId6" cstate="print"/>
        <a:stretch>
          <a:fillRect/>
        </a:stretch>
      </xdr:blipFill>
      <xdr:spPr>
        <a:xfrm>
          <a:off x="9124949" y="17649825"/>
          <a:ext cx="8639175" cy="3600000"/>
        </a:xfrm>
        <a:prstGeom prst="rect">
          <a:avLst/>
        </a:prstGeom>
      </xdr:spPr>
    </xdr:pic>
    <xdr:clientData/>
  </xdr:twoCellAnchor>
  <xdr:twoCellAnchor editAs="oneCell">
    <xdr:from>
      <xdr:col>0</xdr:col>
      <xdr:colOff>0</xdr:colOff>
      <xdr:row>125</xdr:row>
      <xdr:rowOff>0</xdr:rowOff>
    </xdr:from>
    <xdr:to>
      <xdr:col>12</xdr:col>
      <xdr:colOff>123825</xdr:colOff>
      <xdr:row>147</xdr:row>
      <xdr:rowOff>37650</xdr:rowOff>
    </xdr:to>
    <xdr:pic>
      <xdr:nvPicPr>
        <xdr:cNvPr id="12" name="Picture 11"/>
        <xdr:cNvPicPr>
          <a:picLocks noChangeAspect="1"/>
        </xdr:cNvPicPr>
      </xdr:nvPicPr>
      <xdr:blipFill>
        <a:blip xmlns:r="http://schemas.openxmlformats.org/officeDocument/2006/relationships" r:embed="rId7" cstate="print"/>
        <a:stretch>
          <a:fillRect/>
        </a:stretch>
      </xdr:blipFill>
      <xdr:spPr>
        <a:xfrm>
          <a:off x="0" y="21717000"/>
          <a:ext cx="8639175" cy="3600000"/>
        </a:xfrm>
        <a:prstGeom prst="rect">
          <a:avLst/>
        </a:prstGeom>
      </xdr:spPr>
    </xdr:pic>
    <xdr:clientData/>
  </xdr:twoCellAnchor>
  <xdr:twoCellAnchor editAs="oneCell">
    <xdr:from>
      <xdr:col>12</xdr:col>
      <xdr:colOff>609599</xdr:colOff>
      <xdr:row>125</xdr:row>
      <xdr:rowOff>0</xdr:rowOff>
    </xdr:from>
    <xdr:to>
      <xdr:col>27</xdr:col>
      <xdr:colOff>104774</xdr:colOff>
      <xdr:row>147</xdr:row>
      <xdr:rowOff>37650</xdr:rowOff>
    </xdr:to>
    <xdr:pic>
      <xdr:nvPicPr>
        <xdr:cNvPr id="13" name="Picture 12"/>
        <xdr:cNvPicPr>
          <a:picLocks noChangeAspect="1"/>
        </xdr:cNvPicPr>
      </xdr:nvPicPr>
      <xdr:blipFill>
        <a:blip xmlns:r="http://schemas.openxmlformats.org/officeDocument/2006/relationships" r:embed="rId8" cstate="print"/>
        <a:stretch>
          <a:fillRect/>
        </a:stretch>
      </xdr:blipFill>
      <xdr:spPr>
        <a:xfrm>
          <a:off x="9124949" y="21717000"/>
          <a:ext cx="8639175" cy="3600000"/>
        </a:xfrm>
        <a:prstGeom prst="rect">
          <a:avLst/>
        </a:prstGeom>
      </xdr:spPr>
    </xdr:pic>
    <xdr:clientData/>
  </xdr:twoCellAnchor>
  <xdr:twoCellAnchor editAs="oneCell">
    <xdr:from>
      <xdr:col>0</xdr:col>
      <xdr:colOff>0</xdr:colOff>
      <xdr:row>150</xdr:row>
      <xdr:rowOff>0</xdr:rowOff>
    </xdr:from>
    <xdr:to>
      <xdr:col>12</xdr:col>
      <xdr:colOff>123824</xdr:colOff>
      <xdr:row>172</xdr:row>
      <xdr:rowOff>37650</xdr:rowOff>
    </xdr:to>
    <xdr:pic>
      <xdr:nvPicPr>
        <xdr:cNvPr id="14" name="Picture 13"/>
        <xdr:cNvPicPr>
          <a:picLocks noChangeAspect="1"/>
        </xdr:cNvPicPr>
      </xdr:nvPicPr>
      <xdr:blipFill>
        <a:blip xmlns:r="http://schemas.openxmlformats.org/officeDocument/2006/relationships" r:embed="rId9" cstate="print"/>
        <a:stretch>
          <a:fillRect/>
        </a:stretch>
      </xdr:blipFill>
      <xdr:spPr>
        <a:xfrm>
          <a:off x="0" y="25765125"/>
          <a:ext cx="8639174" cy="3600000"/>
        </a:xfrm>
        <a:prstGeom prst="rect">
          <a:avLst/>
        </a:prstGeom>
      </xdr:spPr>
    </xdr:pic>
    <xdr:clientData/>
  </xdr:twoCellAnchor>
  <xdr:twoCellAnchor editAs="oneCell">
    <xdr:from>
      <xdr:col>13</xdr:col>
      <xdr:colOff>0</xdr:colOff>
      <xdr:row>150</xdr:row>
      <xdr:rowOff>0</xdr:rowOff>
    </xdr:from>
    <xdr:to>
      <xdr:col>27</xdr:col>
      <xdr:colOff>104775</xdr:colOff>
      <xdr:row>172</xdr:row>
      <xdr:rowOff>37650</xdr:rowOff>
    </xdr:to>
    <xdr:pic>
      <xdr:nvPicPr>
        <xdr:cNvPr id="15" name="Picture 14"/>
        <xdr:cNvPicPr>
          <a:picLocks noChangeAspect="1"/>
        </xdr:cNvPicPr>
      </xdr:nvPicPr>
      <xdr:blipFill>
        <a:blip xmlns:r="http://schemas.openxmlformats.org/officeDocument/2006/relationships" r:embed="rId10" cstate="print"/>
        <a:stretch>
          <a:fillRect/>
        </a:stretch>
      </xdr:blipFill>
      <xdr:spPr>
        <a:xfrm>
          <a:off x="9124950" y="25765125"/>
          <a:ext cx="8639175" cy="3600000"/>
        </a:xfrm>
        <a:prstGeom prst="rect">
          <a:avLst/>
        </a:prstGeom>
      </xdr:spPr>
    </xdr:pic>
    <xdr:clientData/>
  </xdr:twoCellAnchor>
  <xdr:twoCellAnchor editAs="oneCell">
    <xdr:from>
      <xdr:col>0</xdr:col>
      <xdr:colOff>1</xdr:colOff>
      <xdr:row>175</xdr:row>
      <xdr:rowOff>0</xdr:rowOff>
    </xdr:from>
    <xdr:to>
      <xdr:col>12</xdr:col>
      <xdr:colOff>123825</xdr:colOff>
      <xdr:row>197</xdr:row>
      <xdr:rowOff>37650</xdr:rowOff>
    </xdr:to>
    <xdr:pic>
      <xdr:nvPicPr>
        <xdr:cNvPr id="16" name="Picture 15"/>
        <xdr:cNvPicPr>
          <a:picLocks noChangeAspect="1"/>
        </xdr:cNvPicPr>
      </xdr:nvPicPr>
      <xdr:blipFill>
        <a:blip xmlns:r="http://schemas.openxmlformats.org/officeDocument/2006/relationships" r:embed="rId11" cstate="print"/>
        <a:stretch>
          <a:fillRect/>
        </a:stretch>
      </xdr:blipFill>
      <xdr:spPr>
        <a:xfrm>
          <a:off x="1" y="29813250"/>
          <a:ext cx="8639174"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19050</xdr:rowOff>
    </xdr:from>
    <xdr:to>
      <xdr:col>11</xdr:col>
      <xdr:colOff>458025</xdr:colOff>
      <xdr:row>49</xdr:row>
      <xdr:rowOff>56700</xdr:rowOff>
    </xdr:to>
    <xdr:graphicFrame macro="">
      <xdr:nvGraphicFramePr>
        <xdr:cNvPr id="632209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27</xdr:row>
      <xdr:rowOff>19050</xdr:rowOff>
    </xdr:from>
    <xdr:to>
      <xdr:col>27</xdr:col>
      <xdr:colOff>105599</xdr:colOff>
      <xdr:row>49</xdr:row>
      <xdr:rowOff>56700</xdr:rowOff>
    </xdr:to>
    <xdr:graphicFrame macro="">
      <xdr:nvGraphicFramePr>
        <xdr:cNvPr id="632209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53</xdr:row>
      <xdr:rowOff>19050</xdr:rowOff>
    </xdr:from>
    <xdr:to>
      <xdr:col>12</xdr:col>
      <xdr:colOff>48450</xdr:colOff>
      <xdr:row>74</xdr:row>
      <xdr:rowOff>161475</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53</xdr:row>
      <xdr:rowOff>0</xdr:rowOff>
    </xdr:from>
    <xdr:to>
      <xdr:col>27</xdr:col>
      <xdr:colOff>105600</xdr:colOff>
      <xdr:row>74</xdr:row>
      <xdr:rowOff>142425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0</xdr:rowOff>
    </xdr:from>
    <xdr:to>
      <xdr:col>12</xdr:col>
      <xdr:colOff>38925</xdr:colOff>
      <xdr:row>100</xdr:row>
      <xdr:rowOff>37650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0.20167</cdr:x>
      <cdr:y>0.13411</cdr:y>
    </cdr:from>
    <cdr:to>
      <cdr:x>0.41197</cdr:x>
      <cdr:y>0.24042</cdr:y>
    </cdr:to>
    <cdr:sp macro="" textlink="">
      <cdr:nvSpPr>
        <cdr:cNvPr id="2" name="Oval 1"/>
        <cdr:cNvSpPr/>
      </cdr:nvSpPr>
      <cdr:spPr>
        <a:xfrm xmlns:a="http://schemas.openxmlformats.org/drawingml/2006/main" rot="914860">
          <a:off x="1742421" y="498124"/>
          <a:ext cx="1816986" cy="394868"/>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0.30965</cdr:x>
      <cdr:y>0.34738</cdr:y>
    </cdr:from>
    <cdr:to>
      <cdr:x>0.49075</cdr:x>
      <cdr:y>0.44809</cdr:y>
    </cdr:to>
    <cdr:sp macro="" textlink="">
      <cdr:nvSpPr>
        <cdr:cNvPr id="3" name="Oval 2"/>
        <cdr:cNvSpPr/>
      </cdr:nvSpPr>
      <cdr:spPr>
        <a:xfrm xmlns:a="http://schemas.openxmlformats.org/drawingml/2006/main" rot="2047124">
          <a:off x="2675360" y="1290265"/>
          <a:ext cx="1564704" cy="374067"/>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userShapes>
</file>

<file path=xl/drawings/drawing14.xml><?xml version="1.0" encoding="utf-8"?>
<c:userShapes xmlns:c="http://schemas.openxmlformats.org/drawingml/2006/chart">
  <cdr:relSizeAnchor xmlns:cdr="http://schemas.openxmlformats.org/drawingml/2006/chartDrawing">
    <cdr:from>
      <cdr:x>0.44764</cdr:x>
      <cdr:y>0.20303</cdr:y>
    </cdr:from>
    <cdr:to>
      <cdr:x>0.93929</cdr:x>
      <cdr:y>0.20638</cdr:y>
    </cdr:to>
    <cdr:sp macro="" textlink="">
      <cdr:nvSpPr>
        <cdr:cNvPr id="3" name="Straight Connector 2"/>
        <cdr:cNvSpPr/>
      </cdr:nvSpPr>
      <cdr:spPr>
        <a:xfrm xmlns:a="http://schemas.openxmlformats.org/drawingml/2006/main" flipH="1">
          <a:off x="3952875" y="730902"/>
          <a:ext cx="4341556" cy="1204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0.44764</cdr:x>
      <cdr:y>0.20108</cdr:y>
    </cdr:from>
    <cdr:to>
      <cdr:x>0.4483</cdr:x>
      <cdr:y>0.79375</cdr:y>
    </cdr:to>
    <cdr:sp macro="" textlink="">
      <cdr:nvSpPr>
        <cdr:cNvPr id="5" name="Straight Connector 4"/>
        <cdr:cNvSpPr/>
      </cdr:nvSpPr>
      <cdr:spPr>
        <a:xfrm xmlns:a="http://schemas.openxmlformats.org/drawingml/2006/main" flipH="1">
          <a:off x="3952875" y="723882"/>
          <a:ext cx="5821" cy="213361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0.7607</cdr:x>
      <cdr:y>0.20884</cdr:y>
    </cdr:from>
    <cdr:to>
      <cdr:x>0.93912</cdr:x>
      <cdr:y>0.35011</cdr:y>
    </cdr:to>
    <cdr:sp macro="" textlink="">
      <cdr:nvSpPr>
        <cdr:cNvPr id="6" name="Rectangle 5"/>
        <cdr:cNvSpPr/>
      </cdr:nvSpPr>
      <cdr:spPr>
        <a:xfrm xmlns:a="http://schemas.openxmlformats.org/drawingml/2006/main">
          <a:off x="6717373" y="751830"/>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5.xml><?xml version="1.0" encoding="utf-8"?>
<c:userShapes xmlns:c="http://schemas.openxmlformats.org/drawingml/2006/chart">
  <cdr:relSizeAnchor xmlns:cdr="http://schemas.openxmlformats.org/drawingml/2006/chartDrawing">
    <cdr:from>
      <cdr:x>0.11906</cdr:x>
      <cdr:y>0.18736</cdr:y>
    </cdr:from>
    <cdr:to>
      <cdr:x>0.92718</cdr:x>
      <cdr:y>0.18785</cdr:y>
    </cdr:to>
    <cdr:sp macro="" textlink="">
      <cdr:nvSpPr>
        <cdr:cNvPr id="3" name="Straight Connector 2"/>
        <cdr:cNvSpPr/>
      </cdr:nvSpPr>
      <cdr:spPr>
        <a:xfrm xmlns:a="http://schemas.openxmlformats.org/drawingml/2006/main" flipH="1">
          <a:off x="1028700" y="674507"/>
          <a:ext cx="6982126" cy="1767"/>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0.12457</cdr:x>
      <cdr:y>0.17726</cdr:y>
    </cdr:from>
    <cdr:to>
      <cdr:x>0.12477</cdr:x>
      <cdr:y>0.7964</cdr:y>
    </cdr:to>
    <cdr:sp macro="" textlink="">
      <cdr:nvSpPr>
        <cdr:cNvPr id="5" name="Straight Connector 4"/>
        <cdr:cNvSpPr/>
      </cdr:nvSpPr>
      <cdr:spPr>
        <a:xfrm xmlns:a="http://schemas.openxmlformats.org/drawingml/2006/main" flipH="1">
          <a:off x="1076325" y="638120"/>
          <a:ext cx="1688" cy="2228905"/>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0.77308</cdr:x>
      <cdr:y>0.19192</cdr:y>
    </cdr:from>
    <cdr:to>
      <cdr:x>0.92825</cdr:x>
      <cdr:y>0.33198</cdr:y>
    </cdr:to>
    <cdr:sp macro="" textlink="">
      <cdr:nvSpPr>
        <cdr:cNvPr id="6" name="Rectangle 5"/>
        <cdr:cNvSpPr/>
      </cdr:nvSpPr>
      <cdr:spPr>
        <a:xfrm xmlns:a="http://schemas.openxmlformats.org/drawingml/2006/main">
          <a:off x="6679369" y="690912"/>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31</xdr:row>
      <xdr:rowOff>19050</xdr:rowOff>
    </xdr:from>
    <xdr:to>
      <xdr:col>11</xdr:col>
      <xdr:colOff>323850</xdr:colOff>
      <xdr:row>53</xdr:row>
      <xdr:rowOff>57150</xdr:rowOff>
    </xdr:to>
    <xdr:graphicFrame macro="">
      <xdr:nvGraphicFramePr>
        <xdr:cNvPr id="565194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383385</xdr:colOff>
      <xdr:row>31</xdr:row>
      <xdr:rowOff>140428</xdr:rowOff>
    </xdr:from>
    <xdr:to>
      <xdr:col>5</xdr:col>
      <xdr:colOff>281706</xdr:colOff>
      <xdr:row>43</xdr:row>
      <xdr:rowOff>96917</xdr:rowOff>
    </xdr:to>
    <xdr:sp macro="" textlink="">
      <xdr:nvSpPr>
        <xdr:cNvPr id="5" name="Oval 4"/>
        <xdr:cNvSpPr/>
      </xdr:nvSpPr>
      <xdr:spPr>
        <a:xfrm rot="19426429">
          <a:off x="4241010" y="5160103"/>
          <a:ext cx="555546" cy="1899589"/>
        </a:xfrm>
        <a:prstGeom prst="ellipse">
          <a:avLst/>
        </a:prstGeom>
        <a:no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13</xdr:col>
      <xdr:colOff>9525</xdr:colOff>
      <xdr:row>31</xdr:row>
      <xdr:rowOff>19050</xdr:rowOff>
    </xdr:from>
    <xdr:to>
      <xdr:col>27</xdr:col>
      <xdr:colOff>19050</xdr:colOff>
      <xdr:row>53</xdr:row>
      <xdr:rowOff>57150</xdr:rowOff>
    </xdr:to>
    <xdr:graphicFrame macro="">
      <xdr:nvGraphicFramePr>
        <xdr:cNvPr id="565194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12</xdr:col>
      <xdr:colOff>825</xdr:colOff>
      <xdr:row>78</xdr:row>
      <xdr:rowOff>37650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56</xdr:row>
      <xdr:rowOff>0</xdr:rowOff>
    </xdr:from>
    <xdr:to>
      <xdr:col>27</xdr:col>
      <xdr:colOff>105600</xdr:colOff>
      <xdr:row>78</xdr:row>
      <xdr:rowOff>37650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81</xdr:row>
      <xdr:rowOff>0</xdr:rowOff>
    </xdr:from>
    <xdr:to>
      <xdr:col>12</xdr:col>
      <xdr:colOff>825</xdr:colOff>
      <xdr:row>103</xdr:row>
      <xdr:rowOff>37650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0.42996</cdr:x>
      <cdr:y>0.14962</cdr:y>
    </cdr:from>
    <cdr:to>
      <cdr:x>0.64329</cdr:x>
      <cdr:y>0.32795</cdr:y>
    </cdr:to>
    <cdr:sp macro="" textlink="">
      <cdr:nvSpPr>
        <cdr:cNvPr id="3" name="Oval 2"/>
        <cdr:cNvSpPr/>
      </cdr:nvSpPr>
      <cdr:spPr>
        <a:xfrm xmlns:a="http://schemas.openxmlformats.org/drawingml/2006/main" rot="2584513">
          <a:off x="3673575" y="538695"/>
          <a:ext cx="1822634" cy="642069"/>
        </a:xfrm>
        <a:prstGeom xmlns:a="http://schemas.openxmlformats.org/drawingml/2006/main" prst="ellipse">
          <a:avLst/>
        </a:prstGeom>
        <a:noFill xmlns:a="http://schemas.openxmlformats.org/drawingml/2006/main"/>
        <a:ln xmlns:a="http://schemas.openxmlformats.org/drawingml/2006/main" w="9525" cmpd="sng">
          <a:solidFill>
            <a:schemeClr val="bg1">
              <a:lumMod val="65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18.xml><?xml version="1.0" encoding="utf-8"?>
<c:userShapes xmlns:c="http://schemas.openxmlformats.org/drawingml/2006/chart">
  <cdr:relSizeAnchor xmlns:cdr="http://schemas.openxmlformats.org/drawingml/2006/chartDrawing">
    <cdr:from>
      <cdr:x>0.39491</cdr:x>
      <cdr:y>0.21097</cdr:y>
    </cdr:from>
    <cdr:to>
      <cdr:x>0.93714</cdr:x>
      <cdr:y>0.2125</cdr:y>
    </cdr:to>
    <cdr:sp macro="" textlink="">
      <cdr:nvSpPr>
        <cdr:cNvPr id="3" name="Straight Connector 2"/>
        <cdr:cNvSpPr/>
      </cdr:nvSpPr>
      <cdr:spPr>
        <a:xfrm xmlns:a="http://schemas.openxmlformats.org/drawingml/2006/main" flipH="1">
          <a:off x="3487219" y="759477"/>
          <a:ext cx="4788162" cy="550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0.39329</cdr:x>
      <cdr:y>0.21431</cdr:y>
    </cdr:from>
    <cdr:to>
      <cdr:x>0.39586</cdr:x>
      <cdr:y>0.81492</cdr:y>
    </cdr:to>
    <cdr:sp macro="" textlink="">
      <cdr:nvSpPr>
        <cdr:cNvPr id="5" name="Straight Connector 4"/>
        <cdr:cNvSpPr/>
      </cdr:nvSpPr>
      <cdr:spPr>
        <a:xfrm xmlns:a="http://schemas.openxmlformats.org/drawingml/2006/main">
          <a:off x="3472921" y="771506"/>
          <a:ext cx="22754" cy="216219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0.75747</cdr:x>
      <cdr:y>0.21149</cdr:y>
    </cdr:from>
    <cdr:to>
      <cdr:x>0.93589</cdr:x>
      <cdr:y>0.35276</cdr:y>
    </cdr:to>
    <cdr:sp macro="" textlink="">
      <cdr:nvSpPr>
        <cdr:cNvPr id="6" name="Rectangle 5"/>
        <cdr:cNvSpPr/>
      </cdr:nvSpPr>
      <cdr:spPr>
        <a:xfrm xmlns:a="http://schemas.openxmlformats.org/drawingml/2006/main">
          <a:off x="6688798" y="761355"/>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9.xml><?xml version="1.0" encoding="utf-8"?>
<c:userShapes xmlns:c="http://schemas.openxmlformats.org/drawingml/2006/chart">
  <cdr:relSizeAnchor xmlns:cdr="http://schemas.openxmlformats.org/drawingml/2006/chartDrawing">
    <cdr:from>
      <cdr:x>0.29655</cdr:x>
      <cdr:y>0.1905</cdr:y>
    </cdr:from>
    <cdr:to>
      <cdr:x>0.92938</cdr:x>
      <cdr:y>0.19266</cdr:y>
    </cdr:to>
    <cdr:sp macro="" textlink="">
      <cdr:nvSpPr>
        <cdr:cNvPr id="3" name="Straight Connector 2"/>
        <cdr:cNvSpPr/>
      </cdr:nvSpPr>
      <cdr:spPr>
        <a:xfrm xmlns:a="http://schemas.openxmlformats.org/drawingml/2006/main" flipH="1" flipV="1">
          <a:off x="2562224" y="685800"/>
          <a:ext cx="5467651" cy="775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0.29454</cdr:x>
      <cdr:y>0.18519</cdr:y>
    </cdr:from>
    <cdr:to>
      <cdr:x>0.29545</cdr:x>
      <cdr:y>0.80963</cdr:y>
    </cdr:to>
    <cdr:sp macro="" textlink="">
      <cdr:nvSpPr>
        <cdr:cNvPr id="5" name="Straight Connector 4"/>
        <cdr:cNvSpPr/>
      </cdr:nvSpPr>
      <cdr:spPr>
        <a:xfrm xmlns:a="http://schemas.openxmlformats.org/drawingml/2006/main">
          <a:off x="2544862" y="666696"/>
          <a:ext cx="7837" cy="2247954"/>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0.77197</cdr:x>
      <cdr:y>0.19457</cdr:y>
    </cdr:from>
    <cdr:to>
      <cdr:x>0.92714</cdr:x>
      <cdr:y>0.33463</cdr:y>
    </cdr:to>
    <cdr:sp macro="" textlink="">
      <cdr:nvSpPr>
        <cdr:cNvPr id="6" name="Rectangle 5"/>
        <cdr:cNvSpPr/>
      </cdr:nvSpPr>
      <cdr:spPr>
        <a:xfrm xmlns:a="http://schemas.openxmlformats.org/drawingml/2006/main">
          <a:off x="6669844" y="700437"/>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11</xdr:col>
      <xdr:colOff>124650</xdr:colOff>
      <xdr:row>53</xdr:row>
      <xdr:rowOff>57150</xdr:rowOff>
    </xdr:to>
    <xdr:graphicFrame macro="">
      <xdr:nvGraphicFramePr>
        <xdr:cNvPr id="589664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106</xdr:row>
      <xdr:rowOff>19050</xdr:rowOff>
    </xdr:from>
    <xdr:to>
      <xdr:col>11</xdr:col>
      <xdr:colOff>124650</xdr:colOff>
      <xdr:row>128</xdr:row>
      <xdr:rowOff>56700</xdr:rowOff>
    </xdr:to>
    <xdr:graphicFrame macro="">
      <xdr:nvGraphicFramePr>
        <xdr:cNvPr id="58966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106</xdr:row>
      <xdr:rowOff>19050</xdr:rowOff>
    </xdr:from>
    <xdr:to>
      <xdr:col>26</xdr:col>
      <xdr:colOff>105600</xdr:colOff>
      <xdr:row>128</xdr:row>
      <xdr:rowOff>56700</xdr:rowOff>
    </xdr:to>
    <xdr:graphicFrame macro="">
      <xdr:nvGraphicFramePr>
        <xdr:cNvPr id="58966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31</xdr:row>
      <xdr:rowOff>19050</xdr:rowOff>
    </xdr:from>
    <xdr:to>
      <xdr:col>25</xdr:col>
      <xdr:colOff>48450</xdr:colOff>
      <xdr:row>53</xdr:row>
      <xdr:rowOff>57150</xdr:rowOff>
    </xdr:to>
    <xdr:graphicFrame macro="">
      <xdr:nvGraphicFramePr>
        <xdr:cNvPr id="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56</xdr:row>
      <xdr:rowOff>38100</xdr:rowOff>
    </xdr:from>
    <xdr:to>
      <xdr:col>11</xdr:col>
      <xdr:colOff>134175</xdr:colOff>
      <xdr:row>78</xdr:row>
      <xdr:rowOff>104775</xdr:rowOff>
    </xdr:to>
    <xdr:graphicFrame macro="">
      <xdr:nvGraphicFramePr>
        <xdr:cNvPr id="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56</xdr:row>
      <xdr:rowOff>28575</xdr:rowOff>
    </xdr:from>
    <xdr:to>
      <xdr:col>25</xdr:col>
      <xdr:colOff>38925</xdr:colOff>
      <xdr:row>78</xdr:row>
      <xdr:rowOff>95250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81</xdr:row>
      <xdr:rowOff>28575</xdr:rowOff>
    </xdr:from>
    <xdr:to>
      <xdr:col>11</xdr:col>
      <xdr:colOff>134175</xdr:colOff>
      <xdr:row>103</xdr:row>
      <xdr:rowOff>95250</xdr:rowOff>
    </xdr:to>
    <xdr:graphicFrame macro="">
      <xdr:nvGraphicFramePr>
        <xdr:cNvPr id="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0</xdr:colOff>
      <xdr:row>9</xdr:row>
      <xdr:rowOff>19050</xdr:rowOff>
    </xdr:from>
    <xdr:to>
      <xdr:col>26</xdr:col>
      <xdr:colOff>104775</xdr:colOff>
      <xdr:row>28</xdr:row>
      <xdr:rowOff>57150</xdr:rowOff>
    </xdr:to>
    <xdr:graphicFrame macro="">
      <xdr:nvGraphicFramePr>
        <xdr:cNvPr id="37212954"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0.32719</cdr:x>
      <cdr:y>0.258</cdr:y>
    </cdr:from>
    <cdr:to>
      <cdr:x>0.50419</cdr:x>
      <cdr:y>0.29149</cdr:y>
    </cdr:to>
    <cdr:sp macro="" textlink="">
      <cdr:nvSpPr>
        <cdr:cNvPr id="235523" name="Text Box 3"/>
        <cdr:cNvSpPr txBox="1">
          <a:spLocks xmlns:a="http://schemas.openxmlformats.org/drawingml/2006/main" noChangeArrowheads="1"/>
        </cdr:cNvSpPr>
      </cdr:nvSpPr>
      <cdr:spPr bwMode="auto">
        <a:xfrm xmlns:a="http://schemas.openxmlformats.org/drawingml/2006/main">
          <a:off x="3013619" y="1449896"/>
          <a:ext cx="1630289" cy="186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600" b="1" i="0" u="none" strike="noStrike" baseline="0">
              <a:solidFill>
                <a:srgbClr val="000000"/>
              </a:solidFill>
              <a:latin typeface="Arial"/>
              <a:cs typeface="Arial"/>
            </a:rPr>
            <a:t> </a:t>
          </a:r>
        </a:p>
      </cdr:txBody>
    </cdr:sp>
  </cdr:relSizeAnchor>
  <cdr:relSizeAnchor xmlns:cdr="http://schemas.openxmlformats.org/drawingml/2006/chartDrawing">
    <cdr:from>
      <cdr:x>0.51268</cdr:x>
      <cdr:y>0.13757</cdr:y>
    </cdr:from>
    <cdr:to>
      <cdr:x>0.74456</cdr:x>
      <cdr:y>0.26657</cdr:y>
    </cdr:to>
    <cdr:sp macro="" textlink="">
      <cdr:nvSpPr>
        <cdr:cNvPr id="235524" name="Text Box 4"/>
        <cdr:cNvSpPr txBox="1">
          <a:spLocks xmlns:a="http://schemas.openxmlformats.org/drawingml/2006/main" noChangeArrowheads="1"/>
        </cdr:cNvSpPr>
      </cdr:nvSpPr>
      <cdr:spPr bwMode="auto">
        <a:xfrm xmlns:a="http://schemas.openxmlformats.org/drawingml/2006/main">
          <a:off x="4429174" y="495296"/>
          <a:ext cx="2003252" cy="4644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GB" sz="800" b="0" i="0" baseline="0">
              <a:latin typeface="Arial" pitchFamily="34" charset="0"/>
              <a:ea typeface="+mn-ea"/>
              <a:cs typeface="Arial" pitchFamily="34" charset="0"/>
            </a:rPr>
            <a:t>17% reduction in rate from Baseline Median (1.91) from Jan 2013 - so a new median was calculated which is 1.58</a:t>
          </a:r>
          <a:endParaRPr lang="en-GB" sz="800" b="0">
            <a:latin typeface="Arial" pitchFamily="34" charset="0"/>
            <a:cs typeface="Arial" pitchFamily="34" charset="0"/>
          </a:endParaRPr>
        </a:p>
      </cdr:txBody>
    </cdr:sp>
  </cdr:relSizeAnchor>
  <cdr:relSizeAnchor xmlns:cdr="http://schemas.openxmlformats.org/drawingml/2006/chartDrawing">
    <cdr:from>
      <cdr:x>0.42889</cdr:x>
      <cdr:y>0.65873</cdr:y>
    </cdr:from>
    <cdr:to>
      <cdr:x>0.659</cdr:x>
      <cdr:y>0.7135</cdr:y>
    </cdr:to>
    <cdr:sp macro="" textlink="">
      <cdr:nvSpPr>
        <cdr:cNvPr id="235525" name="Text Box 5"/>
        <cdr:cNvSpPr txBox="1">
          <a:spLocks xmlns:a="http://schemas.openxmlformats.org/drawingml/2006/main" noChangeArrowheads="1"/>
        </cdr:cNvSpPr>
      </cdr:nvSpPr>
      <cdr:spPr bwMode="auto">
        <a:xfrm xmlns:a="http://schemas.openxmlformats.org/drawingml/2006/main">
          <a:off x="3705225" y="2371726"/>
          <a:ext cx="1987991" cy="1971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800" b="0" i="0" u="none" strike="noStrike" baseline="0">
              <a:solidFill>
                <a:srgbClr val="FF0000"/>
              </a:solidFill>
              <a:latin typeface="Arial"/>
              <a:cs typeface="Arial"/>
            </a:rPr>
            <a:t>Target Median = 50% reduction to 0.95 (max)</a:t>
          </a:r>
        </a:p>
      </cdr:txBody>
    </cdr:sp>
  </cdr:relSizeAnchor>
  <cdr:relSizeAnchor xmlns:cdr="http://schemas.openxmlformats.org/drawingml/2006/chartDrawing">
    <cdr:from>
      <cdr:x>0.12319</cdr:x>
      <cdr:y>0.02042</cdr:y>
    </cdr:from>
    <cdr:to>
      <cdr:x>0.8975</cdr:x>
      <cdr:y>0.08466</cdr:y>
    </cdr:to>
    <cdr:sp macro="" textlink="">
      <cdr:nvSpPr>
        <cdr:cNvPr id="235526" name="Text Box 6"/>
        <cdr:cNvSpPr txBox="1">
          <a:spLocks xmlns:a="http://schemas.openxmlformats.org/drawingml/2006/main" noChangeArrowheads="1"/>
        </cdr:cNvSpPr>
      </cdr:nvSpPr>
      <cdr:spPr bwMode="auto">
        <a:xfrm xmlns:a="http://schemas.openxmlformats.org/drawingml/2006/main">
          <a:off x="1064260" y="73521"/>
          <a:ext cx="6689400" cy="23127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a:cs typeface="Arial"/>
            </a:rPr>
            <a:t>(excluding A&amp;E, ARAU Trolleys, ITU, CCU, Cath Lab, Out Patient, Daycase, Obstetrics)</a:t>
          </a:r>
        </a:p>
      </cdr:txBody>
    </cdr:sp>
  </cdr:relSizeAnchor>
  <cdr:relSizeAnchor xmlns:cdr="http://schemas.openxmlformats.org/drawingml/2006/chartDrawing">
    <cdr:from>
      <cdr:x>0.76516</cdr:x>
      <cdr:y>0.62434</cdr:y>
    </cdr:from>
    <cdr:to>
      <cdr:x>0.99449</cdr:x>
      <cdr:y>0.74868</cdr:y>
    </cdr:to>
    <cdr:sp macro="" textlink="">
      <cdr:nvSpPr>
        <cdr:cNvPr id="6" name="TextBox 1"/>
        <cdr:cNvSpPr txBox="1"/>
      </cdr:nvSpPr>
      <cdr:spPr>
        <a:xfrm xmlns:a="http://schemas.openxmlformats.org/drawingml/2006/main">
          <a:off x="6610351" y="2247905"/>
          <a:ext cx="1981199" cy="44767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rtl="0" fontAlgn="base"/>
          <a:r>
            <a:rPr lang="en-GB" sz="800" b="0" i="0" baseline="0">
              <a:latin typeface="Arial" pitchFamily="34" charset="0"/>
              <a:ea typeface="+mn-ea"/>
              <a:cs typeface="Arial" pitchFamily="34" charset="0"/>
            </a:rPr>
            <a:t>Increase was noted - i.e. an 8% reduction in rate from Baseline Median (1.91) from May 16  - so a New Median 2  was calculated of 1.76  </a:t>
          </a:r>
          <a:endParaRPr lang="en-GB" sz="800" b="1" i="0" baseline="0">
            <a:latin typeface="Arial" pitchFamily="34" charset="0"/>
            <a:ea typeface="+mn-ea"/>
            <a:cs typeface="Arial" pitchFamily="34" charset="0"/>
          </a:endParaRPr>
        </a:p>
        <a:p xmlns:a="http://schemas.openxmlformats.org/drawingml/2006/main">
          <a:pPr algn="l" rtl="0">
            <a:lnSpc>
              <a:spcPts val="1100"/>
            </a:lnSpc>
            <a:defRPr sz="1000"/>
          </a:pPr>
          <a:endParaRPr lang="en-GB" sz="900" b="1" i="0" u="none" strike="noStrike" baseline="0">
            <a:solidFill>
              <a:srgbClr val="000000"/>
            </a:solidFill>
            <a:latin typeface="Arial"/>
            <a:cs typeface="Arial"/>
          </a:endParaRPr>
        </a:p>
      </cdr:txBody>
    </cdr:sp>
  </cdr:relSizeAnchor>
  <cdr:relSizeAnchor xmlns:cdr="http://schemas.openxmlformats.org/drawingml/2006/chartDrawing">
    <cdr:from>
      <cdr:x>0.04741</cdr:x>
      <cdr:y>0.14021</cdr:y>
    </cdr:from>
    <cdr:to>
      <cdr:x>0.1753</cdr:x>
      <cdr:y>0.29894</cdr:y>
    </cdr:to>
    <cdr:sp macro="" textlink="">
      <cdr:nvSpPr>
        <cdr:cNvPr id="7" name="Rectangle 6"/>
        <cdr:cNvSpPr/>
      </cdr:nvSpPr>
      <cdr:spPr>
        <a:xfrm xmlns:a="http://schemas.openxmlformats.org/drawingml/2006/main">
          <a:off x="409575" y="504825"/>
          <a:ext cx="1104900" cy="571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chemeClr val="tx1"/>
              </a:solidFill>
              <a:latin typeface="Arial" pitchFamily="34" charset="0"/>
              <a:ea typeface="+mn-ea"/>
              <a:cs typeface="Arial" pitchFamily="34" charset="0"/>
            </a:rPr>
            <a:t>Baseline </a:t>
          </a:r>
          <a:r>
            <a:rPr lang="en-GB" sz="800" baseline="0">
              <a:solidFill>
                <a:schemeClr val="tx1"/>
              </a:solidFill>
              <a:latin typeface="Arial" pitchFamily="34" charset="0"/>
              <a:ea typeface="+mn-ea"/>
              <a:cs typeface="Arial" pitchFamily="34" charset="0"/>
            </a:rPr>
            <a:t> M</a:t>
          </a:r>
          <a:r>
            <a:rPr lang="en-GB" sz="800">
              <a:solidFill>
                <a:schemeClr val="tx1"/>
              </a:solidFill>
              <a:latin typeface="Arial" pitchFamily="34" charset="0"/>
              <a:ea typeface="+mn-ea"/>
              <a:cs typeface="Arial" pitchFamily="34" charset="0"/>
            </a:rPr>
            <a:t>edian  (</a:t>
          </a:r>
          <a:r>
            <a:rPr lang="en-GB" sz="800" baseline="0">
              <a:solidFill>
                <a:schemeClr val="tx1"/>
              </a:solidFill>
              <a:latin typeface="Arial" pitchFamily="34" charset="0"/>
              <a:ea typeface="+mn-ea"/>
              <a:cs typeface="Arial" pitchFamily="34" charset="0"/>
            </a:rPr>
            <a:t>2009)  =  1.91</a:t>
          </a:r>
          <a:endParaRPr lang="en-GB" sz="800">
            <a:solidFill>
              <a:schemeClr val="tx1"/>
            </a:solidFill>
            <a:latin typeface="Arial" pitchFamily="34" charset="0"/>
            <a:ea typeface="+mn-ea"/>
            <a:cs typeface="Arial" pitchFamily="34" charset="0"/>
          </a:endParaRPr>
        </a:p>
        <a:p xmlns:a="http://schemas.openxmlformats.org/drawingml/2006/main">
          <a:endParaRPr lang="en-US"/>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19050</xdr:colOff>
      <xdr:row>63</xdr:row>
      <xdr:rowOff>19049</xdr:rowOff>
    </xdr:from>
    <xdr:to>
      <xdr:col>6</xdr:col>
      <xdr:colOff>572325</xdr:colOff>
      <xdr:row>85</xdr:row>
      <xdr:rowOff>56699</xdr:rowOff>
    </xdr:to>
    <xdr:graphicFrame macro="">
      <xdr:nvGraphicFramePr>
        <xdr:cNvPr id="613858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1123950</xdr:colOff>
      <xdr:row>63</xdr:row>
      <xdr:rowOff>0</xdr:rowOff>
    </xdr:from>
    <xdr:to>
      <xdr:col>19</xdr:col>
      <xdr:colOff>505650</xdr:colOff>
      <xdr:row>85</xdr:row>
      <xdr:rowOff>38100</xdr:rowOff>
    </xdr:to>
    <xdr:graphicFrame macro="">
      <xdr:nvGraphicFramePr>
        <xdr:cNvPr id="613858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79</xdr:row>
      <xdr:rowOff>0</xdr:rowOff>
    </xdr:from>
    <xdr:to>
      <xdr:col>26</xdr:col>
      <xdr:colOff>247650</xdr:colOff>
      <xdr:row>101</xdr:row>
      <xdr:rowOff>38100</xdr:rowOff>
    </xdr:to>
    <xdr:graphicFrame macro="">
      <xdr:nvGraphicFramePr>
        <xdr:cNvPr id="5498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54</xdr:row>
      <xdr:rowOff>9526</xdr:rowOff>
    </xdr:from>
    <xdr:to>
      <xdr:col>11</xdr:col>
      <xdr:colOff>143699</xdr:colOff>
      <xdr:row>76</xdr:row>
      <xdr:rowOff>47176</xdr:rowOff>
    </xdr:to>
    <xdr:graphicFrame macro="">
      <xdr:nvGraphicFramePr>
        <xdr:cNvPr id="54987651" name="Content Placeholder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54</xdr:row>
      <xdr:rowOff>0</xdr:rowOff>
    </xdr:from>
    <xdr:to>
      <xdr:col>26</xdr:col>
      <xdr:colOff>238125</xdr:colOff>
      <xdr:row>76</xdr:row>
      <xdr:rowOff>38100</xdr:rowOff>
    </xdr:to>
    <xdr:graphicFrame macro="">
      <xdr:nvGraphicFramePr>
        <xdr:cNvPr id="54987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79</xdr:row>
      <xdr:rowOff>19050</xdr:rowOff>
    </xdr:from>
    <xdr:to>
      <xdr:col>11</xdr:col>
      <xdr:colOff>161925</xdr:colOff>
      <xdr:row>101</xdr:row>
      <xdr:rowOff>57150</xdr:rowOff>
    </xdr:to>
    <xdr:graphicFrame macro="">
      <xdr:nvGraphicFramePr>
        <xdr:cNvPr id="5498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104</xdr:row>
      <xdr:rowOff>19050</xdr:rowOff>
    </xdr:from>
    <xdr:to>
      <xdr:col>11</xdr:col>
      <xdr:colOff>161925</xdr:colOff>
      <xdr:row>126</xdr:row>
      <xdr:rowOff>57150</xdr:rowOff>
    </xdr:to>
    <xdr:graphicFrame macro="">
      <xdr:nvGraphicFramePr>
        <xdr:cNvPr id="54987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104</xdr:row>
      <xdr:rowOff>0</xdr:rowOff>
    </xdr:from>
    <xdr:to>
      <xdr:col>26</xdr:col>
      <xdr:colOff>257175</xdr:colOff>
      <xdr:row>126</xdr:row>
      <xdr:rowOff>38100</xdr:rowOff>
    </xdr:to>
    <xdr:graphicFrame macro="">
      <xdr:nvGraphicFramePr>
        <xdr:cNvPr id="54987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0.06063</cdr:x>
      <cdr:y>0.381</cdr:y>
    </cdr:from>
    <cdr:to>
      <cdr:x>0.43656</cdr:x>
      <cdr:y>0.727</cdr:y>
    </cdr:to>
    <cdr:sp macro="" textlink="">
      <cdr:nvSpPr>
        <cdr:cNvPr id="2" name="Rectangle 1"/>
        <cdr:cNvSpPr/>
      </cdr:nvSpPr>
      <cdr:spPr>
        <a:xfrm xmlns:a="http://schemas.openxmlformats.org/drawingml/2006/main">
          <a:off x="523876" y="1371599"/>
          <a:ext cx="3248026" cy="1245601"/>
        </a:xfrm>
        <a:prstGeom xmlns:a="http://schemas.openxmlformats.org/drawingml/2006/main" prst="rect">
          <a:avLst/>
        </a:prstGeom>
        <a:noFill xmlns:a="http://schemas.openxmlformats.org/drawingml/2006/main"/>
        <a:ln xmlns:a="http://schemas.openxmlformats.org/drawingml/2006/main" w="2222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0.15344</cdr:x>
      <cdr:y>0.6265</cdr:y>
    </cdr:from>
    <cdr:to>
      <cdr:x>0.43907</cdr:x>
      <cdr:y>0.69802</cdr:y>
    </cdr:to>
    <cdr:sp macro="" textlink="">
      <cdr:nvSpPr>
        <cdr:cNvPr id="3" name="TextBox 2"/>
        <cdr:cNvSpPr txBox="1"/>
      </cdr:nvSpPr>
      <cdr:spPr>
        <a:xfrm xmlns:a="http://schemas.openxmlformats.org/drawingml/2006/main">
          <a:off x="1273274" y="2806822"/>
          <a:ext cx="2347329" cy="32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latin typeface="Arial" pitchFamily="34" charset="0"/>
              <a:cs typeface="Arial" pitchFamily="34" charset="0"/>
            </a:rPr>
            <a:t>Previous Definition</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9525</xdr:colOff>
      <xdr:row>19</xdr:row>
      <xdr:rowOff>19050</xdr:rowOff>
    </xdr:from>
    <xdr:to>
      <xdr:col>12</xdr:col>
      <xdr:colOff>572325</xdr:colOff>
      <xdr:row>41</xdr:row>
      <xdr:rowOff>57150</xdr:rowOff>
    </xdr:to>
    <xdr:graphicFrame macro="">
      <xdr:nvGraphicFramePr>
        <xdr:cNvPr id="521501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44</xdr:row>
      <xdr:rowOff>9525</xdr:rowOff>
    </xdr:from>
    <xdr:to>
      <xdr:col>12</xdr:col>
      <xdr:colOff>572325</xdr:colOff>
      <xdr:row>66</xdr:row>
      <xdr:rowOff>47625</xdr:rowOff>
    </xdr:to>
    <xdr:graphicFrame macro="">
      <xdr:nvGraphicFramePr>
        <xdr:cNvPr id="521501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600075</xdr:colOff>
      <xdr:row>44</xdr:row>
      <xdr:rowOff>19050</xdr:rowOff>
    </xdr:from>
    <xdr:to>
      <xdr:col>28</xdr:col>
      <xdr:colOff>96075</xdr:colOff>
      <xdr:row>66</xdr:row>
      <xdr:rowOff>57150</xdr:rowOff>
    </xdr:to>
    <xdr:graphicFrame macro="">
      <xdr:nvGraphicFramePr>
        <xdr:cNvPr id="52150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600075</xdr:colOff>
      <xdr:row>19</xdr:row>
      <xdr:rowOff>19050</xdr:rowOff>
    </xdr:from>
    <xdr:to>
      <xdr:col>28</xdr:col>
      <xdr:colOff>96075</xdr:colOff>
      <xdr:row>41</xdr:row>
      <xdr:rowOff>57150</xdr:rowOff>
    </xdr:to>
    <xdr:graphicFrame macro="">
      <xdr:nvGraphicFramePr>
        <xdr:cNvPr id="521501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17</xdr:row>
      <xdr:rowOff>0</xdr:rowOff>
    </xdr:from>
    <xdr:to>
      <xdr:col>8</xdr:col>
      <xdr:colOff>172275</xdr:colOff>
      <xdr:row>39</xdr:row>
      <xdr:rowOff>38100</xdr:rowOff>
    </xdr:to>
    <xdr:graphicFrame macro="">
      <xdr:nvGraphicFramePr>
        <xdr:cNvPr id="4557646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0.87266</cdr:x>
      <cdr:y>0.88272</cdr:y>
    </cdr:from>
    <cdr:to>
      <cdr:x>0.99773</cdr:x>
      <cdr:y>0.98741</cdr:y>
    </cdr:to>
    <cdr:sp macro="" textlink="">
      <cdr:nvSpPr>
        <cdr:cNvPr id="3" name="TextBox 2"/>
        <cdr:cNvSpPr txBox="1"/>
      </cdr:nvSpPr>
      <cdr:spPr>
        <a:xfrm xmlns:a="http://schemas.openxmlformats.org/drawingml/2006/main">
          <a:off x="7755161" y="3337923"/>
          <a:ext cx="1111475" cy="395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Combined Calendar Years</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19050</xdr:colOff>
      <xdr:row>33</xdr:row>
      <xdr:rowOff>152400</xdr:rowOff>
    </xdr:from>
    <xdr:to>
      <xdr:col>12</xdr:col>
      <xdr:colOff>105600</xdr:colOff>
      <xdr:row>56</xdr:row>
      <xdr:rowOff>28575</xdr:rowOff>
    </xdr:to>
    <xdr:graphicFrame macro="">
      <xdr:nvGraphicFramePr>
        <xdr:cNvPr id="52002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34</xdr:row>
      <xdr:rowOff>9525</xdr:rowOff>
    </xdr:from>
    <xdr:to>
      <xdr:col>27</xdr:col>
      <xdr:colOff>124650</xdr:colOff>
      <xdr:row>56</xdr:row>
      <xdr:rowOff>47625</xdr:rowOff>
    </xdr:to>
    <xdr:graphicFrame macro="">
      <xdr:nvGraphicFramePr>
        <xdr:cNvPr id="520027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9525</xdr:rowOff>
    </xdr:from>
    <xdr:to>
      <xdr:col>12</xdr:col>
      <xdr:colOff>86550</xdr:colOff>
      <xdr:row>81</xdr:row>
      <xdr:rowOff>47625</xdr:rowOff>
    </xdr:to>
    <xdr:graphicFrame macro="">
      <xdr:nvGraphicFramePr>
        <xdr:cNvPr id="52002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59</xdr:row>
      <xdr:rowOff>9525</xdr:rowOff>
    </xdr:from>
    <xdr:to>
      <xdr:col>27</xdr:col>
      <xdr:colOff>105600</xdr:colOff>
      <xdr:row>81</xdr:row>
      <xdr:rowOff>47625</xdr:rowOff>
    </xdr:to>
    <xdr:graphicFrame macro="">
      <xdr:nvGraphicFramePr>
        <xdr:cNvPr id="5200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590550</xdr:colOff>
      <xdr:row>86</xdr:row>
      <xdr:rowOff>0</xdr:rowOff>
    </xdr:from>
    <xdr:to>
      <xdr:col>27</xdr:col>
      <xdr:colOff>86550</xdr:colOff>
      <xdr:row>108</xdr:row>
      <xdr:rowOff>38100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111</xdr:row>
      <xdr:rowOff>38100</xdr:rowOff>
    </xdr:from>
    <xdr:to>
      <xdr:col>12</xdr:col>
      <xdr:colOff>115125</xdr:colOff>
      <xdr:row>133</xdr:row>
      <xdr:rowOff>76200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28575</xdr:rowOff>
    </xdr:from>
    <xdr:to>
      <xdr:col>27</xdr:col>
      <xdr:colOff>105600</xdr:colOff>
      <xdr:row>133</xdr:row>
      <xdr:rowOff>66675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136</xdr:row>
      <xdr:rowOff>28575</xdr:rowOff>
    </xdr:from>
    <xdr:to>
      <xdr:col>12</xdr:col>
      <xdr:colOff>115125</xdr:colOff>
      <xdr:row>158</xdr:row>
      <xdr:rowOff>66675</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86</xdr:row>
      <xdr:rowOff>0</xdr:rowOff>
    </xdr:from>
    <xdr:to>
      <xdr:col>12</xdr:col>
      <xdr:colOff>105600</xdr:colOff>
      <xdr:row>108</xdr:row>
      <xdr:rowOff>38100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9525</xdr:colOff>
      <xdr:row>162</xdr:row>
      <xdr:rowOff>28575</xdr:rowOff>
    </xdr:from>
    <xdr:to>
      <xdr:col>27</xdr:col>
      <xdr:colOff>115125</xdr:colOff>
      <xdr:row>184</xdr:row>
      <xdr:rowOff>66675</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187</xdr:row>
      <xdr:rowOff>38100</xdr:rowOff>
    </xdr:from>
    <xdr:to>
      <xdr:col>12</xdr:col>
      <xdr:colOff>115125</xdr:colOff>
      <xdr:row>209</xdr:row>
      <xdr:rowOff>76200</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187</xdr:row>
      <xdr:rowOff>38100</xdr:rowOff>
    </xdr:from>
    <xdr:to>
      <xdr:col>27</xdr:col>
      <xdr:colOff>96075</xdr:colOff>
      <xdr:row>209</xdr:row>
      <xdr:rowOff>76200</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212</xdr:row>
      <xdr:rowOff>28575</xdr:rowOff>
    </xdr:from>
    <xdr:to>
      <xdr:col>12</xdr:col>
      <xdr:colOff>115125</xdr:colOff>
      <xdr:row>234</xdr:row>
      <xdr:rowOff>66675</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238</xdr:row>
      <xdr:rowOff>38100</xdr:rowOff>
    </xdr:from>
    <xdr:to>
      <xdr:col>12</xdr:col>
      <xdr:colOff>105600</xdr:colOff>
      <xdr:row>260</xdr:row>
      <xdr:rowOff>75750</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266</xdr:row>
      <xdr:rowOff>152400</xdr:rowOff>
    </xdr:from>
    <xdr:to>
      <xdr:col>12</xdr:col>
      <xdr:colOff>115125</xdr:colOff>
      <xdr:row>289</xdr:row>
      <xdr:rowOff>28575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227974</xdr:colOff>
      <xdr:row>95</xdr:row>
      <xdr:rowOff>59086</xdr:rowOff>
    </xdr:from>
    <xdr:to>
      <xdr:col>6</xdr:col>
      <xdr:colOff>572281</xdr:colOff>
      <xdr:row>98</xdr:row>
      <xdr:rowOff>79470</xdr:rowOff>
    </xdr:to>
    <xdr:sp macro="" textlink="">
      <xdr:nvSpPr>
        <xdr:cNvPr id="23" name="Oval 22"/>
        <xdr:cNvSpPr/>
      </xdr:nvSpPr>
      <xdr:spPr>
        <a:xfrm rot="20230253">
          <a:off x="2685424" y="17042161"/>
          <a:ext cx="2782707" cy="506159"/>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311230</xdr:colOff>
      <xdr:row>275</xdr:row>
      <xdr:rowOff>90342</xdr:rowOff>
    </xdr:from>
    <xdr:to>
      <xdr:col>6</xdr:col>
      <xdr:colOff>457306</xdr:colOff>
      <xdr:row>278</xdr:row>
      <xdr:rowOff>62438</xdr:rowOff>
    </xdr:to>
    <xdr:sp macro="" textlink="">
      <xdr:nvSpPr>
        <xdr:cNvPr id="25" name="Oval 24"/>
        <xdr:cNvSpPr/>
      </xdr:nvSpPr>
      <xdr:spPr>
        <a:xfrm rot="20105900">
          <a:off x="2768680" y="46305642"/>
          <a:ext cx="2584476" cy="457871"/>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292234</xdr:colOff>
      <xdr:row>96</xdr:row>
      <xdr:rowOff>380</xdr:rowOff>
    </xdr:from>
    <xdr:to>
      <xdr:col>20</xdr:col>
      <xdr:colOff>192369</xdr:colOff>
      <xdr:row>97</xdr:row>
      <xdr:rowOff>141295</xdr:rowOff>
    </xdr:to>
    <xdr:sp macro="" textlink="">
      <xdr:nvSpPr>
        <xdr:cNvPr id="26" name="Oval 25"/>
        <xdr:cNvSpPr/>
      </xdr:nvSpPr>
      <xdr:spPr>
        <a:xfrm rot="20049057">
          <a:off x="11893684" y="17145380"/>
          <a:ext cx="1728935" cy="30284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123219</xdr:colOff>
      <xdr:row>119</xdr:row>
      <xdr:rowOff>148246</xdr:rowOff>
    </xdr:from>
    <xdr:to>
      <xdr:col>7</xdr:col>
      <xdr:colOff>99101</xdr:colOff>
      <xdr:row>123</xdr:row>
      <xdr:rowOff>126486</xdr:rowOff>
    </xdr:to>
    <xdr:sp macro="" textlink="">
      <xdr:nvSpPr>
        <xdr:cNvPr id="2" name="Oval 1"/>
        <xdr:cNvSpPr/>
      </xdr:nvSpPr>
      <xdr:spPr>
        <a:xfrm rot="19712555">
          <a:off x="2580669" y="21017521"/>
          <a:ext cx="3023882" cy="62594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507454</xdr:colOff>
      <xdr:row>147</xdr:row>
      <xdr:rowOff>132191</xdr:rowOff>
    </xdr:from>
    <xdr:to>
      <xdr:col>7</xdr:col>
      <xdr:colOff>572010</xdr:colOff>
      <xdr:row>151</xdr:row>
      <xdr:rowOff>23460</xdr:rowOff>
    </xdr:to>
    <xdr:sp macro="" textlink="">
      <xdr:nvSpPr>
        <xdr:cNvPr id="3" name="Oval 2"/>
        <xdr:cNvSpPr/>
      </xdr:nvSpPr>
      <xdr:spPr>
        <a:xfrm rot="2759447">
          <a:off x="4861297" y="24858173"/>
          <a:ext cx="538969" cy="1893356"/>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162</xdr:row>
      <xdr:rowOff>0</xdr:rowOff>
    </xdr:from>
    <xdr:to>
      <xdr:col>12</xdr:col>
      <xdr:colOff>105600</xdr:colOff>
      <xdr:row>184</xdr:row>
      <xdr:rowOff>38100</xdr:rowOff>
    </xdr:to>
    <xdr:graphicFrame macro="">
      <xdr:nvGraphicFramePr>
        <xdr:cNvPr id="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331209</xdr:colOff>
      <xdr:row>246</xdr:row>
      <xdr:rowOff>98330</xdr:rowOff>
    </xdr:from>
    <xdr:to>
      <xdr:col>2</xdr:col>
      <xdr:colOff>281331</xdr:colOff>
      <xdr:row>257</xdr:row>
      <xdr:rowOff>144205</xdr:rowOff>
    </xdr:to>
    <xdr:sp macro="" textlink="">
      <xdr:nvSpPr>
        <xdr:cNvPr id="33" name="Oval 32"/>
        <xdr:cNvSpPr/>
      </xdr:nvSpPr>
      <xdr:spPr>
        <a:xfrm rot="18785402">
          <a:off x="1497770" y="42175269"/>
          <a:ext cx="1827050" cy="654972"/>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9.xml><?xml version="1.0" encoding="utf-8"?>
<c:userShapes xmlns:c="http://schemas.openxmlformats.org/drawingml/2006/chart">
  <cdr:relSizeAnchor xmlns:cdr="http://schemas.openxmlformats.org/drawingml/2006/chartDrawing">
    <cdr:from>
      <cdr:x>0.66975</cdr:x>
      <cdr:y>0.23944</cdr:y>
    </cdr:from>
    <cdr:to>
      <cdr:x>0.89808</cdr:x>
      <cdr:y>0.3424</cdr:y>
    </cdr:to>
    <cdr:sp macro="" textlink="">
      <cdr:nvSpPr>
        <cdr:cNvPr id="6" name="Oval 5"/>
        <cdr:cNvSpPr/>
      </cdr:nvSpPr>
      <cdr:spPr>
        <a:xfrm xmlns:a="http://schemas.openxmlformats.org/drawingml/2006/main" rot="19079096">
          <a:off x="5786676" y="862075"/>
          <a:ext cx="1972772" cy="37070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0.24154</cdr:x>
      <cdr:y>0.17431</cdr:y>
    </cdr:from>
    <cdr:to>
      <cdr:x>0.40423</cdr:x>
      <cdr:y>0.31092</cdr:y>
    </cdr:to>
    <cdr:sp macro="" textlink="">
      <cdr:nvSpPr>
        <cdr:cNvPr id="2" name="Oval 1"/>
        <cdr:cNvSpPr/>
      </cdr:nvSpPr>
      <cdr:spPr>
        <a:xfrm xmlns:a="http://schemas.openxmlformats.org/drawingml/2006/main" rot="2344616">
          <a:off x="1923551" y="632590"/>
          <a:ext cx="1295623" cy="495743"/>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0.85623</cdr:x>
      <cdr:y>0.05303</cdr:y>
    </cdr:from>
    <cdr:to>
      <cdr:x>0.98462</cdr:x>
      <cdr:y>0.7675</cdr:y>
    </cdr:to>
    <cdr:sp macro="" textlink="">
      <cdr:nvSpPr>
        <cdr:cNvPr id="3" name="Oval 2"/>
        <cdr:cNvSpPr/>
      </cdr:nvSpPr>
      <cdr:spPr>
        <a:xfrm xmlns:a="http://schemas.openxmlformats.org/drawingml/2006/main" rot="3924868">
          <a:off x="6033610" y="977620"/>
          <a:ext cx="2592834" cy="1022456"/>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30.xml><?xml version="1.0" encoding="utf-8"?>
<c:userShapes xmlns:c="http://schemas.openxmlformats.org/drawingml/2006/chart">
  <cdr:relSizeAnchor xmlns:cdr="http://schemas.openxmlformats.org/drawingml/2006/chartDrawing">
    <cdr:from>
      <cdr:x>0.03026</cdr:x>
      <cdr:y>0.41322</cdr:y>
    </cdr:from>
    <cdr:to>
      <cdr:x>0.24801</cdr:x>
      <cdr:y>0.56732</cdr:y>
    </cdr:to>
    <cdr:sp macro="" textlink="">
      <cdr:nvSpPr>
        <cdr:cNvPr id="6" name="Oval 5"/>
        <cdr:cNvSpPr/>
      </cdr:nvSpPr>
      <cdr:spPr>
        <a:xfrm xmlns:a="http://schemas.openxmlformats.org/drawingml/2006/main" rot="2962250">
          <a:off x="924697" y="824550"/>
          <a:ext cx="554837" cy="188131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0.66547</cdr:x>
      <cdr:y>0.18317</cdr:y>
    </cdr:from>
    <cdr:to>
      <cdr:x>0.90924</cdr:x>
      <cdr:y>0.3295</cdr:y>
    </cdr:to>
    <cdr:sp macro="" textlink="">
      <cdr:nvSpPr>
        <cdr:cNvPr id="9" name="Oval 8"/>
        <cdr:cNvSpPr/>
      </cdr:nvSpPr>
      <cdr:spPr>
        <a:xfrm xmlns:a="http://schemas.openxmlformats.org/drawingml/2006/main" rot="19810710">
          <a:off x="5749640" y="659478"/>
          <a:ext cx="2106173" cy="526854"/>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31.xml><?xml version="1.0" encoding="utf-8"?>
<c:userShapes xmlns:c="http://schemas.openxmlformats.org/drawingml/2006/chart">
  <cdr:relSizeAnchor xmlns:cdr="http://schemas.openxmlformats.org/drawingml/2006/chartDrawing">
    <cdr:from>
      <cdr:x>0.42724</cdr:x>
      <cdr:y>0.35976</cdr:y>
    </cdr:from>
    <cdr:to>
      <cdr:x>0.61711</cdr:x>
      <cdr:y>0.50093</cdr:y>
    </cdr:to>
    <cdr:sp macro="" textlink="">
      <cdr:nvSpPr>
        <cdr:cNvPr id="3" name="Oval 2"/>
        <cdr:cNvSpPr/>
      </cdr:nvSpPr>
      <cdr:spPr>
        <a:xfrm xmlns:a="http://schemas.openxmlformats.org/drawingml/2006/main" rot="18960086">
          <a:off x="3691340" y="1295310"/>
          <a:ext cx="1640477" cy="50827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0.66184</cdr:x>
      <cdr:y>0.24172</cdr:y>
    </cdr:from>
    <cdr:to>
      <cdr:x>0.95921</cdr:x>
      <cdr:y>0.35615</cdr:y>
    </cdr:to>
    <cdr:sp macro="" textlink="">
      <cdr:nvSpPr>
        <cdr:cNvPr id="5" name="Oval 4"/>
        <cdr:cNvSpPr/>
      </cdr:nvSpPr>
      <cdr:spPr>
        <a:xfrm xmlns:a="http://schemas.openxmlformats.org/drawingml/2006/main" rot="20118209">
          <a:off x="5718308" y="870318"/>
          <a:ext cx="2569277" cy="41199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32.xml><?xml version="1.0" encoding="utf-8"?>
<c:userShapes xmlns:c="http://schemas.openxmlformats.org/drawingml/2006/chart">
  <cdr:relSizeAnchor xmlns:cdr="http://schemas.openxmlformats.org/drawingml/2006/chartDrawing">
    <cdr:from>
      <cdr:x>0.05179</cdr:x>
      <cdr:y>0.41392</cdr:y>
    </cdr:from>
    <cdr:to>
      <cdr:x>0.27803</cdr:x>
      <cdr:y>0.527</cdr:y>
    </cdr:to>
    <cdr:sp macro="" textlink="">
      <cdr:nvSpPr>
        <cdr:cNvPr id="3" name="Oval 2"/>
        <cdr:cNvSpPr/>
      </cdr:nvSpPr>
      <cdr:spPr>
        <a:xfrm xmlns:a="http://schemas.openxmlformats.org/drawingml/2006/main" rot="19077537" flipV="1">
          <a:off x="447491" y="1490298"/>
          <a:ext cx="1954714" cy="40713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0.66001</cdr:x>
      <cdr:y>0.227</cdr:y>
    </cdr:from>
    <cdr:to>
      <cdr:x>0.90079</cdr:x>
      <cdr:y>0.36974</cdr:y>
    </cdr:to>
    <cdr:sp macro="" textlink="">
      <cdr:nvSpPr>
        <cdr:cNvPr id="5" name="Oval 4"/>
        <cdr:cNvSpPr/>
      </cdr:nvSpPr>
      <cdr:spPr>
        <a:xfrm xmlns:a="http://schemas.openxmlformats.org/drawingml/2006/main" rot="19464687">
          <a:off x="5702473" y="817299"/>
          <a:ext cx="2080339" cy="51392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3.xml><?xml version="1.0" encoding="utf-8"?>
<c:userShapes xmlns:c="http://schemas.openxmlformats.org/drawingml/2006/chart">
  <cdr:relSizeAnchor xmlns:cdr="http://schemas.openxmlformats.org/drawingml/2006/chartDrawing">
    <cdr:from>
      <cdr:x>0.67986</cdr:x>
      <cdr:y>0.16804</cdr:y>
    </cdr:from>
    <cdr:to>
      <cdr:x>0.94403</cdr:x>
      <cdr:y>0.35048</cdr:y>
    </cdr:to>
    <cdr:sp macro="" textlink="">
      <cdr:nvSpPr>
        <cdr:cNvPr id="2" name="Oval 1"/>
        <cdr:cNvSpPr/>
      </cdr:nvSpPr>
      <cdr:spPr>
        <a:xfrm xmlns:a="http://schemas.openxmlformats.org/drawingml/2006/main" rot="19744357">
          <a:off x="5873960" y="605020"/>
          <a:ext cx="2282429" cy="65686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4.xml><?xml version="1.0" encoding="utf-8"?>
<c:userShapes xmlns:c="http://schemas.openxmlformats.org/drawingml/2006/chart">
  <cdr:relSizeAnchor xmlns:cdr="http://schemas.openxmlformats.org/drawingml/2006/chartDrawing">
    <cdr:from>
      <cdr:x>0.66768</cdr:x>
      <cdr:y>0.16147</cdr:y>
    </cdr:from>
    <cdr:to>
      <cdr:x>0.91835</cdr:x>
      <cdr:y>0.30448</cdr:y>
    </cdr:to>
    <cdr:sp macro="" textlink="">
      <cdr:nvSpPr>
        <cdr:cNvPr id="5" name="Oval 4"/>
        <cdr:cNvSpPr/>
      </cdr:nvSpPr>
      <cdr:spPr>
        <a:xfrm xmlns:a="http://schemas.openxmlformats.org/drawingml/2006/main" rot="19786320">
          <a:off x="5768720" y="581356"/>
          <a:ext cx="2165860" cy="514900"/>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0.19146</cdr:x>
      <cdr:y>0.38856</cdr:y>
    </cdr:from>
    <cdr:to>
      <cdr:x>0.37185</cdr:x>
      <cdr:y>0.52897</cdr:y>
    </cdr:to>
    <cdr:sp macro="" textlink="">
      <cdr:nvSpPr>
        <cdr:cNvPr id="7" name="Oval 6"/>
        <cdr:cNvSpPr/>
      </cdr:nvSpPr>
      <cdr:spPr>
        <a:xfrm xmlns:a="http://schemas.openxmlformats.org/drawingml/2006/main" rot="2528720">
          <a:off x="1654172" y="1398995"/>
          <a:ext cx="1558614" cy="50553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14</xdr:col>
      <xdr:colOff>209551</xdr:colOff>
      <xdr:row>3</xdr:row>
      <xdr:rowOff>38100</xdr:rowOff>
    </xdr:from>
    <xdr:to>
      <xdr:col>28</xdr:col>
      <xdr:colOff>361951</xdr:colOff>
      <xdr:row>24</xdr:row>
      <xdr:rowOff>66675</xdr:rowOff>
    </xdr:to>
    <xdr:graphicFrame macro="">
      <xdr:nvGraphicFramePr>
        <xdr:cNvPr id="454361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0.00225</cdr:x>
      <cdr:y>0.0045</cdr:y>
    </cdr:from>
    <cdr:to>
      <cdr:x>0.14075</cdr:x>
      <cdr:y>0.12027</cdr:y>
    </cdr:to>
    <cdr:sp macro="" textlink="">
      <cdr:nvSpPr>
        <cdr:cNvPr id="292871" name="Text Box 7"/>
        <cdr:cNvSpPr txBox="1">
          <a:spLocks xmlns:a="http://schemas.openxmlformats.org/drawingml/2006/main" noChangeArrowheads="1"/>
        </cdr:cNvSpPr>
      </cdr:nvSpPr>
      <cdr:spPr bwMode="auto">
        <a:xfrm xmlns:a="http://schemas.openxmlformats.org/drawingml/2006/main">
          <a:off x="20745" y="27046"/>
          <a:ext cx="1276998" cy="7032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900" b="1" i="0" u="none" strike="noStrike" baseline="0">
              <a:solidFill>
                <a:srgbClr val="000000"/>
              </a:solidFill>
              <a:latin typeface="Arial"/>
              <a:cs typeface="Arial"/>
            </a:rPr>
            <a:t>NHS Lothian </a:t>
          </a:r>
        </a:p>
        <a:p xmlns:a="http://schemas.openxmlformats.org/drawingml/2006/main">
          <a:pPr algn="l" rtl="0">
            <a:defRPr sz="1000"/>
          </a:pPr>
          <a:r>
            <a:rPr lang="en-GB" sz="900" b="1" i="0" u="none" strike="noStrike" baseline="0">
              <a:solidFill>
                <a:srgbClr val="000000"/>
              </a:solidFill>
              <a:latin typeface="Arial"/>
              <a:cs typeface="Arial"/>
            </a:rPr>
            <a:t>Inpatient Sites</a:t>
          </a:r>
        </a:p>
      </cdr:txBody>
    </cdr:sp>
  </cdr:relSizeAnchor>
  <cdr:relSizeAnchor xmlns:cdr="http://schemas.openxmlformats.org/drawingml/2006/chartDrawing">
    <cdr:from>
      <cdr:x>0.05921</cdr:x>
      <cdr:y>0.24868</cdr:y>
    </cdr:from>
    <cdr:to>
      <cdr:x>0.28246</cdr:x>
      <cdr:y>0.29695</cdr:y>
    </cdr:to>
    <cdr:sp macro="" textlink="">
      <cdr:nvSpPr>
        <cdr:cNvPr id="4" name="Text Box 2"/>
        <cdr:cNvSpPr txBox="1">
          <a:spLocks xmlns:a="http://schemas.openxmlformats.org/drawingml/2006/main" noChangeArrowheads="1"/>
        </cdr:cNvSpPr>
      </cdr:nvSpPr>
      <cdr:spPr bwMode="auto">
        <a:xfrm xmlns:a="http://schemas.openxmlformats.org/drawingml/2006/main">
          <a:off x="514349" y="933259"/>
          <a:ext cx="1939318" cy="18116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000000"/>
              </a:solidFill>
              <a:latin typeface="Arial"/>
              <a:cs typeface="Arial"/>
            </a:rPr>
            <a:t>Baseline Median (12 months) = 0.38</a:t>
          </a:r>
        </a:p>
      </cdr:txBody>
    </cdr:sp>
  </cdr:relSizeAnchor>
  <cdr:relSizeAnchor xmlns:cdr="http://schemas.openxmlformats.org/drawingml/2006/chartDrawing">
    <cdr:from>
      <cdr:x>0.35768</cdr:x>
      <cdr:y>0.62916</cdr:y>
    </cdr:from>
    <cdr:to>
      <cdr:x>0.5459</cdr:x>
      <cdr:y>0.71525</cdr:y>
    </cdr:to>
    <cdr:sp macro="" textlink="">
      <cdr:nvSpPr>
        <cdr:cNvPr id="5" name="Text Box 6"/>
        <cdr:cNvSpPr txBox="1">
          <a:spLocks xmlns:a="http://schemas.openxmlformats.org/drawingml/2006/main" noChangeArrowheads="1"/>
        </cdr:cNvSpPr>
      </cdr:nvSpPr>
      <cdr:spPr bwMode="auto">
        <a:xfrm xmlns:a="http://schemas.openxmlformats.org/drawingml/2006/main">
          <a:off x="3107095" y="2361145"/>
          <a:ext cx="1635029" cy="3230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b="0" i="0" u="none" strike="noStrike" baseline="0">
              <a:solidFill>
                <a:srgbClr val="000000"/>
              </a:solidFill>
              <a:latin typeface="Arial"/>
              <a:cs typeface="Arial"/>
            </a:rPr>
            <a:t>From  Nov'12 median is now  0.27 </a:t>
          </a:r>
          <a:br>
            <a:rPr lang="en-GB" sz="800" b="0" i="0" u="none" strike="noStrike" baseline="0">
              <a:solidFill>
                <a:srgbClr val="000000"/>
              </a:solidFill>
              <a:latin typeface="Arial"/>
              <a:cs typeface="Arial"/>
            </a:rPr>
          </a:br>
          <a:r>
            <a:rPr lang="en-GB" sz="800" b="0" i="0" u="none" strike="noStrike" baseline="0">
              <a:solidFill>
                <a:srgbClr val="000000"/>
              </a:solidFill>
              <a:latin typeface="Arial"/>
              <a:cs typeface="Arial"/>
            </a:rPr>
            <a:t>(29% reduction from Baseline Median) </a:t>
          </a:r>
        </a:p>
      </cdr:txBody>
    </cdr:sp>
  </cdr:relSizeAnchor>
  <cdr:relSizeAnchor xmlns:cdr="http://schemas.openxmlformats.org/drawingml/2006/chartDrawing">
    <cdr:from>
      <cdr:x>0.56579</cdr:x>
      <cdr:y>0.67653</cdr:y>
    </cdr:from>
    <cdr:to>
      <cdr:x>0.80277</cdr:x>
      <cdr:y>0.76022</cdr:y>
    </cdr:to>
    <cdr:sp macro="" textlink="">
      <cdr:nvSpPr>
        <cdr:cNvPr id="6" name="TextBox 1"/>
        <cdr:cNvSpPr txBox="1"/>
      </cdr:nvSpPr>
      <cdr:spPr>
        <a:xfrm xmlns:a="http://schemas.openxmlformats.org/drawingml/2006/main">
          <a:off x="4914909" y="2538903"/>
          <a:ext cx="2058598" cy="3140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0">
              <a:latin typeface="Arial" pitchFamily="34" charset="0"/>
              <a:cs typeface="Arial" pitchFamily="34" charset="0"/>
            </a:rPr>
            <a:t>From  May '14</a:t>
          </a:r>
          <a:r>
            <a:rPr lang="en-GB" sz="800" b="0" baseline="0">
              <a:latin typeface="Arial" pitchFamily="34" charset="0"/>
              <a:cs typeface="Arial" pitchFamily="34" charset="0"/>
            </a:rPr>
            <a:t> </a:t>
          </a:r>
          <a:r>
            <a:rPr lang="en-GB" sz="800" b="0">
              <a:latin typeface="Arial" pitchFamily="34" charset="0"/>
              <a:cs typeface="Arial" pitchFamily="34" charset="0"/>
            </a:rPr>
            <a:t>median is now 0.18 </a:t>
          </a:r>
          <a:br>
            <a:rPr lang="en-GB" sz="800" b="0">
              <a:latin typeface="Arial" pitchFamily="34" charset="0"/>
              <a:cs typeface="Arial" pitchFamily="34" charset="0"/>
            </a:rPr>
          </a:br>
          <a:r>
            <a:rPr lang="en-GB" sz="800" b="0">
              <a:latin typeface="Arial" pitchFamily="34" charset="0"/>
              <a:cs typeface="Arial" pitchFamily="34" charset="0"/>
            </a:rPr>
            <a:t>(53% reduction</a:t>
          </a:r>
          <a:r>
            <a:rPr lang="en-GB" sz="800" b="0" baseline="0">
              <a:latin typeface="Arial" pitchFamily="34" charset="0"/>
              <a:cs typeface="Arial" pitchFamily="34" charset="0"/>
            </a:rPr>
            <a:t> from Baseline Median)</a:t>
          </a:r>
        </a:p>
        <a:p xmlns:a="http://schemas.openxmlformats.org/drawingml/2006/main">
          <a:endParaRPr lang="en-GB" sz="1100"/>
        </a:p>
      </cdr:txBody>
    </cdr:sp>
  </cdr:relSizeAnchor>
  <cdr:relSizeAnchor xmlns:cdr="http://schemas.openxmlformats.org/drawingml/2006/chartDrawing">
    <cdr:from>
      <cdr:x>0.37565</cdr:x>
      <cdr:y>0.2632</cdr:y>
    </cdr:from>
    <cdr:to>
      <cdr:x>0.60529</cdr:x>
      <cdr:y>0.30423</cdr:y>
    </cdr:to>
    <cdr:sp macro="" textlink="">
      <cdr:nvSpPr>
        <cdr:cNvPr id="7" name="Text Box 4"/>
        <cdr:cNvSpPr txBox="1">
          <a:spLocks xmlns:a="http://schemas.openxmlformats.org/drawingml/2006/main" noChangeArrowheads="1"/>
        </cdr:cNvSpPr>
      </cdr:nvSpPr>
      <cdr:spPr bwMode="auto">
        <a:xfrm xmlns:a="http://schemas.openxmlformats.org/drawingml/2006/main">
          <a:off x="3245326" y="947627"/>
          <a:ext cx="1983899" cy="1477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FF0000"/>
              </a:solidFill>
              <a:latin typeface="Arial"/>
              <a:cs typeface="Arial"/>
            </a:rPr>
            <a:t>Target Median - 0.31 (20% reduction)</a:t>
          </a:r>
        </a:p>
      </cdr:txBody>
    </cdr:sp>
  </cdr:relSizeAnchor>
  <cdr:relSizeAnchor xmlns:cdr="http://schemas.openxmlformats.org/drawingml/2006/chartDrawing">
    <cdr:from>
      <cdr:x>0.79057</cdr:x>
      <cdr:y>0.30457</cdr:y>
    </cdr:from>
    <cdr:to>
      <cdr:x>0.98575</cdr:x>
      <cdr:y>0.45685</cdr:y>
    </cdr:to>
    <cdr:sp macro="" textlink="">
      <cdr:nvSpPr>
        <cdr:cNvPr id="8" name="TextBox 1"/>
        <cdr:cNvSpPr txBox="1"/>
      </cdr:nvSpPr>
      <cdr:spPr>
        <a:xfrm xmlns:a="http://schemas.openxmlformats.org/drawingml/2006/main">
          <a:off x="6867524" y="1143000"/>
          <a:ext cx="1695450" cy="571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effectLst/>
              <a:latin typeface="Arial" panose="020B0604020202020204" pitchFamily="34" charset="0"/>
              <a:ea typeface="+mn-ea"/>
              <a:cs typeface="Arial" panose="020B0604020202020204" pitchFamily="34" charset="0"/>
            </a:rPr>
            <a:t>From Dec '16, sustained increase</a:t>
          </a:r>
          <a:r>
            <a:rPr lang="en-GB" sz="800" baseline="0">
              <a:effectLst/>
              <a:latin typeface="Arial" panose="020B0604020202020204" pitchFamily="34" charset="0"/>
              <a:ea typeface="+mn-ea"/>
              <a:cs typeface="Arial" panose="020B0604020202020204" pitchFamily="34" charset="0"/>
            </a:rPr>
            <a:t> in falls with harm.  Revised median = 0.25 which is a 34% reduction from the baseline.</a:t>
          </a:r>
          <a:endParaRPr lang="en-GB" sz="800">
            <a:effectLst/>
            <a:latin typeface="Arial" panose="020B0604020202020204" pitchFamily="34" charset="0"/>
            <a:cs typeface="Arial" panose="020B0604020202020204" pitchFamily="34" charset="0"/>
          </a:endParaRPr>
        </a:p>
        <a:p xmlns:a="http://schemas.openxmlformats.org/drawingml/2006/main">
          <a:endParaRPr lang="en-GB" sz="1100"/>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9525</xdr:colOff>
      <xdr:row>84</xdr:row>
      <xdr:rowOff>19050</xdr:rowOff>
    </xdr:from>
    <xdr:to>
      <xdr:col>12</xdr:col>
      <xdr:colOff>591375</xdr:colOff>
      <xdr:row>106</xdr:row>
      <xdr:rowOff>57150</xdr:rowOff>
    </xdr:to>
    <xdr:graphicFrame macro="">
      <xdr:nvGraphicFramePr>
        <xdr:cNvPr id="53166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84</xdr:row>
      <xdr:rowOff>9525</xdr:rowOff>
    </xdr:from>
    <xdr:to>
      <xdr:col>28</xdr:col>
      <xdr:colOff>48450</xdr:colOff>
      <xdr:row>106</xdr:row>
      <xdr:rowOff>47625</xdr:rowOff>
    </xdr:to>
    <xdr:graphicFrame macro="">
      <xdr:nvGraphicFramePr>
        <xdr:cNvPr id="531666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0.4398</cdr:x>
      <cdr:y>0.06666</cdr:y>
    </cdr:from>
    <cdr:to>
      <cdr:x>0.4398</cdr:x>
      <cdr:y>0.77619</cdr:y>
    </cdr:to>
    <cdr:sp macro="" textlink="">
      <cdr:nvSpPr>
        <cdr:cNvPr id="23" name="Straight Connector 22"/>
        <cdr:cNvSpPr/>
      </cdr:nvSpPr>
      <cdr:spPr bwMode="auto">
        <a:xfrm xmlns:a="http://schemas.openxmlformats.org/drawingml/2006/main" flipH="1" flipV="1">
          <a:off x="3799856" y="239990"/>
          <a:ext cx="0" cy="2554627"/>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0.46412</cdr:x>
      <cdr:y>0</cdr:y>
    </cdr:from>
    <cdr:to>
      <cdr:x>0.67439</cdr:x>
      <cdr:y>0.0582</cdr:y>
    </cdr:to>
    <cdr:sp macro="" textlink="">
      <cdr:nvSpPr>
        <cdr:cNvPr id="24" name="TextBox 1"/>
        <cdr:cNvSpPr txBox="1"/>
      </cdr:nvSpPr>
      <cdr:spPr>
        <a:xfrm xmlns:a="http://schemas.openxmlformats.org/drawingml/2006/main">
          <a:off x="3815101" y="0"/>
          <a:ext cx="1728449"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0.4452</cdr:x>
      <cdr:y>0.0746</cdr:y>
    </cdr:from>
    <cdr:to>
      <cdr:x>0.44607</cdr:x>
      <cdr:y>0.79101</cdr:y>
    </cdr:to>
    <cdr:sp macro="" textlink="">
      <cdr:nvSpPr>
        <cdr:cNvPr id="23" name="Straight Connector 22"/>
        <cdr:cNvSpPr/>
      </cdr:nvSpPr>
      <cdr:spPr bwMode="auto">
        <a:xfrm xmlns:a="http://schemas.openxmlformats.org/drawingml/2006/main" flipH="1" flipV="1">
          <a:off x="3846533" y="268594"/>
          <a:ext cx="7517" cy="2579398"/>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0.46853</cdr:x>
      <cdr:y>0</cdr:y>
    </cdr:from>
    <cdr:to>
      <cdr:x>0.6686</cdr:x>
      <cdr:y>0.06614</cdr:y>
    </cdr:to>
    <cdr:sp macro="" textlink="">
      <cdr:nvSpPr>
        <cdr:cNvPr id="24" name="TextBox 1"/>
        <cdr:cNvSpPr txBox="1"/>
      </cdr:nvSpPr>
      <cdr:spPr>
        <a:xfrm xmlns:a="http://schemas.openxmlformats.org/drawingml/2006/main">
          <a:off x="3851352" y="0"/>
          <a:ext cx="1644573" cy="238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0.21268</cdr:x>
      <cdr:y>0.15456</cdr:y>
    </cdr:from>
    <cdr:to>
      <cdr:x>0.38979</cdr:x>
      <cdr:y>0.29811</cdr:y>
    </cdr:to>
    <cdr:sp macro="" textlink="">
      <cdr:nvSpPr>
        <cdr:cNvPr id="2" name="Oval 1"/>
        <cdr:cNvSpPr/>
      </cdr:nvSpPr>
      <cdr:spPr>
        <a:xfrm xmlns:a="http://schemas.openxmlformats.org/drawingml/2006/main" rot="2629139">
          <a:off x="1693708" y="560892"/>
          <a:ext cx="1410467" cy="520971"/>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0.8195</cdr:x>
      <cdr:y>0</cdr:y>
    </cdr:from>
    <cdr:to>
      <cdr:x>0.97347</cdr:x>
      <cdr:y>0.79023</cdr:y>
    </cdr:to>
    <cdr:sp macro="" textlink="">
      <cdr:nvSpPr>
        <cdr:cNvPr id="3" name="Oval 2"/>
        <cdr:cNvSpPr/>
      </cdr:nvSpPr>
      <cdr:spPr>
        <a:xfrm xmlns:a="http://schemas.openxmlformats.org/drawingml/2006/main" rot="3352383">
          <a:off x="5705458" y="809514"/>
          <a:ext cx="2867766" cy="1226193"/>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9524</xdr:colOff>
      <xdr:row>84</xdr:row>
      <xdr:rowOff>19050</xdr:rowOff>
    </xdr:from>
    <xdr:to>
      <xdr:col>12</xdr:col>
      <xdr:colOff>219899</xdr:colOff>
      <xdr:row>106</xdr:row>
      <xdr:rowOff>57150</xdr:rowOff>
    </xdr:to>
    <xdr:graphicFrame macro="">
      <xdr:nvGraphicFramePr>
        <xdr:cNvPr id="65286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84</xdr:row>
      <xdr:rowOff>9525</xdr:rowOff>
    </xdr:from>
    <xdr:to>
      <xdr:col>27</xdr:col>
      <xdr:colOff>105599</xdr:colOff>
      <xdr:row>106</xdr:row>
      <xdr:rowOff>47625</xdr:rowOff>
    </xdr:to>
    <xdr:graphicFrame macro="">
      <xdr:nvGraphicFramePr>
        <xdr:cNvPr id="65286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0.55851</cdr:x>
      <cdr:y>0.26543</cdr:y>
    </cdr:from>
    <cdr:to>
      <cdr:x>0.61927</cdr:x>
      <cdr:y>0.68605</cdr:y>
    </cdr:to>
    <cdr:sp macro="" textlink="">
      <cdr:nvSpPr>
        <cdr:cNvPr id="8" name="Oval 7"/>
        <cdr:cNvSpPr/>
      </cdr:nvSpPr>
      <cdr:spPr bwMode="auto">
        <a:xfrm xmlns:a="http://schemas.openxmlformats.org/drawingml/2006/main" rot="17959731">
          <a:off x="4347633" y="1449524"/>
          <a:ext cx="1514421" cy="526703"/>
        </a:xfrm>
        <a:prstGeom xmlns:a="http://schemas.openxmlformats.org/drawingml/2006/main" prst="ellipse">
          <a:avLst/>
        </a:prstGeom>
        <a:solidFill xmlns:a="http://schemas.openxmlformats.org/drawingml/2006/main">
          <a:srgbClr val="FFFFFF">
            <a:alpha val="0"/>
          </a:srgbClr>
        </a:solidFill>
        <a:ln xmlns:a="http://schemas.openxmlformats.org/drawingml/2006/main" w="9525" cap="flat" cmpd="sng" algn="ctr">
          <a:solidFill>
            <a:schemeClr val="bg1">
              <a:lumMod val="65000"/>
            </a:schemeClr>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xdr:colOff>
      <xdr:row>36</xdr:row>
      <xdr:rowOff>19050</xdr:rowOff>
    </xdr:from>
    <xdr:to>
      <xdr:col>26</xdr:col>
      <xdr:colOff>114300</xdr:colOff>
      <xdr:row>58</xdr:row>
      <xdr:rowOff>57150</xdr:rowOff>
    </xdr:to>
    <xdr:graphicFrame macro="">
      <xdr:nvGraphicFramePr>
        <xdr:cNvPr id="35598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19050</xdr:rowOff>
    </xdr:from>
    <xdr:to>
      <xdr:col>11</xdr:col>
      <xdr:colOff>171450</xdr:colOff>
      <xdr:row>58</xdr:row>
      <xdr:rowOff>57150</xdr:rowOff>
    </xdr:to>
    <xdr:graphicFrame macro="">
      <xdr:nvGraphicFramePr>
        <xdr:cNvPr id="355982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61</xdr:row>
      <xdr:rowOff>28575</xdr:rowOff>
    </xdr:from>
    <xdr:to>
      <xdr:col>11</xdr:col>
      <xdr:colOff>161925</xdr:colOff>
      <xdr:row>83</xdr:row>
      <xdr:rowOff>66675</xdr:rowOff>
    </xdr:to>
    <xdr:graphicFrame macro="">
      <xdr:nvGraphicFramePr>
        <xdr:cNvPr id="35598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16</xdr:row>
      <xdr:rowOff>28575</xdr:rowOff>
    </xdr:from>
    <xdr:to>
      <xdr:col>12</xdr:col>
      <xdr:colOff>28575</xdr:colOff>
      <xdr:row>38</xdr:row>
      <xdr:rowOff>66675</xdr:rowOff>
    </xdr:to>
    <xdr:graphicFrame macro="">
      <xdr:nvGraphicFramePr>
        <xdr:cNvPr id="190070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600075</xdr:colOff>
      <xdr:row>35</xdr:row>
      <xdr:rowOff>28575</xdr:rowOff>
    </xdr:from>
    <xdr:to>
      <xdr:col>26</xdr:col>
      <xdr:colOff>95250</xdr:colOff>
      <xdr:row>57</xdr:row>
      <xdr:rowOff>66675</xdr:rowOff>
    </xdr:to>
    <xdr:graphicFrame macro="">
      <xdr:nvGraphicFramePr>
        <xdr:cNvPr id="609414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47625</xdr:rowOff>
    </xdr:from>
    <xdr:to>
      <xdr:col>10</xdr:col>
      <xdr:colOff>600075</xdr:colOff>
      <xdr:row>57</xdr:row>
      <xdr:rowOff>85725</xdr:rowOff>
    </xdr:to>
    <xdr:graphicFrame macro="">
      <xdr:nvGraphicFramePr>
        <xdr:cNvPr id="609414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60</xdr:row>
      <xdr:rowOff>28575</xdr:rowOff>
    </xdr:from>
    <xdr:to>
      <xdr:col>11</xdr:col>
      <xdr:colOff>28575</xdr:colOff>
      <xdr:row>82</xdr:row>
      <xdr:rowOff>66675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0</xdr:colOff>
      <xdr:row>12</xdr:row>
      <xdr:rowOff>28575</xdr:rowOff>
    </xdr:from>
    <xdr:to>
      <xdr:col>18</xdr:col>
      <xdr:colOff>104775</xdr:colOff>
      <xdr:row>34</xdr:row>
      <xdr:rowOff>66675</xdr:rowOff>
    </xdr:to>
    <xdr:graphicFrame macro="">
      <xdr:nvGraphicFramePr>
        <xdr:cNvPr id="456020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19050</xdr:colOff>
      <xdr:row>40</xdr:row>
      <xdr:rowOff>57150</xdr:rowOff>
    </xdr:from>
    <xdr:to>
      <xdr:col>11</xdr:col>
      <xdr:colOff>391350</xdr:colOff>
      <xdr:row>62</xdr:row>
      <xdr:rowOff>94800</xdr:rowOff>
    </xdr:to>
    <xdr:graphicFrame macro="">
      <xdr:nvGraphicFramePr>
        <xdr:cNvPr id="449469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75</xdr:row>
      <xdr:rowOff>47625</xdr:rowOff>
    </xdr:from>
    <xdr:to>
      <xdr:col>11</xdr:col>
      <xdr:colOff>391350</xdr:colOff>
      <xdr:row>97</xdr:row>
      <xdr:rowOff>85275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125</xdr:row>
      <xdr:rowOff>28575</xdr:rowOff>
    </xdr:from>
    <xdr:to>
      <xdr:col>11</xdr:col>
      <xdr:colOff>381825</xdr:colOff>
      <xdr:row>147</xdr:row>
      <xdr:rowOff>66225</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9524</xdr:colOff>
      <xdr:row>100</xdr:row>
      <xdr:rowOff>28575</xdr:rowOff>
    </xdr:from>
    <xdr:to>
      <xdr:col>26</xdr:col>
      <xdr:colOff>115124</xdr:colOff>
      <xdr:row>122</xdr:row>
      <xdr:rowOff>66225</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100</xdr:row>
      <xdr:rowOff>28575</xdr:rowOff>
    </xdr:from>
    <xdr:to>
      <xdr:col>11</xdr:col>
      <xdr:colOff>400875</xdr:colOff>
      <xdr:row>122</xdr:row>
      <xdr:rowOff>66225</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75</xdr:row>
      <xdr:rowOff>28575</xdr:rowOff>
    </xdr:from>
    <xdr:to>
      <xdr:col>26</xdr:col>
      <xdr:colOff>124650</xdr:colOff>
      <xdr:row>97</xdr:row>
      <xdr:rowOff>66225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64</xdr:row>
      <xdr:rowOff>19050</xdr:rowOff>
    </xdr:from>
    <xdr:to>
      <xdr:col>12</xdr:col>
      <xdr:colOff>28575</xdr:colOff>
      <xdr:row>86</xdr:row>
      <xdr:rowOff>57150</xdr:rowOff>
    </xdr:to>
    <xdr:graphicFrame macro="">
      <xdr:nvGraphicFramePr>
        <xdr:cNvPr id="481850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89</xdr:row>
      <xdr:rowOff>9525</xdr:rowOff>
    </xdr:from>
    <xdr:to>
      <xdr:col>12</xdr:col>
      <xdr:colOff>38100</xdr:colOff>
      <xdr:row>111</xdr:row>
      <xdr:rowOff>47625</xdr:rowOff>
    </xdr:to>
    <xdr:graphicFrame macro="">
      <xdr:nvGraphicFramePr>
        <xdr:cNvPr id="481850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89</xdr:row>
      <xdr:rowOff>9525</xdr:rowOff>
    </xdr:from>
    <xdr:to>
      <xdr:col>27</xdr:col>
      <xdr:colOff>114300</xdr:colOff>
      <xdr:row>111</xdr:row>
      <xdr:rowOff>47625</xdr:rowOff>
    </xdr:to>
    <xdr:graphicFrame macro="">
      <xdr:nvGraphicFramePr>
        <xdr:cNvPr id="481850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19050</xdr:colOff>
      <xdr:row>189</xdr:row>
      <xdr:rowOff>76203</xdr:rowOff>
    </xdr:from>
    <xdr:to>
      <xdr:col>27</xdr:col>
      <xdr:colOff>123825</xdr:colOff>
      <xdr:row>216</xdr:row>
      <xdr:rowOff>24228</xdr:rowOff>
    </xdr:to>
    <xdr:pic>
      <xdr:nvPicPr>
        <xdr:cNvPr id="20" name="Picture 19"/>
        <xdr:cNvPicPr>
          <a:picLocks noChangeAspect="1"/>
        </xdr:cNvPicPr>
      </xdr:nvPicPr>
      <xdr:blipFill>
        <a:blip xmlns:r="http://schemas.openxmlformats.org/officeDocument/2006/relationships" r:embed="rId4" cstate="print"/>
        <a:stretch>
          <a:fillRect/>
        </a:stretch>
      </xdr:blipFill>
      <xdr:spPr>
        <a:xfrm>
          <a:off x="8915400" y="32232603"/>
          <a:ext cx="8639175" cy="4320000"/>
        </a:xfrm>
        <a:prstGeom prst="rect">
          <a:avLst/>
        </a:prstGeom>
      </xdr:spPr>
    </xdr:pic>
    <xdr:clientData/>
  </xdr:twoCellAnchor>
  <xdr:twoCellAnchor editAs="oneCell">
    <xdr:from>
      <xdr:col>0</xdr:col>
      <xdr:colOff>0</xdr:colOff>
      <xdr:row>114</xdr:row>
      <xdr:rowOff>0</xdr:rowOff>
    </xdr:from>
    <xdr:to>
      <xdr:col>12</xdr:col>
      <xdr:colOff>352424</xdr:colOff>
      <xdr:row>136</xdr:row>
      <xdr:rowOff>37650</xdr:rowOff>
    </xdr:to>
    <xdr:pic>
      <xdr:nvPicPr>
        <xdr:cNvPr id="2" name="Picture 1"/>
        <xdr:cNvPicPr>
          <a:picLocks noChangeAspect="1"/>
        </xdr:cNvPicPr>
      </xdr:nvPicPr>
      <xdr:blipFill>
        <a:blip xmlns:r="http://schemas.openxmlformats.org/officeDocument/2006/relationships" r:embed="rId5" cstate="print"/>
        <a:stretch>
          <a:fillRect/>
        </a:stretch>
      </xdr:blipFill>
      <xdr:spPr>
        <a:xfrm>
          <a:off x="0" y="19973925"/>
          <a:ext cx="8639174" cy="3600000"/>
        </a:xfrm>
        <a:prstGeom prst="rect">
          <a:avLst/>
        </a:prstGeom>
      </xdr:spPr>
    </xdr:pic>
    <xdr:clientData/>
  </xdr:twoCellAnchor>
  <xdr:twoCellAnchor editAs="oneCell">
    <xdr:from>
      <xdr:col>13</xdr:col>
      <xdr:colOff>0</xdr:colOff>
      <xdr:row>114</xdr:row>
      <xdr:rowOff>1</xdr:rowOff>
    </xdr:from>
    <xdr:to>
      <xdr:col>27</xdr:col>
      <xdr:colOff>105600</xdr:colOff>
      <xdr:row>136</xdr:row>
      <xdr:rowOff>38100</xdr:rowOff>
    </xdr:to>
    <xdr:pic>
      <xdr:nvPicPr>
        <xdr:cNvPr id="3" name="Picture 2"/>
        <xdr:cNvPicPr>
          <a:picLocks noChangeAspect="1"/>
        </xdr:cNvPicPr>
      </xdr:nvPicPr>
      <xdr:blipFill>
        <a:blip xmlns:r="http://schemas.openxmlformats.org/officeDocument/2006/relationships" r:embed="rId6" cstate="print"/>
        <a:stretch>
          <a:fillRect/>
        </a:stretch>
      </xdr:blipFill>
      <xdr:spPr>
        <a:xfrm>
          <a:off x="8896350" y="19973926"/>
          <a:ext cx="8640000" cy="3600449"/>
        </a:xfrm>
        <a:prstGeom prst="rect">
          <a:avLst/>
        </a:prstGeom>
      </xdr:spPr>
    </xdr:pic>
    <xdr:clientData/>
  </xdr:twoCellAnchor>
  <xdr:twoCellAnchor editAs="oneCell">
    <xdr:from>
      <xdr:col>0</xdr:col>
      <xdr:colOff>0</xdr:colOff>
      <xdr:row>139</xdr:row>
      <xdr:rowOff>0</xdr:rowOff>
    </xdr:from>
    <xdr:to>
      <xdr:col>12</xdr:col>
      <xdr:colOff>353250</xdr:colOff>
      <xdr:row>161</xdr:row>
      <xdr:rowOff>38100</xdr:rowOff>
    </xdr:to>
    <xdr:pic>
      <xdr:nvPicPr>
        <xdr:cNvPr id="11" name="Picture 10"/>
        <xdr:cNvPicPr>
          <a:picLocks noChangeAspect="1"/>
        </xdr:cNvPicPr>
      </xdr:nvPicPr>
      <xdr:blipFill>
        <a:blip xmlns:r="http://schemas.openxmlformats.org/officeDocument/2006/relationships" r:embed="rId7" cstate="print"/>
        <a:stretch>
          <a:fillRect/>
        </a:stretch>
      </xdr:blipFill>
      <xdr:spPr>
        <a:xfrm>
          <a:off x="0" y="24041100"/>
          <a:ext cx="8640000" cy="3600450"/>
        </a:xfrm>
        <a:prstGeom prst="rect">
          <a:avLst/>
        </a:prstGeom>
      </xdr:spPr>
    </xdr:pic>
    <xdr:clientData/>
  </xdr:twoCellAnchor>
  <xdr:twoCellAnchor editAs="oneCell">
    <xdr:from>
      <xdr:col>12</xdr:col>
      <xdr:colOff>609599</xdr:colOff>
      <xdr:row>139</xdr:row>
      <xdr:rowOff>0</xdr:rowOff>
    </xdr:from>
    <xdr:to>
      <xdr:col>27</xdr:col>
      <xdr:colOff>105599</xdr:colOff>
      <xdr:row>161</xdr:row>
      <xdr:rowOff>38099</xdr:rowOff>
    </xdr:to>
    <xdr:pic>
      <xdr:nvPicPr>
        <xdr:cNvPr id="12" name="Picture 11"/>
        <xdr:cNvPicPr>
          <a:picLocks noChangeAspect="1"/>
        </xdr:cNvPicPr>
      </xdr:nvPicPr>
      <xdr:blipFill>
        <a:blip xmlns:r="http://schemas.openxmlformats.org/officeDocument/2006/relationships" r:embed="rId8" cstate="print"/>
        <a:stretch>
          <a:fillRect/>
        </a:stretch>
      </xdr:blipFill>
      <xdr:spPr>
        <a:xfrm>
          <a:off x="8896349" y="24041100"/>
          <a:ext cx="8640000" cy="3600449"/>
        </a:xfrm>
        <a:prstGeom prst="rect">
          <a:avLst/>
        </a:prstGeom>
      </xdr:spPr>
    </xdr:pic>
    <xdr:clientData/>
  </xdr:twoCellAnchor>
  <xdr:twoCellAnchor editAs="oneCell">
    <xdr:from>
      <xdr:col>0</xdr:col>
      <xdr:colOff>0</xdr:colOff>
      <xdr:row>164</xdr:row>
      <xdr:rowOff>0</xdr:rowOff>
    </xdr:from>
    <xdr:to>
      <xdr:col>12</xdr:col>
      <xdr:colOff>352424</xdr:colOff>
      <xdr:row>186</xdr:row>
      <xdr:rowOff>37650</xdr:rowOff>
    </xdr:to>
    <xdr:pic>
      <xdr:nvPicPr>
        <xdr:cNvPr id="13" name="Picture 12"/>
        <xdr:cNvPicPr>
          <a:picLocks noChangeAspect="1"/>
        </xdr:cNvPicPr>
      </xdr:nvPicPr>
      <xdr:blipFill>
        <a:blip xmlns:r="http://schemas.openxmlformats.org/officeDocument/2006/relationships" r:embed="rId9" cstate="print"/>
        <a:stretch>
          <a:fillRect/>
        </a:stretch>
      </xdr:blipFill>
      <xdr:spPr>
        <a:xfrm>
          <a:off x="0" y="28108275"/>
          <a:ext cx="8639174" cy="3600000"/>
        </a:xfrm>
        <a:prstGeom prst="rect">
          <a:avLst/>
        </a:prstGeom>
      </xdr:spPr>
    </xdr:pic>
    <xdr:clientData/>
  </xdr:twoCellAnchor>
  <xdr:twoCellAnchor editAs="oneCell">
    <xdr:from>
      <xdr:col>13</xdr:col>
      <xdr:colOff>2</xdr:colOff>
      <xdr:row>164</xdr:row>
      <xdr:rowOff>0</xdr:rowOff>
    </xdr:from>
    <xdr:to>
      <xdr:col>27</xdr:col>
      <xdr:colOff>104776</xdr:colOff>
      <xdr:row>186</xdr:row>
      <xdr:rowOff>37650</xdr:rowOff>
    </xdr:to>
    <xdr:pic>
      <xdr:nvPicPr>
        <xdr:cNvPr id="15" name="Picture 14"/>
        <xdr:cNvPicPr>
          <a:picLocks noChangeAspect="1"/>
        </xdr:cNvPicPr>
      </xdr:nvPicPr>
      <xdr:blipFill>
        <a:blip xmlns:r="http://schemas.openxmlformats.org/officeDocument/2006/relationships" r:embed="rId10" cstate="print"/>
        <a:stretch>
          <a:fillRect/>
        </a:stretch>
      </xdr:blipFill>
      <xdr:spPr>
        <a:xfrm>
          <a:off x="8896352" y="28108275"/>
          <a:ext cx="8639174" cy="3600000"/>
        </a:xfrm>
        <a:prstGeom prst="rect">
          <a:avLst/>
        </a:prstGeom>
      </xdr:spPr>
    </xdr:pic>
    <xdr:clientData/>
  </xdr:twoCellAnchor>
  <xdr:twoCellAnchor editAs="oneCell">
    <xdr:from>
      <xdr:col>0</xdr:col>
      <xdr:colOff>0</xdr:colOff>
      <xdr:row>189</xdr:row>
      <xdr:rowOff>0</xdr:rowOff>
    </xdr:from>
    <xdr:to>
      <xdr:col>12</xdr:col>
      <xdr:colOff>352425</xdr:colOff>
      <xdr:row>211</xdr:row>
      <xdr:rowOff>37650</xdr:rowOff>
    </xdr:to>
    <xdr:pic>
      <xdr:nvPicPr>
        <xdr:cNvPr id="16" name="Picture 15"/>
        <xdr:cNvPicPr>
          <a:picLocks noChangeAspect="1"/>
        </xdr:cNvPicPr>
      </xdr:nvPicPr>
      <xdr:blipFill>
        <a:blip xmlns:r="http://schemas.openxmlformats.org/officeDocument/2006/relationships" r:embed="rId11" cstate="print"/>
        <a:stretch>
          <a:fillRect/>
        </a:stretch>
      </xdr:blipFill>
      <xdr:spPr>
        <a:xfrm>
          <a:off x="0" y="32156400"/>
          <a:ext cx="8639175" cy="360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11</xdr:col>
      <xdr:colOff>419100</xdr:colOff>
      <xdr:row>38</xdr:row>
      <xdr:rowOff>76200</xdr:rowOff>
    </xdr:to>
    <xdr:graphicFrame macro="">
      <xdr:nvGraphicFramePr>
        <xdr:cNvPr id="455283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85725</xdr:colOff>
      <xdr:row>13</xdr:row>
      <xdr:rowOff>28575</xdr:rowOff>
    </xdr:from>
    <xdr:to>
      <xdr:col>13</xdr:col>
      <xdr:colOff>85725</xdr:colOff>
      <xdr:row>35</xdr:row>
      <xdr:rowOff>66675</xdr:rowOff>
    </xdr:to>
    <xdr:graphicFrame macro="">
      <xdr:nvGraphicFramePr>
        <xdr:cNvPr id="6622826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0.5504</cdr:x>
      <cdr:y>0.32683</cdr:y>
    </cdr:from>
    <cdr:to>
      <cdr:x>0.71419</cdr:x>
      <cdr:y>0.42725</cdr:y>
    </cdr:to>
    <cdr:sp macro="" textlink="">
      <cdr:nvSpPr>
        <cdr:cNvPr id="2" name="Oval 1"/>
        <cdr:cNvSpPr/>
      </cdr:nvSpPr>
      <cdr:spPr>
        <a:xfrm xmlns:a="http://schemas.openxmlformats.org/drawingml/2006/main" rot="1909840">
          <a:off x="4383197" y="1186065"/>
          <a:ext cx="1304386" cy="364439"/>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0.40885</cdr:x>
      <cdr:y>0.06186</cdr:y>
    </cdr:from>
    <cdr:to>
      <cdr:x>0.46288</cdr:x>
      <cdr:y>0.55836</cdr:y>
    </cdr:to>
    <cdr:sp macro="" textlink="">
      <cdr:nvSpPr>
        <cdr:cNvPr id="3" name="Oval 2"/>
        <cdr:cNvSpPr/>
      </cdr:nvSpPr>
      <cdr:spPr>
        <a:xfrm xmlns:a="http://schemas.openxmlformats.org/drawingml/2006/main" rot="7462383">
          <a:off x="2570198" y="910251"/>
          <a:ext cx="1801844" cy="430294"/>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28575</xdr:colOff>
      <xdr:row>24</xdr:row>
      <xdr:rowOff>28575</xdr:rowOff>
    </xdr:from>
    <xdr:to>
      <xdr:col>9</xdr:col>
      <xdr:colOff>152400</xdr:colOff>
      <xdr:row>46</xdr:row>
      <xdr:rowOff>66675</xdr:rowOff>
    </xdr:to>
    <xdr:graphicFrame macro="">
      <xdr:nvGraphicFramePr>
        <xdr:cNvPr id="648081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24</xdr:row>
      <xdr:rowOff>28575</xdr:rowOff>
    </xdr:from>
    <xdr:to>
      <xdr:col>21</xdr:col>
      <xdr:colOff>153225</xdr:colOff>
      <xdr:row>46</xdr:row>
      <xdr:rowOff>66675</xdr:rowOff>
    </xdr:to>
    <xdr:graphicFrame macro="">
      <xdr:nvGraphicFramePr>
        <xdr:cNvPr id="64808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49</xdr:row>
      <xdr:rowOff>47625</xdr:rowOff>
    </xdr:from>
    <xdr:to>
      <xdr:col>9</xdr:col>
      <xdr:colOff>314325</xdr:colOff>
      <xdr:row>72</xdr:row>
      <xdr:rowOff>9525</xdr:rowOff>
    </xdr:to>
    <xdr:graphicFrame macro="">
      <xdr:nvGraphicFramePr>
        <xdr:cNvPr id="64808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49</xdr:row>
      <xdr:rowOff>28575</xdr:rowOff>
    </xdr:from>
    <xdr:to>
      <xdr:col>21</xdr:col>
      <xdr:colOff>153225</xdr:colOff>
      <xdr:row>71</xdr:row>
      <xdr:rowOff>66225</xdr:rowOff>
    </xdr:to>
    <xdr:graphicFrame macro="">
      <xdr:nvGraphicFramePr>
        <xdr:cNvPr id="64808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13</xdr:col>
      <xdr:colOff>76200</xdr:colOff>
      <xdr:row>38</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xdr:colOff>
      <xdr:row>30</xdr:row>
      <xdr:rowOff>47625</xdr:rowOff>
    </xdr:from>
    <xdr:to>
      <xdr:col>11</xdr:col>
      <xdr:colOff>448500</xdr:colOff>
      <xdr:row>52</xdr:row>
      <xdr:rowOff>85725</xdr:rowOff>
    </xdr:to>
    <xdr:graphicFrame macro="">
      <xdr:nvGraphicFramePr>
        <xdr:cNvPr id="45315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56</xdr:row>
      <xdr:rowOff>9525</xdr:rowOff>
    </xdr:from>
    <xdr:to>
      <xdr:col>26</xdr:col>
      <xdr:colOff>115125</xdr:colOff>
      <xdr:row>78</xdr:row>
      <xdr:rowOff>47625</xdr:rowOff>
    </xdr:to>
    <xdr:graphicFrame macro="">
      <xdr:nvGraphicFramePr>
        <xdr:cNvPr id="453154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81</xdr:row>
      <xdr:rowOff>28575</xdr:rowOff>
    </xdr:from>
    <xdr:to>
      <xdr:col>11</xdr:col>
      <xdr:colOff>447675</xdr:colOff>
      <xdr:row>103</xdr:row>
      <xdr:rowOff>66675</xdr:rowOff>
    </xdr:to>
    <xdr:graphicFrame macro="">
      <xdr:nvGraphicFramePr>
        <xdr:cNvPr id="45315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81</xdr:row>
      <xdr:rowOff>28575</xdr:rowOff>
    </xdr:from>
    <xdr:to>
      <xdr:col>26</xdr:col>
      <xdr:colOff>124650</xdr:colOff>
      <xdr:row>103</xdr:row>
      <xdr:rowOff>66675</xdr:rowOff>
    </xdr:to>
    <xdr:graphicFrame macro="">
      <xdr:nvGraphicFramePr>
        <xdr:cNvPr id="453154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106</xdr:row>
      <xdr:rowOff>38100</xdr:rowOff>
    </xdr:from>
    <xdr:to>
      <xdr:col>11</xdr:col>
      <xdr:colOff>438150</xdr:colOff>
      <xdr:row>128</xdr:row>
      <xdr:rowOff>76200</xdr:rowOff>
    </xdr:to>
    <xdr:graphicFrame macro="">
      <xdr:nvGraphicFramePr>
        <xdr:cNvPr id="45315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56</xdr:row>
      <xdr:rowOff>47625</xdr:rowOff>
    </xdr:from>
    <xdr:to>
      <xdr:col>11</xdr:col>
      <xdr:colOff>457200</xdr:colOff>
      <xdr:row>78</xdr:row>
      <xdr:rowOff>85725</xdr:rowOff>
    </xdr:to>
    <xdr:graphicFrame macro="">
      <xdr:nvGraphicFramePr>
        <xdr:cNvPr id="453154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233</xdr:row>
      <xdr:rowOff>19050</xdr:rowOff>
    </xdr:from>
    <xdr:to>
      <xdr:col>11</xdr:col>
      <xdr:colOff>448500</xdr:colOff>
      <xdr:row>255</xdr:row>
      <xdr:rowOff>57150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233</xdr:row>
      <xdr:rowOff>9525</xdr:rowOff>
    </xdr:from>
    <xdr:to>
      <xdr:col>26</xdr:col>
      <xdr:colOff>104775</xdr:colOff>
      <xdr:row>255</xdr:row>
      <xdr:rowOff>47625</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9525</xdr:colOff>
      <xdr:row>258</xdr:row>
      <xdr:rowOff>28575</xdr:rowOff>
    </xdr:from>
    <xdr:to>
      <xdr:col>26</xdr:col>
      <xdr:colOff>114300</xdr:colOff>
      <xdr:row>280</xdr:row>
      <xdr:rowOff>66675</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283</xdr:row>
      <xdr:rowOff>38100</xdr:rowOff>
    </xdr:from>
    <xdr:to>
      <xdr:col>11</xdr:col>
      <xdr:colOff>447675</xdr:colOff>
      <xdr:row>305</xdr:row>
      <xdr:rowOff>76200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258</xdr:row>
      <xdr:rowOff>47625</xdr:rowOff>
    </xdr:from>
    <xdr:to>
      <xdr:col>11</xdr:col>
      <xdr:colOff>447675</xdr:colOff>
      <xdr:row>280</xdr:row>
      <xdr:rowOff>85725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156</xdr:row>
      <xdr:rowOff>152400</xdr:rowOff>
    </xdr:from>
    <xdr:to>
      <xdr:col>11</xdr:col>
      <xdr:colOff>438975</xdr:colOff>
      <xdr:row>179</xdr:row>
      <xdr:rowOff>28575</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157</xdr:row>
      <xdr:rowOff>9525</xdr:rowOff>
    </xdr:from>
    <xdr:to>
      <xdr:col>26</xdr:col>
      <xdr:colOff>295275</xdr:colOff>
      <xdr:row>179</xdr:row>
      <xdr:rowOff>38100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xdr:colOff>
      <xdr:row>182</xdr:row>
      <xdr:rowOff>38100</xdr:rowOff>
    </xdr:from>
    <xdr:to>
      <xdr:col>11</xdr:col>
      <xdr:colOff>458025</xdr:colOff>
      <xdr:row>204</xdr:row>
      <xdr:rowOff>75750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xdr:colOff>
      <xdr:row>182</xdr:row>
      <xdr:rowOff>47625</xdr:rowOff>
    </xdr:from>
    <xdr:to>
      <xdr:col>26</xdr:col>
      <xdr:colOff>123825</xdr:colOff>
      <xdr:row>204</xdr:row>
      <xdr:rowOff>85725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207</xdr:row>
      <xdr:rowOff>76200</xdr:rowOff>
    </xdr:from>
    <xdr:to>
      <xdr:col>11</xdr:col>
      <xdr:colOff>447675</xdr:colOff>
      <xdr:row>229</xdr:row>
      <xdr:rowOff>114300</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130</xdr:row>
      <xdr:rowOff>152400</xdr:rowOff>
    </xdr:from>
    <xdr:to>
      <xdr:col>11</xdr:col>
      <xdr:colOff>438150</xdr:colOff>
      <xdr:row>153</xdr:row>
      <xdr:rowOff>28575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9525</xdr:colOff>
      <xdr:row>131</xdr:row>
      <xdr:rowOff>9525</xdr:rowOff>
    </xdr:from>
    <xdr:to>
      <xdr:col>26</xdr:col>
      <xdr:colOff>114300</xdr:colOff>
      <xdr:row>153</xdr:row>
      <xdr:rowOff>47625</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0.11164</cdr:x>
      <cdr:y>0.26554</cdr:y>
    </cdr:from>
    <cdr:to>
      <cdr:x>0.31993</cdr:x>
      <cdr:y>0.39781</cdr:y>
    </cdr:to>
    <cdr:sp macro="" textlink="">
      <cdr:nvSpPr>
        <cdr:cNvPr id="2" name="Oval 1"/>
        <cdr:cNvSpPr/>
      </cdr:nvSpPr>
      <cdr:spPr>
        <a:xfrm xmlns:a="http://schemas.openxmlformats.org/drawingml/2006/main" rot="20628743">
          <a:off x="964516" y="956048"/>
          <a:ext cx="1799454" cy="47623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0.78814</cdr:x>
      <cdr:y>0.23986</cdr:y>
    </cdr:from>
    <cdr:to>
      <cdr:x>0.95099</cdr:x>
      <cdr:y>0.3567</cdr:y>
    </cdr:to>
    <cdr:sp macro="" textlink="">
      <cdr:nvSpPr>
        <cdr:cNvPr id="3" name="Oval 2"/>
        <cdr:cNvSpPr/>
      </cdr:nvSpPr>
      <cdr:spPr>
        <a:xfrm xmlns:a="http://schemas.openxmlformats.org/drawingml/2006/main" rot="17944973" flipH="1">
          <a:off x="7301999" y="370494"/>
          <a:ext cx="420677" cy="1406889"/>
        </a:xfrm>
        <a:prstGeom xmlns:a="http://schemas.openxmlformats.org/drawingml/2006/main" prst="ellips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GB"/>
        </a:p>
      </cdr:txBody>
    </cdr:sp>
  </cdr:relSizeAnchor>
</c:userShapes>
</file>

<file path=xl/drawings/drawing54.xml><?xml version="1.0" encoding="utf-8"?>
<c:userShapes xmlns:c="http://schemas.openxmlformats.org/drawingml/2006/chart">
  <cdr:relSizeAnchor xmlns:cdr="http://schemas.openxmlformats.org/drawingml/2006/chartDrawing">
    <cdr:from>
      <cdr:x>0.14347</cdr:x>
      <cdr:y>0.39681</cdr:y>
    </cdr:from>
    <cdr:to>
      <cdr:x>0.30466</cdr:x>
      <cdr:y>0.5029</cdr:y>
    </cdr:to>
    <cdr:sp macro="" textlink="">
      <cdr:nvSpPr>
        <cdr:cNvPr id="2" name="Oval 1"/>
        <cdr:cNvSpPr/>
      </cdr:nvSpPr>
      <cdr:spPr>
        <a:xfrm xmlns:a="http://schemas.openxmlformats.org/drawingml/2006/main" rot="20095173">
          <a:off x="1239474" y="1428691"/>
          <a:ext cx="1392512" cy="38197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0.7814</cdr:x>
      <cdr:y>0.39183</cdr:y>
    </cdr:from>
    <cdr:to>
      <cdr:x>0.95354</cdr:x>
      <cdr:y>0.53692</cdr:y>
    </cdr:to>
    <cdr:sp macro="" textlink="">
      <cdr:nvSpPr>
        <cdr:cNvPr id="3" name="Oval 2"/>
        <cdr:cNvSpPr/>
      </cdr:nvSpPr>
      <cdr:spPr>
        <a:xfrm xmlns:a="http://schemas.openxmlformats.org/drawingml/2006/main" rot="18232722" flipH="1">
          <a:off x="7233061" y="928370"/>
          <a:ext cx="522389" cy="1487149"/>
        </a:xfrm>
        <a:prstGeom xmlns:a="http://schemas.openxmlformats.org/drawingml/2006/main" prst="ellips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GB"/>
        </a:p>
      </cdr:txBody>
    </cdr:sp>
  </cdr:relSizeAnchor>
</c:userShapes>
</file>

<file path=xl/drawings/drawing55.xml><?xml version="1.0" encoding="utf-8"?>
<c:userShapes xmlns:c="http://schemas.openxmlformats.org/drawingml/2006/chart">
  <cdr:relSizeAnchor xmlns:cdr="http://schemas.openxmlformats.org/drawingml/2006/chartDrawing">
    <cdr:from>
      <cdr:x>0.13807</cdr:x>
      <cdr:y>0.34834</cdr:y>
    </cdr:from>
    <cdr:to>
      <cdr:x>0.31425</cdr:x>
      <cdr:y>0.43627</cdr:y>
    </cdr:to>
    <cdr:sp macro="" textlink="">
      <cdr:nvSpPr>
        <cdr:cNvPr id="2" name="Oval 1"/>
        <cdr:cNvSpPr/>
      </cdr:nvSpPr>
      <cdr:spPr>
        <a:xfrm xmlns:a="http://schemas.openxmlformats.org/drawingml/2006/main" rot="20334213">
          <a:off x="1192831" y="1254170"/>
          <a:ext cx="1522049" cy="31658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0.4891</cdr:x>
      <cdr:y>0.07154</cdr:y>
    </cdr:from>
    <cdr:to>
      <cdr:x>0.64609</cdr:x>
      <cdr:y>0.14288</cdr:y>
    </cdr:to>
    <cdr:sp macro="" textlink="">
      <cdr:nvSpPr>
        <cdr:cNvPr id="2" name="Oval 1"/>
        <cdr:cNvSpPr/>
      </cdr:nvSpPr>
      <cdr:spPr>
        <a:xfrm xmlns:a="http://schemas.openxmlformats.org/drawingml/2006/main" rot="877522">
          <a:off x="3886315" y="257634"/>
          <a:ext cx="1247414" cy="256913"/>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0.81186</cdr:x>
      <cdr:y>0.00412</cdr:y>
    </cdr:from>
    <cdr:to>
      <cdr:x>0.97944</cdr:x>
      <cdr:y>0.61186</cdr:y>
    </cdr:to>
    <cdr:sp macro="" textlink="">
      <cdr:nvSpPr>
        <cdr:cNvPr id="3" name="Oval 2"/>
        <cdr:cNvSpPr/>
      </cdr:nvSpPr>
      <cdr:spPr>
        <a:xfrm xmlns:a="http://schemas.openxmlformats.org/drawingml/2006/main" rot="3924868">
          <a:off x="6029947" y="450400"/>
          <a:ext cx="2205517" cy="1334608"/>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12</xdr:col>
      <xdr:colOff>333375</xdr:colOff>
      <xdr:row>53</xdr:row>
      <xdr:rowOff>57150</xdr:rowOff>
    </xdr:to>
    <xdr:graphicFrame macro="">
      <xdr:nvGraphicFramePr>
        <xdr:cNvPr id="613715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31</xdr:row>
      <xdr:rowOff>9525</xdr:rowOff>
    </xdr:from>
    <xdr:to>
      <xdr:col>27</xdr:col>
      <xdr:colOff>142875</xdr:colOff>
      <xdr:row>53</xdr:row>
      <xdr:rowOff>47625</xdr:rowOff>
    </xdr:to>
    <xdr:graphicFrame macro="">
      <xdr:nvGraphicFramePr>
        <xdr:cNvPr id="613715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56</xdr:row>
      <xdr:rowOff>19050</xdr:rowOff>
    </xdr:from>
    <xdr:to>
      <xdr:col>12</xdr:col>
      <xdr:colOff>333375</xdr:colOff>
      <xdr:row>78</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16</xdr:row>
      <xdr:rowOff>95250</xdr:rowOff>
    </xdr:from>
    <xdr:to>
      <xdr:col>12</xdr:col>
      <xdr:colOff>542925</xdr:colOff>
      <xdr:row>38</xdr:row>
      <xdr:rowOff>133350</xdr:rowOff>
    </xdr:to>
    <xdr:graphicFrame macro="">
      <xdr:nvGraphicFramePr>
        <xdr:cNvPr id="4554881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mackie\Desktop\AE_activity_waiting_times_Jun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amp;Notes"/>
      <sheetName val="board_comparison"/>
      <sheetName val="Compliance"/>
      <sheetName val="Disc_dest"/>
      <sheetName val="inputdata"/>
      <sheetName val="Lookups"/>
    </sheetNames>
    <sheetDataSet>
      <sheetData sheetId="0" refreshError="1"/>
      <sheetData sheetId="1" refreshError="1"/>
      <sheetData sheetId="2" refreshError="1"/>
      <sheetData sheetId="3" refreshError="1"/>
      <sheetData sheetId="4"/>
      <sheetData sheetId="5">
        <row r="10">
          <cell r="L10" t="str">
            <v>inputdata!$A:$A</v>
          </cell>
        </row>
        <row r="11">
          <cell r="L11" t="str">
            <v>inputdata!$G:$G</v>
          </cell>
        </row>
        <row r="22">
          <cell r="L22" t="str">
            <v>inputdata!$I:$I</v>
          </cell>
        </row>
      </sheetData>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gov.scot/Topics/Statistics/SIMD" TargetMode="External"/><Relationship Id="rId2" Type="http://schemas.openxmlformats.org/officeDocument/2006/relationships/hyperlink" Target="http://www.isdscotland.org/Health-Topics/Mental-Health/Publications/2017-01-24/2017-01-24-DementiaPDS-Summary.pdf?" TargetMode="External"/><Relationship Id="rId1" Type="http://schemas.openxmlformats.org/officeDocument/2006/relationships/hyperlink" Target="http://www.ahrq.gov/professionals/quality-patient-safety/talkingquality/create/sixdomain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0"/>
  <sheetViews>
    <sheetView tabSelected="1" workbookViewId="0"/>
  </sheetViews>
  <sheetFormatPr defaultColWidth="9.140625" defaultRowHeight="12.75" x14ac:dyDescent="0.2"/>
  <cols>
    <col min="1" max="1" width="46" style="107" bestFit="1" customWidth="1"/>
    <col min="2" max="2" width="22" style="107" bestFit="1" customWidth="1"/>
    <col min="3" max="3" width="20.140625" style="107" bestFit="1" customWidth="1"/>
    <col min="4" max="4" width="9.140625" style="107"/>
    <col min="5" max="5" width="9.85546875" style="107" bestFit="1" customWidth="1"/>
    <col min="6" max="6" width="21.140625" style="107" bestFit="1" customWidth="1"/>
    <col min="7" max="7" width="41.7109375" style="107" bestFit="1" customWidth="1"/>
    <col min="8" max="8" width="9.140625" style="107" customWidth="1"/>
    <col min="9" max="9" width="9.140625" style="256" customWidth="1"/>
    <col min="10" max="16384" width="9.140625" style="107"/>
  </cols>
  <sheetData>
    <row r="1" spans="1:9" ht="20.25" x14ac:dyDescent="0.3">
      <c r="A1" s="323" t="s">
        <v>318</v>
      </c>
      <c r="I1" s="803"/>
    </row>
    <row r="2" spans="1:9" ht="15" customHeight="1" x14ac:dyDescent="0.2">
      <c r="A2" s="127"/>
      <c r="I2" s="803"/>
    </row>
    <row r="3" spans="1:9" ht="15" customHeight="1" x14ac:dyDescent="0.2">
      <c r="A3" s="106" t="s">
        <v>117</v>
      </c>
      <c r="I3" s="803"/>
    </row>
    <row r="4" spans="1:9" ht="15" customHeight="1" x14ac:dyDescent="0.2">
      <c r="A4" s="127"/>
      <c r="I4" s="803"/>
    </row>
    <row r="5" spans="1:9" x14ac:dyDescent="0.2">
      <c r="A5" s="127"/>
      <c r="B5" s="325" t="s">
        <v>434</v>
      </c>
      <c r="C5" s="325" t="s">
        <v>435</v>
      </c>
      <c r="E5" s="325" t="s">
        <v>215</v>
      </c>
      <c r="F5" s="325" t="s">
        <v>434</v>
      </c>
      <c r="G5" s="325" t="s">
        <v>435</v>
      </c>
      <c r="I5" s="804"/>
    </row>
    <row r="6" spans="1:9" ht="15" customHeight="1" x14ac:dyDescent="0.2">
      <c r="A6" s="106" t="s">
        <v>320</v>
      </c>
      <c r="B6" s="326">
        <f>'A&amp;E WT'!B5</f>
        <v>43070</v>
      </c>
      <c r="C6" s="327" t="str">
        <f>'A&amp;E WT'!B7</f>
        <v>1st Friday of Month</v>
      </c>
      <c r="E6" s="328" t="s">
        <v>216</v>
      </c>
      <c r="F6" s="326">
        <f>'A&amp;E WT - Published'!B4</f>
        <v>43040</v>
      </c>
      <c r="G6" s="326" t="str">
        <f>'A&amp;E WT - Published'!B5</f>
        <v>1st Tuesday of the month</v>
      </c>
      <c r="I6" s="805"/>
    </row>
    <row r="7" spans="1:9" x14ac:dyDescent="0.2">
      <c r="A7" s="106" t="s">
        <v>319</v>
      </c>
      <c r="B7" s="326">
        <f>ABI!B6</f>
        <v>42979</v>
      </c>
      <c r="C7" s="256" t="str">
        <f>ABI!B8</f>
        <v>End of 1/4 + 6 weeks</v>
      </c>
      <c r="E7" s="328" t="s">
        <v>216</v>
      </c>
      <c r="F7" s="326" t="str">
        <f>'ABI - Published'!B4</f>
        <v>2016/17</v>
      </c>
      <c r="G7" s="326" t="str">
        <f>'ABI - Published'!B5</f>
        <v>Mid June</v>
      </c>
      <c r="I7" s="803"/>
    </row>
    <row r="8" spans="1:9" x14ac:dyDescent="0.2">
      <c r="A8" s="106" t="s">
        <v>321</v>
      </c>
      <c r="B8" s="326">
        <f>Antenatal!B5</f>
        <v>43040</v>
      </c>
      <c r="C8" s="256" t="str">
        <f>Antenatal!B7</f>
        <v>25th (+ 2 months)</v>
      </c>
      <c r="E8" s="328" t="s">
        <v>216</v>
      </c>
      <c r="F8" s="326" t="str">
        <f>'Antenatal - Published'!B4</f>
        <v>2015/16</v>
      </c>
      <c r="G8" s="326" t="str">
        <f>'Antenatal - Published'!B5</f>
        <v>End of November</v>
      </c>
      <c r="I8" s="803"/>
    </row>
    <row r="9" spans="1:9" x14ac:dyDescent="0.2">
      <c r="A9" s="106" t="s">
        <v>322</v>
      </c>
      <c r="B9" s="326">
        <f>CAMHS!B5</f>
        <v>43070</v>
      </c>
      <c r="C9" s="256" t="str">
        <f>CAMHS!B7</f>
        <v>23rd</v>
      </c>
      <c r="E9" s="328" t="s">
        <v>216</v>
      </c>
      <c r="F9" s="326">
        <f>'CAMHS - Published'!B4</f>
        <v>43008</v>
      </c>
      <c r="G9" s="326" t="str">
        <f>'CAMHS - Published'!B5</f>
        <v>Start of March, June, September &amp; December</v>
      </c>
      <c r="I9" s="805"/>
    </row>
    <row r="10" spans="1:9" x14ac:dyDescent="0.2">
      <c r="A10" s="106" t="s">
        <v>323</v>
      </c>
      <c r="B10" s="326">
        <f>'Cancer - 31 Day'!B5</f>
        <v>43070</v>
      </c>
      <c r="C10" s="746" t="str">
        <f>'Cancer - 31 Day'!B7</f>
        <v>25th</v>
      </c>
      <c r="E10" s="328" t="s">
        <v>216</v>
      </c>
      <c r="F10" s="326">
        <f>'Cancer - Published'!B5</f>
        <v>42979</v>
      </c>
      <c r="G10" s="326" t="str">
        <f>'Cancer - Published'!B6</f>
        <v>End of March, June, September &amp; December</v>
      </c>
      <c r="I10" s="805"/>
    </row>
    <row r="11" spans="1:9" x14ac:dyDescent="0.2">
      <c r="A11" s="106" t="s">
        <v>324</v>
      </c>
      <c r="B11" s="326">
        <f>'Cancer - 62 Day'!B8</f>
        <v>43070</v>
      </c>
      <c r="C11" s="747" t="str">
        <f>'Cancer - 62 Day'!B10</f>
        <v>25th</v>
      </c>
      <c r="E11" s="328" t="s">
        <v>216</v>
      </c>
      <c r="F11" s="326">
        <f>'Cancer - Published'!B5</f>
        <v>42979</v>
      </c>
      <c r="G11" s="326" t="str">
        <f>'Cancer - Published'!B6</f>
        <v>End of March, June, September &amp; December</v>
      </c>
      <c r="I11" s="805"/>
    </row>
    <row r="12" spans="1:9" x14ac:dyDescent="0.2">
      <c r="A12" s="106" t="s">
        <v>325</v>
      </c>
      <c r="B12" s="326">
        <f>'Cardiac Arrest'!B5</f>
        <v>43070</v>
      </c>
      <c r="C12" s="327" t="str">
        <f>'Cardiac Arrest'!B7</f>
        <v>14th</v>
      </c>
      <c r="E12" s="256" t="s">
        <v>217</v>
      </c>
      <c r="F12" s="256" t="s">
        <v>217</v>
      </c>
      <c r="G12" s="256" t="s">
        <v>217</v>
      </c>
      <c r="I12" s="803"/>
    </row>
    <row r="13" spans="1:9" x14ac:dyDescent="0.2">
      <c r="A13" s="421" t="s">
        <v>555</v>
      </c>
      <c r="B13" s="326">
        <f>Complaints!B8</f>
        <v>43040</v>
      </c>
      <c r="C13" s="327" t="str">
        <f>Complaints!B11</f>
        <v>20th (+2 months)</v>
      </c>
      <c r="E13" s="328" t="s">
        <v>216</v>
      </c>
      <c r="F13" s="326" t="str">
        <f>'Complaints - Published'!B5</f>
        <v>TBC</v>
      </c>
      <c r="G13" s="326" t="str">
        <f>'Complaints - Published'!B6</f>
        <v>TBC</v>
      </c>
      <c r="I13" s="805"/>
    </row>
    <row r="14" spans="1:9" x14ac:dyDescent="0.2">
      <c r="A14" s="106" t="s">
        <v>326</v>
      </c>
      <c r="B14" s="326">
        <f>'Delayed Discharges'!B5</f>
        <v>43070</v>
      </c>
      <c r="C14" s="327" t="str">
        <f>'Delayed Discharges'!B7</f>
        <v>5th</v>
      </c>
      <c r="E14" s="328" t="s">
        <v>216</v>
      </c>
      <c r="F14" s="326">
        <f>'Delayed Discharges - Published'!B4</f>
        <v>43040</v>
      </c>
      <c r="G14" s="326" t="str">
        <f>'Delayed Discharges - Published'!B5</f>
        <v>2nd Tuesday of the month</v>
      </c>
      <c r="I14" s="803"/>
    </row>
    <row r="15" spans="1:9" ht="15" x14ac:dyDescent="0.25">
      <c r="A15" s="106" t="s">
        <v>327</v>
      </c>
      <c r="B15" s="326">
        <f>Dementia!B5</f>
        <v>42675</v>
      </c>
      <c r="C15" s="327" t="str">
        <f>Dementia!B7</f>
        <v>28-30th</v>
      </c>
      <c r="E15" s="351" t="s">
        <v>216</v>
      </c>
      <c r="F15" s="326" t="str">
        <f>'Dementia - Published'!B5</f>
        <v>2014/15</v>
      </c>
      <c r="G15" s="256" t="str">
        <f>'Dementia - Published'!B6</f>
        <v>tbc</v>
      </c>
      <c r="I15" s="806"/>
    </row>
    <row r="16" spans="1:9" ht="25.5" x14ac:dyDescent="0.2">
      <c r="A16" s="106" t="s">
        <v>328</v>
      </c>
      <c r="B16" s="256" t="s">
        <v>217</v>
      </c>
      <c r="C16" s="256" t="s">
        <v>217</v>
      </c>
      <c r="E16" s="256"/>
      <c r="F16" s="329" t="str">
        <f>DCE!B5</f>
        <v>2015 &amp; 2016 (Combined Calendar Years)</v>
      </c>
      <c r="G16" s="327">
        <f>DCE!B7</f>
        <v>43305</v>
      </c>
      <c r="I16" s="803"/>
    </row>
    <row r="17" spans="1:9" x14ac:dyDescent="0.2">
      <c r="A17" s="106" t="s">
        <v>329</v>
      </c>
      <c r="B17" s="326">
        <f>Diagnostics!B5</f>
        <v>43070</v>
      </c>
      <c r="C17" s="327" t="str">
        <f>Diagnostics!B7</f>
        <v>24th</v>
      </c>
      <c r="E17" s="328" t="s">
        <v>216</v>
      </c>
      <c r="F17" s="326">
        <f>'Diagnostics - Published'!B4</f>
        <v>42979</v>
      </c>
      <c r="G17" s="326" t="str">
        <f>'Diagnostics - Published'!B5</f>
        <v>End of February, May, August &amp; November</v>
      </c>
      <c r="I17" s="805"/>
    </row>
    <row r="18" spans="1:9" ht="15" x14ac:dyDescent="0.25">
      <c r="A18" s="421" t="s">
        <v>330</v>
      </c>
      <c r="B18" s="256" t="s">
        <v>217</v>
      </c>
      <c r="C18" s="256" t="s">
        <v>217</v>
      </c>
      <c r="E18" s="351" t="s">
        <v>216</v>
      </c>
      <c r="F18" s="326">
        <f>'Drug &amp; Alcohol - Published'!B9</f>
        <v>42979</v>
      </c>
      <c r="G18" s="327" t="str">
        <f>'Drug &amp; Alcohol - Published'!B7</f>
        <v>End of following 1/4</v>
      </c>
      <c r="I18" s="805"/>
    </row>
    <row r="19" spans="1:9" x14ac:dyDescent="0.2">
      <c r="A19" s="106" t="s">
        <v>331</v>
      </c>
      <c r="B19" s="326">
        <f>Falls!B5</f>
        <v>43070</v>
      </c>
      <c r="C19" s="327" t="str">
        <f>Falls!B7</f>
        <v>14th</v>
      </c>
      <c r="E19" s="256" t="s">
        <v>217</v>
      </c>
      <c r="F19" s="256" t="s">
        <v>217</v>
      </c>
      <c r="G19" s="256" t="s">
        <v>217</v>
      </c>
      <c r="I19" s="803"/>
    </row>
    <row r="20" spans="1:9" x14ac:dyDescent="0.2">
      <c r="A20" s="106" t="s">
        <v>332</v>
      </c>
      <c r="B20" s="256" t="s">
        <v>217</v>
      </c>
      <c r="C20" s="256" t="s">
        <v>217</v>
      </c>
      <c r="E20" s="256"/>
      <c r="F20" s="256" t="str">
        <f>'GP Access'!B8</f>
        <v>2015/16</v>
      </c>
      <c r="G20" s="256">
        <f>'GP Access'!B11</f>
        <v>2018</v>
      </c>
      <c r="I20" s="803"/>
    </row>
    <row r="21" spans="1:9" x14ac:dyDescent="0.2">
      <c r="A21" s="106" t="s">
        <v>333</v>
      </c>
      <c r="B21" s="326">
        <f>'HAI - C.Diff'!B6</f>
        <v>43070</v>
      </c>
      <c r="C21" s="327" t="str">
        <f>'HAI - C.Diff'!B8</f>
        <v>8th</v>
      </c>
      <c r="E21" s="328" t="s">
        <v>216</v>
      </c>
      <c r="F21" s="326">
        <f>'HAI - Published'!B5</f>
        <v>42979</v>
      </c>
      <c r="G21" s="326" t="str">
        <f>'HAI - Published'!B6</f>
        <v>Start of April, July, October &amp; January</v>
      </c>
      <c r="I21" s="805"/>
    </row>
    <row r="22" spans="1:9" x14ac:dyDescent="0.2">
      <c r="A22" s="106" t="s">
        <v>334</v>
      </c>
      <c r="B22" s="326">
        <f>'HAI - SAB'!B6</f>
        <v>43070</v>
      </c>
      <c r="C22" s="327" t="str">
        <f>'HAI - SAB'!B8</f>
        <v>8th</v>
      </c>
      <c r="E22" s="328" t="s">
        <v>216</v>
      </c>
      <c r="F22" s="326">
        <f>'HAI - Published'!B5</f>
        <v>42979</v>
      </c>
      <c r="G22" s="326" t="str">
        <f>'HAI - Published'!B6</f>
        <v>Start of April, July, October &amp; January</v>
      </c>
      <c r="I22" s="805"/>
    </row>
    <row r="23" spans="1:9" x14ac:dyDescent="0.2">
      <c r="A23" s="106" t="s">
        <v>335</v>
      </c>
      <c r="B23" s="256" t="s">
        <v>217</v>
      </c>
      <c r="C23" s="256" t="s">
        <v>217</v>
      </c>
      <c r="E23" s="256"/>
      <c r="F23" s="256" t="str">
        <f>'Hospital Scorecard'!B12</f>
        <v>Apr - Jun 17</v>
      </c>
      <c r="G23" s="326" t="str">
        <f>'Hospital Scorecard'!B5</f>
        <v>End of 1/4 + 6 months</v>
      </c>
      <c r="I23" s="803"/>
    </row>
    <row r="24" spans="1:9" x14ac:dyDescent="0.2">
      <c r="A24" s="106" t="s">
        <v>159</v>
      </c>
      <c r="B24" s="256" t="s">
        <v>217</v>
      </c>
      <c r="C24" s="256" t="s">
        <v>217</v>
      </c>
      <c r="E24" s="328" t="s">
        <v>216</v>
      </c>
      <c r="F24" s="326">
        <f>HSMR!B11</f>
        <v>42887</v>
      </c>
      <c r="G24" s="326" t="str">
        <f>HSMR!B13</f>
        <v>End of 1/4 + 5 months</v>
      </c>
      <c r="I24" s="803"/>
    </row>
    <row r="25" spans="1:9" x14ac:dyDescent="0.2">
      <c r="A25" s="106" t="s">
        <v>344</v>
      </c>
      <c r="B25" s="326">
        <f>'Inpatient - TTG'!B6</f>
        <v>43070</v>
      </c>
      <c r="C25" s="327" t="str">
        <f>'Inpatient - TTG'!B8</f>
        <v>24th</v>
      </c>
      <c r="E25" s="328" t="s">
        <v>216</v>
      </c>
      <c r="F25" s="326">
        <f>'Inpatient - Published'!B5</f>
        <v>42979</v>
      </c>
      <c r="G25" s="326" t="str">
        <f>'Inpatient - Published'!B6</f>
        <v>End of February, May, August &amp; November</v>
      </c>
      <c r="I25" s="805"/>
    </row>
    <row r="26" spans="1:9" x14ac:dyDescent="0.2">
      <c r="A26" s="106" t="s">
        <v>336</v>
      </c>
      <c r="B26" s="326">
        <f>IVF!B5</f>
        <v>43040</v>
      </c>
      <c r="C26" s="256" t="str">
        <f>IVF!B7</f>
        <v>Mid-end of month</v>
      </c>
      <c r="E26" s="328" t="s">
        <v>216</v>
      </c>
      <c r="F26" s="326">
        <f>'IVF - Published'!B4</f>
        <v>42979</v>
      </c>
      <c r="G26" s="326" t="str">
        <f>'IVF - Published'!B5</f>
        <v>End of February, May, August &amp; November</v>
      </c>
      <c r="I26" s="803"/>
    </row>
    <row r="27" spans="1:9" x14ac:dyDescent="0.2">
      <c r="A27" s="106" t="s">
        <v>337</v>
      </c>
      <c r="B27" s="326">
        <f>Outpatient!B6</f>
        <v>43070</v>
      </c>
      <c r="C27" s="327" t="str">
        <f>Outpatient!B8</f>
        <v>24th</v>
      </c>
      <c r="E27" s="328" t="s">
        <v>216</v>
      </c>
      <c r="F27" s="326">
        <f>'Outpatient - Published'!B5</f>
        <v>42979</v>
      </c>
      <c r="G27" s="326" t="str">
        <f>'Outpatient - Published'!B6</f>
        <v>End of February, May, August &amp; November</v>
      </c>
      <c r="I27" s="805"/>
    </row>
    <row r="28" spans="1:9" x14ac:dyDescent="0.2">
      <c r="A28" s="106" t="s">
        <v>338</v>
      </c>
      <c r="B28" s="326">
        <f>'Patient Experience'!B5</f>
        <v>43040</v>
      </c>
      <c r="C28" s="327" t="str">
        <f>'Patient Experience'!B7</f>
        <v>20th  (+2 months)</v>
      </c>
      <c r="E28" s="256" t="s">
        <v>217</v>
      </c>
      <c r="F28" s="256" t="s">
        <v>217</v>
      </c>
      <c r="G28" s="256" t="s">
        <v>217</v>
      </c>
      <c r="I28" s="805"/>
    </row>
    <row r="29" spans="1:9" x14ac:dyDescent="0.2">
      <c r="A29" s="421" t="s">
        <v>454</v>
      </c>
      <c r="B29" s="326">
        <f>'P.R. Surveillance Endoscopy'!B6</f>
        <v>43070</v>
      </c>
      <c r="C29" s="256" t="str">
        <f>'P.R. Surveillance Endoscopy'!B8</f>
        <v>1st Friday of month</v>
      </c>
      <c r="E29" s="256" t="s">
        <v>217</v>
      </c>
      <c r="F29" s="256" t="s">
        <v>217</v>
      </c>
      <c r="G29" s="256" t="s">
        <v>217</v>
      </c>
      <c r="I29" s="805"/>
    </row>
    <row r="30" spans="1:9" x14ac:dyDescent="0.2">
      <c r="A30" s="106" t="s">
        <v>339</v>
      </c>
      <c r="B30" s="326">
        <f>'Psych Therapies'!B5</f>
        <v>43070</v>
      </c>
      <c r="C30" s="256" t="str">
        <f>'Psych Therapies'!B7</f>
        <v>23rd</v>
      </c>
      <c r="E30" s="328" t="s">
        <v>216</v>
      </c>
      <c r="F30" s="326">
        <f>'Psych Therapies - Published'!B4</f>
        <v>42980</v>
      </c>
      <c r="G30" s="326" t="str">
        <f>'Psych Therapies - Published'!B5</f>
        <v>Start of March, June, September &amp; December</v>
      </c>
      <c r="I30" s="805"/>
    </row>
    <row r="31" spans="1:9" x14ac:dyDescent="0.2">
      <c r="A31" s="106" t="s">
        <v>340</v>
      </c>
      <c r="B31" s="326">
        <f>RTT!B5</f>
        <v>43070</v>
      </c>
      <c r="C31" s="327" t="str">
        <f>RTT!B7</f>
        <v>24th</v>
      </c>
      <c r="E31" s="328" t="s">
        <v>216</v>
      </c>
      <c r="F31" s="326">
        <f>'RTT - Published'!B4</f>
        <v>42979</v>
      </c>
      <c r="G31" s="326" t="str">
        <f>'RTT - Published'!B5</f>
        <v>End of February, May, August &amp; November</v>
      </c>
      <c r="I31" s="805"/>
    </row>
    <row r="32" spans="1:9" x14ac:dyDescent="0.2">
      <c r="A32" s="106" t="s">
        <v>341</v>
      </c>
      <c r="B32" s="326">
        <f>'Sickness Absence'!B5</f>
        <v>43040</v>
      </c>
      <c r="C32" s="781" t="s">
        <v>709</v>
      </c>
      <c r="E32" s="328" t="s">
        <v>216</v>
      </c>
      <c r="F32" s="326" t="str">
        <f>'Sickness Absence - Published'!B4</f>
        <v>2016/17</v>
      </c>
      <c r="G32" s="326" t="str">
        <f>'Sickness Absence - Published'!B5</f>
        <v>Start of June</v>
      </c>
      <c r="I32" s="805"/>
    </row>
    <row r="33" spans="1:12" x14ac:dyDescent="0.2">
      <c r="A33" s="106" t="s">
        <v>342</v>
      </c>
      <c r="B33" s="326">
        <f>'Smoking Cessation'!B5</f>
        <v>42887</v>
      </c>
      <c r="C33" s="256" t="str">
        <f>'Smoking Cessation'!B7</f>
        <v>End of 1/4 + 4 months</v>
      </c>
      <c r="E33" s="328" t="s">
        <v>216</v>
      </c>
      <c r="F33" s="326" t="str">
        <f>'Smoking Cessation - Published'!B4</f>
        <v>2016/17</v>
      </c>
      <c r="G33" s="326" t="str">
        <f>'Smoking Cessation - Published'!B5</f>
        <v>Start of October</v>
      </c>
      <c r="I33" s="805"/>
    </row>
    <row r="34" spans="1:12" x14ac:dyDescent="0.2">
      <c r="A34" s="106" t="s">
        <v>343</v>
      </c>
      <c r="B34" s="326">
        <f>Stroke!B10</f>
        <v>43009</v>
      </c>
      <c r="C34" s="327" t="str">
        <f>Stroke!B12</f>
        <v>29th (+2 months)</v>
      </c>
      <c r="E34" s="256" t="s">
        <v>217</v>
      </c>
      <c r="F34" s="256" t="s">
        <v>217</v>
      </c>
      <c r="G34" s="256" t="s">
        <v>217</v>
      </c>
      <c r="I34" s="805"/>
    </row>
    <row r="36" spans="1:12" x14ac:dyDescent="0.2">
      <c r="A36" s="262" t="s">
        <v>615</v>
      </c>
    </row>
    <row r="37" spans="1:12" x14ac:dyDescent="0.2">
      <c r="A37" s="683" t="s">
        <v>616</v>
      </c>
    </row>
    <row r="38" spans="1:12" x14ac:dyDescent="0.2">
      <c r="A38" s="297"/>
    </row>
    <row r="39" spans="1:12" x14ac:dyDescent="0.2">
      <c r="A39" s="749" t="s">
        <v>704</v>
      </c>
      <c r="B39" s="145"/>
    </row>
    <row r="40" spans="1:12" x14ac:dyDescent="0.2">
      <c r="A40" s="748" t="s">
        <v>705</v>
      </c>
      <c r="B40" s="145"/>
      <c r="C40" s="145" t="s">
        <v>732</v>
      </c>
    </row>
    <row r="41" spans="1:12" x14ac:dyDescent="0.2">
      <c r="A41" s="441" t="s">
        <v>706</v>
      </c>
      <c r="B41" s="145"/>
      <c r="C41" s="145" t="s">
        <v>733</v>
      </c>
    </row>
    <row r="42" spans="1:12" x14ac:dyDescent="0.2">
      <c r="A42" s="145" t="s">
        <v>707</v>
      </c>
      <c r="B42" s="145"/>
    </row>
    <row r="44" spans="1:12" x14ac:dyDescent="0.2">
      <c r="A44" s="106"/>
    </row>
    <row r="45" spans="1:12" x14ac:dyDescent="0.2">
      <c r="A45" s="106"/>
      <c r="B45" s="107" t="s">
        <v>368</v>
      </c>
    </row>
    <row r="46" spans="1:12" x14ac:dyDescent="0.2">
      <c r="A46" s="324"/>
      <c r="B46" s="186"/>
      <c r="L46" s="186" t="s">
        <v>368</v>
      </c>
    </row>
    <row r="47" spans="1:12" x14ac:dyDescent="0.2">
      <c r="A47" s="106"/>
    </row>
    <row r="48" spans="1:12" x14ac:dyDescent="0.2">
      <c r="A48" s="106"/>
    </row>
    <row r="50" spans="1:1" x14ac:dyDescent="0.2">
      <c r="A50" s="145"/>
    </row>
  </sheetData>
  <phoneticPr fontId="0" type="noConversion"/>
  <hyperlinks>
    <hyperlink ref="A6" location="'A&amp;E WT'!A1" display="A&amp;E Waiting Times"/>
    <hyperlink ref="A7" location="ABI!A1" display="Alcohol Brief Interventions (ABI)"/>
    <hyperlink ref="A8" location="Antenatal!A1" display="Early Access to Antenatal Services"/>
    <hyperlink ref="A9" location="CAMHS!A1" display="Child &amp; Adolescent Mental Health Services"/>
    <hyperlink ref="A10" location="'Cancer - 31 Day'!A1" display="Cancer Waiting Times - 31 Day"/>
    <hyperlink ref="A11" location="'Cancer - 62 Day'!A1" display="Cancer Waiting Times - 62 Day"/>
    <hyperlink ref="A12" location="'Cardiac Arrest'!A1" display="Cardiac Arrest"/>
    <hyperlink ref="A13" location="Complaints!A1" display="Complaints - Stage 1 &amp; 2"/>
    <hyperlink ref="A14" location="'Delayed Discharges'!A1" display="Delayed Discharges"/>
    <hyperlink ref="A15" location="Dementia!A1" display="Dementia Post Diagnostic Support"/>
    <hyperlink ref="A16" location="DCE!A1" display="Detect Cancer Early"/>
    <hyperlink ref="A17" location="Diagnostics!A1" display="Diagnostics Waiting Times"/>
    <hyperlink ref="A19" location="Falls!A1" display="Falls with Harm"/>
    <hyperlink ref="A20" location="'GP Access'!A1" display="GP Access"/>
    <hyperlink ref="A21" location="'HAI - C.Diff'!A1" display="Healthcare Associated Infections - C.Diff"/>
    <hyperlink ref="A22" location="'HAI - SAB'!A1" display="Healthcare Associated Infections - SAB"/>
    <hyperlink ref="A23" location="'Hospital Scorecard'!A1" display="Hospital Scorecard"/>
    <hyperlink ref="A25" location="'Inpatient - TTG'!A1" display="Inpatient - Treatment Time Guarantee (12 Weeks)"/>
    <hyperlink ref="A26" location="IVF!A1" display="IVF Waiting Times"/>
    <hyperlink ref="A27" location="Outpatient!A1" display="Outpatient Waiting Times (12 Week)"/>
    <hyperlink ref="A28" location="'Patient Experience'!A1" display="Patient Experience"/>
    <hyperlink ref="A30" location="'Psych Therapies'!A1" display="Psychological Therapies"/>
    <hyperlink ref="A31" location="RTT!A1" display="Referral To Treatment (18 Weeks)"/>
    <hyperlink ref="A32" location="'Sickness Absence'!A1" display="Sickness Absence"/>
    <hyperlink ref="A33" location="'Smoking Cessation'!A1" display="Smoking Cessation"/>
    <hyperlink ref="A34" location="Stroke!A1" display="Stroke Bundle"/>
    <hyperlink ref="A29" location="'P.R. Surveillance Endoscopy'!A1" display="Planned Repeat Surveillance Endoscopy"/>
    <hyperlink ref="A3" location="'Overview Table'!A1" display="Overview Table"/>
    <hyperlink ref="A24" location="HSMR!A1" display="HSMR"/>
    <hyperlink ref="E6" location="'A&amp;E WT - Published'!A1" display="Here"/>
    <hyperlink ref="E8" location="'Antenatal - Published'!A1" display="Here"/>
    <hyperlink ref="E9" location="'CAMHS - Published'!A1" display="Here"/>
    <hyperlink ref="E10:E11" location="'Cancer - Published'!A1" display="Here"/>
    <hyperlink ref="E13" location="'Complaints - Published'!A1" display="Here"/>
    <hyperlink ref="E14" location="'Delayed Discharges - Published'!A1" display="Here"/>
    <hyperlink ref="E7" location="'ABI - Published'!A1" display="Here"/>
    <hyperlink ref="E17" location="'Diagnostics - Published'!A1" display="Here"/>
    <hyperlink ref="E21" location="'HAI - Published'!A1" display="Here"/>
    <hyperlink ref="E22" location="'HAI - Published'!A1" display="Here"/>
    <hyperlink ref="E25" location="'Inpatient - Published'!A1" display="Here"/>
    <hyperlink ref="E26" location="'IVF - Published'!A1" display="Here"/>
    <hyperlink ref="E27" location="'Outpatient - Published'!A1" display="Here"/>
    <hyperlink ref="E30" location="'Psych Therapies - Published'!A1" display="Here"/>
    <hyperlink ref="E31" location="'RTT - Published'!A1" display="Here"/>
    <hyperlink ref="E32" location="'Sickness Absence - Published'!A1" display="Here"/>
    <hyperlink ref="E33" location="'Smoking Cessation - Published'!A1" display="Here"/>
    <hyperlink ref="E15" location="'Dementia - Published'!A1" display="Here"/>
    <hyperlink ref="E18" location="'Drug &amp; Alcohol - Published'!A1" display="Here"/>
    <hyperlink ref="A18" location="'Drug &amp; Alcohol - Published'!A1" display="Drug &amp; Alcohol Waiting Times"/>
    <hyperlink ref="E24" location="HSMR!A1" display="Her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Q34"/>
  <sheetViews>
    <sheetView workbookViewId="0"/>
  </sheetViews>
  <sheetFormatPr defaultColWidth="9.140625" defaultRowHeight="12.75" x14ac:dyDescent="0.2"/>
  <cols>
    <col min="1" max="1" width="18.85546875" style="107" bestFit="1" customWidth="1"/>
    <col min="2" max="2" width="9.85546875" style="107" bestFit="1" customWidth="1"/>
    <col min="3" max="16384" width="9.140625" style="107"/>
  </cols>
  <sheetData>
    <row r="1" spans="1:17" x14ac:dyDescent="0.2">
      <c r="A1" s="283" t="s">
        <v>345</v>
      </c>
    </row>
    <row r="2" spans="1:17" x14ac:dyDescent="0.2">
      <c r="A2" s="106"/>
    </row>
    <row r="3" spans="1:17" x14ac:dyDescent="0.2">
      <c r="A3" s="127" t="s">
        <v>710</v>
      </c>
      <c r="B3" s="129" t="str">
        <f>IF(HLOOKUP(MAX(B7:Q7),A7:Q9,3,0)&gt;HLOOKUP(MAX(B7:Q7),A7:Q9,2,0),"Better", "Worse")</f>
        <v>Worse</v>
      </c>
      <c r="C3" s="112" t="b">
        <f>IF(HLOOKUP(MAX(B7:Q7),A7:Q9,3,0)=HLOOKUP(MAX(B7:Q7),A7:Q9,2,0),"Equal")</f>
        <v>0</v>
      </c>
    </row>
    <row r="4" spans="1:17" x14ac:dyDescent="0.2">
      <c r="A4" s="127" t="s">
        <v>144</v>
      </c>
      <c r="B4" s="128">
        <f>MAX(B7:Q7)</f>
        <v>43008</v>
      </c>
    </row>
    <row r="5" spans="1:17" x14ac:dyDescent="0.2">
      <c r="A5" s="127" t="s">
        <v>206</v>
      </c>
      <c r="B5" s="128" t="s">
        <v>213</v>
      </c>
    </row>
    <row r="7" spans="1:17" x14ac:dyDescent="0.2">
      <c r="A7" s="136"/>
      <c r="B7" s="157">
        <v>42156</v>
      </c>
      <c r="C7" s="157">
        <v>42248</v>
      </c>
      <c r="D7" s="157">
        <v>42339</v>
      </c>
      <c r="E7" s="157">
        <v>42430</v>
      </c>
      <c r="F7" s="157">
        <v>42522</v>
      </c>
      <c r="G7" s="157">
        <v>42615</v>
      </c>
      <c r="H7" s="157">
        <v>42705</v>
      </c>
      <c r="I7" s="157">
        <v>42796</v>
      </c>
      <c r="J7" s="597">
        <v>42887</v>
      </c>
      <c r="K7" s="597">
        <v>43008</v>
      </c>
      <c r="L7" s="157"/>
      <c r="M7" s="157"/>
      <c r="N7" s="157"/>
      <c r="O7" s="157"/>
      <c r="P7" s="157"/>
      <c r="Q7" s="157"/>
    </row>
    <row r="8" spans="1:17" x14ac:dyDescent="0.2">
      <c r="A8" s="158" t="s">
        <v>369</v>
      </c>
      <c r="B8" s="159">
        <v>0.76700000000000002</v>
      </c>
      <c r="C8" s="159">
        <v>0.73099999999999998</v>
      </c>
      <c r="D8" s="159">
        <v>0.76200000000000001</v>
      </c>
      <c r="E8" s="160">
        <v>0.84399999999999997</v>
      </c>
      <c r="F8" s="160">
        <v>0.77700000000000002</v>
      </c>
      <c r="G8" s="160">
        <v>0.78600000000000003</v>
      </c>
      <c r="H8" s="159">
        <v>0.82499999999999996</v>
      </c>
      <c r="I8" s="159">
        <v>0.83599999999999997</v>
      </c>
      <c r="J8" s="159">
        <v>0.80700000000000005</v>
      </c>
      <c r="K8" s="159">
        <v>0.73299999999999998</v>
      </c>
      <c r="L8" s="159"/>
      <c r="M8" s="160"/>
      <c r="N8" s="160"/>
      <c r="O8" s="160"/>
      <c r="P8" s="159"/>
      <c r="Q8" s="159"/>
    </row>
    <row r="9" spans="1:17" x14ac:dyDescent="0.2">
      <c r="A9" s="158" t="s">
        <v>370</v>
      </c>
      <c r="B9" s="159">
        <v>0.58299999999999996</v>
      </c>
      <c r="C9" s="159">
        <v>0.68200000000000005</v>
      </c>
      <c r="D9" s="159">
        <v>0.59299999999999997</v>
      </c>
      <c r="E9" s="159">
        <v>0.66600000000000004</v>
      </c>
      <c r="F9" s="159">
        <v>0.57399999999999995</v>
      </c>
      <c r="G9" s="159">
        <v>0.55800000000000005</v>
      </c>
      <c r="H9" s="159">
        <v>0.495</v>
      </c>
      <c r="I9" s="159">
        <v>0.47799999999999998</v>
      </c>
      <c r="J9" s="159">
        <v>0.58699999999999997</v>
      </c>
      <c r="K9" s="159">
        <v>0.56999999999999995</v>
      </c>
      <c r="L9" s="159"/>
      <c r="M9" s="159"/>
      <c r="N9" s="159"/>
      <c r="O9" s="159"/>
      <c r="P9" s="159"/>
      <c r="Q9" s="159"/>
    </row>
    <row r="11" spans="1:17" x14ac:dyDescent="0.2">
      <c r="A11" s="145"/>
    </row>
    <row r="15" spans="1:17" x14ac:dyDescent="0.2">
      <c r="A15" s="145"/>
      <c r="B15" s="145"/>
      <c r="C15" s="145"/>
      <c r="D15" s="145"/>
      <c r="E15" s="145"/>
      <c r="F15" s="145"/>
      <c r="G15" s="145"/>
      <c r="H15" s="145"/>
      <c r="I15" s="145"/>
      <c r="J15" s="145"/>
      <c r="K15" s="145"/>
    </row>
    <row r="34" spans="15:15" x14ac:dyDescent="0.2">
      <c r="O34"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W154"/>
  <sheetViews>
    <sheetView workbookViewId="0">
      <pane xSplit="1" topLeftCell="B1" activePane="topRight" state="frozen"/>
      <selection pane="topRight"/>
    </sheetView>
  </sheetViews>
  <sheetFormatPr defaultColWidth="9.140625" defaultRowHeight="12.75" x14ac:dyDescent="0.2"/>
  <cols>
    <col min="1" max="1" width="27.7109375" style="107" customWidth="1"/>
    <col min="2" max="6" width="9.85546875" style="107" customWidth="1"/>
    <col min="7" max="24" width="9.140625" style="107" customWidth="1"/>
    <col min="25" max="16384" width="9.140625" style="107"/>
  </cols>
  <sheetData>
    <row r="1" spans="1:49" x14ac:dyDescent="0.2">
      <c r="A1" s="815" t="s">
        <v>345</v>
      </c>
      <c r="B1" s="374"/>
    </row>
    <row r="2" spans="1:49" x14ac:dyDescent="0.2">
      <c r="A2" s="106"/>
    </row>
    <row r="3" spans="1:49" x14ac:dyDescent="0.2">
      <c r="A3" s="108" t="s">
        <v>436</v>
      </c>
      <c r="B3" s="107" t="s">
        <v>441</v>
      </c>
    </row>
    <row r="4" spans="1:49" x14ac:dyDescent="0.2">
      <c r="A4" s="108" t="s">
        <v>143</v>
      </c>
      <c r="B4" s="161">
        <f>HLOOKUP(MAX(B10:AW10),B10:AW24,2,0)</f>
        <v>0.91500000000000004</v>
      </c>
    </row>
    <row r="5" spans="1:49" x14ac:dyDescent="0.2">
      <c r="A5" s="108" t="s">
        <v>118</v>
      </c>
      <c r="B5" s="111">
        <f>MAX(B10:AW10)</f>
        <v>43070</v>
      </c>
    </row>
    <row r="6" spans="1:49" x14ac:dyDescent="0.2">
      <c r="A6" s="108" t="s">
        <v>195</v>
      </c>
      <c r="B6" s="816" t="s">
        <v>176</v>
      </c>
    </row>
    <row r="7" spans="1:49" x14ac:dyDescent="0.2">
      <c r="A7" s="108" t="s">
        <v>438</v>
      </c>
      <c r="B7" s="550" t="s">
        <v>140</v>
      </c>
    </row>
    <row r="9" spans="1:49" x14ac:dyDescent="0.2">
      <c r="A9" s="127" t="s">
        <v>351</v>
      </c>
      <c r="B9" s="145"/>
      <c r="C9" s="145"/>
      <c r="D9" s="145"/>
      <c r="E9" s="145"/>
      <c r="F9" s="145"/>
      <c r="G9" s="145"/>
      <c r="H9" s="145"/>
      <c r="I9" s="145"/>
      <c r="J9" s="145"/>
      <c r="K9" s="145"/>
      <c r="L9" s="145"/>
      <c r="M9" s="145"/>
      <c r="N9" s="145"/>
      <c r="O9" s="145"/>
      <c r="P9" s="145"/>
      <c r="Q9" s="145"/>
      <c r="R9" s="145"/>
      <c r="S9" s="145"/>
      <c r="T9" s="145"/>
      <c r="U9" s="145"/>
      <c r="V9" s="145"/>
      <c r="W9" s="145"/>
      <c r="X9" s="145"/>
      <c r="Y9" s="145"/>
    </row>
    <row r="10" spans="1:49" x14ac:dyDescent="0.2">
      <c r="A10" s="158" t="s">
        <v>350</v>
      </c>
      <c r="B10" s="157">
        <v>42095</v>
      </c>
      <c r="C10" s="157">
        <v>42125</v>
      </c>
      <c r="D10" s="157">
        <v>42156</v>
      </c>
      <c r="E10" s="157">
        <v>42186</v>
      </c>
      <c r="F10" s="157">
        <v>42217</v>
      </c>
      <c r="G10" s="163">
        <v>42248</v>
      </c>
      <c r="H10" s="164">
        <v>42278</v>
      </c>
      <c r="I10" s="164">
        <v>42309</v>
      </c>
      <c r="J10" s="164">
        <v>42339</v>
      </c>
      <c r="K10" s="164">
        <v>42370</v>
      </c>
      <c r="L10" s="164">
        <v>42401</v>
      </c>
      <c r="M10" s="164">
        <v>42430</v>
      </c>
      <c r="N10" s="164">
        <v>42461</v>
      </c>
      <c r="O10" s="164">
        <v>42491</v>
      </c>
      <c r="P10" s="164">
        <v>42522</v>
      </c>
      <c r="Q10" s="164">
        <v>42552</v>
      </c>
      <c r="R10" s="164">
        <v>42583</v>
      </c>
      <c r="S10" s="164">
        <v>42614</v>
      </c>
      <c r="T10" s="164">
        <v>42644</v>
      </c>
      <c r="U10" s="164">
        <v>42675</v>
      </c>
      <c r="V10" s="164">
        <v>42705</v>
      </c>
      <c r="W10" s="164">
        <v>42736</v>
      </c>
      <c r="X10" s="164">
        <v>42767</v>
      </c>
      <c r="Y10" s="164">
        <v>42795</v>
      </c>
      <c r="Z10" s="164">
        <v>42826</v>
      </c>
      <c r="AA10" s="164">
        <v>42856</v>
      </c>
      <c r="AB10" s="164">
        <v>42887</v>
      </c>
      <c r="AC10" s="164">
        <v>42917</v>
      </c>
      <c r="AD10" s="164">
        <v>42948</v>
      </c>
      <c r="AE10" s="164">
        <v>42979</v>
      </c>
      <c r="AF10" s="164">
        <v>43009</v>
      </c>
      <c r="AG10" s="164">
        <v>43040</v>
      </c>
      <c r="AH10" s="164">
        <v>43070</v>
      </c>
      <c r="AI10" s="164"/>
      <c r="AJ10" s="164"/>
      <c r="AK10" s="164"/>
      <c r="AL10" s="164"/>
      <c r="AM10" s="164"/>
      <c r="AN10" s="164"/>
      <c r="AO10" s="164"/>
      <c r="AP10" s="164"/>
      <c r="AQ10" s="164"/>
      <c r="AR10" s="164"/>
      <c r="AS10" s="164"/>
      <c r="AT10" s="164"/>
      <c r="AU10" s="164"/>
      <c r="AV10" s="164"/>
      <c r="AW10" s="164"/>
    </row>
    <row r="11" spans="1:49" x14ac:dyDescent="0.2">
      <c r="A11" s="165" t="s">
        <v>352</v>
      </c>
      <c r="B11" s="166">
        <v>0.97399999999999998</v>
      </c>
      <c r="C11" s="166">
        <v>0.95599999999999996</v>
      </c>
      <c r="D11" s="166">
        <v>0.96599999999999997</v>
      </c>
      <c r="E11" s="166">
        <v>0.97399999999999998</v>
      </c>
      <c r="F11" s="166">
        <v>0.96799999999999997</v>
      </c>
      <c r="G11" s="122">
        <v>0.97899999999999998</v>
      </c>
      <c r="H11" s="166">
        <v>0.97699999999999998</v>
      </c>
      <c r="I11" s="166">
        <v>0.96499999999999997</v>
      </c>
      <c r="J11" s="166">
        <v>0.95299999999999996</v>
      </c>
      <c r="K11" s="166">
        <v>0.95199999999999996</v>
      </c>
      <c r="L11" s="166">
        <v>0.94699999999999995</v>
      </c>
      <c r="M11" s="166">
        <v>0.94399999999999995</v>
      </c>
      <c r="N11" s="166">
        <v>0.94599999999999995</v>
      </c>
      <c r="O11" s="166">
        <v>0.93600000000000005</v>
      </c>
      <c r="P11" s="166">
        <v>0.95699999999999996</v>
      </c>
      <c r="Q11" s="166">
        <v>0.96</v>
      </c>
      <c r="R11" s="166">
        <v>0.91300000000000003</v>
      </c>
      <c r="S11" s="166">
        <v>0.92</v>
      </c>
      <c r="T11" s="167">
        <v>0.92700000000000005</v>
      </c>
      <c r="U11" s="167">
        <v>0.91500000000000004</v>
      </c>
      <c r="V11" s="166">
        <v>0.95599999999999996</v>
      </c>
      <c r="W11" s="166">
        <v>0.91300000000000003</v>
      </c>
      <c r="X11" s="166">
        <v>0.92600000000000005</v>
      </c>
      <c r="Y11" s="493">
        <v>0.96299999999999997</v>
      </c>
      <c r="Z11" s="166">
        <v>0.94599999999999995</v>
      </c>
      <c r="AA11" s="166">
        <v>0.92900000000000005</v>
      </c>
      <c r="AB11" s="166">
        <v>0.94299999999999995</v>
      </c>
      <c r="AC11" s="166">
        <v>0.93300000000000005</v>
      </c>
      <c r="AD11" s="166">
        <v>0.875</v>
      </c>
      <c r="AE11" s="122">
        <v>0.93300000000000005</v>
      </c>
      <c r="AF11" s="166">
        <v>0.96299999999999997</v>
      </c>
      <c r="AG11" s="166">
        <v>0.92600000000000005</v>
      </c>
      <c r="AH11" s="166">
        <v>0.91500000000000004</v>
      </c>
      <c r="AI11" s="166"/>
      <c r="AJ11" s="166"/>
      <c r="AK11" s="166"/>
      <c r="AL11" s="166"/>
      <c r="AM11" s="166"/>
      <c r="AN11" s="166"/>
      <c r="AO11" s="166"/>
      <c r="AP11" s="166"/>
      <c r="AQ11" s="166"/>
      <c r="AR11" s="167"/>
      <c r="AS11" s="167"/>
      <c r="AT11" s="166"/>
      <c r="AU11" s="166"/>
      <c r="AV11" s="166"/>
      <c r="AW11" s="166"/>
    </row>
    <row r="12" spans="1:49" x14ac:dyDescent="0.2">
      <c r="A12" s="168" t="s">
        <v>353</v>
      </c>
      <c r="B12" s="169">
        <v>1</v>
      </c>
      <c r="C12" s="169">
        <v>1</v>
      </c>
      <c r="D12" s="169">
        <v>1</v>
      </c>
      <c r="E12" s="169">
        <v>1</v>
      </c>
      <c r="F12" s="169">
        <v>1</v>
      </c>
      <c r="G12" s="169">
        <v>1</v>
      </c>
      <c r="H12" s="159">
        <v>1</v>
      </c>
      <c r="I12" s="159">
        <v>1</v>
      </c>
      <c r="J12" s="159">
        <v>1</v>
      </c>
      <c r="K12" s="159">
        <v>1</v>
      </c>
      <c r="L12" s="159">
        <v>1</v>
      </c>
      <c r="M12" s="159">
        <v>1</v>
      </c>
      <c r="N12" s="159">
        <v>1</v>
      </c>
      <c r="O12" s="159">
        <v>1</v>
      </c>
      <c r="P12" s="159">
        <v>1</v>
      </c>
      <c r="Q12" s="159">
        <v>1</v>
      </c>
      <c r="R12" s="159">
        <v>1</v>
      </c>
      <c r="S12" s="159">
        <v>1</v>
      </c>
      <c r="T12" s="170">
        <v>1</v>
      </c>
      <c r="U12" s="170">
        <v>1</v>
      </c>
      <c r="V12" s="159">
        <v>1</v>
      </c>
      <c r="W12" s="159">
        <v>1</v>
      </c>
      <c r="X12" s="159">
        <v>1</v>
      </c>
      <c r="Y12" s="159">
        <v>1</v>
      </c>
      <c r="Z12" s="169">
        <v>1</v>
      </c>
      <c r="AA12" s="169">
        <v>1</v>
      </c>
      <c r="AB12" s="169">
        <v>1</v>
      </c>
      <c r="AC12" s="169">
        <v>1</v>
      </c>
      <c r="AD12" s="169">
        <v>1</v>
      </c>
      <c r="AE12" s="169">
        <v>1</v>
      </c>
      <c r="AF12" s="159">
        <v>1</v>
      </c>
      <c r="AG12" s="159">
        <v>1</v>
      </c>
      <c r="AH12" s="159">
        <v>1</v>
      </c>
      <c r="AI12" s="159"/>
      <c r="AJ12" s="159"/>
      <c r="AK12" s="159"/>
      <c r="AL12" s="159"/>
      <c r="AM12" s="159"/>
      <c r="AN12" s="159"/>
      <c r="AO12" s="159"/>
      <c r="AP12" s="159"/>
      <c r="AQ12" s="159"/>
      <c r="AR12" s="170"/>
      <c r="AS12" s="170"/>
      <c r="AT12" s="159"/>
      <c r="AU12" s="159"/>
      <c r="AV12" s="159"/>
      <c r="AW12" s="159"/>
    </row>
    <row r="13" spans="1:49" x14ac:dyDescent="0.2">
      <c r="A13" s="168" t="s">
        <v>354</v>
      </c>
      <c r="B13" s="169">
        <v>1</v>
      </c>
      <c r="C13" s="169">
        <v>1</v>
      </c>
      <c r="D13" s="169">
        <v>1</v>
      </c>
      <c r="E13" s="169">
        <v>1</v>
      </c>
      <c r="F13" s="169">
        <v>1</v>
      </c>
      <c r="G13" s="169">
        <v>1</v>
      </c>
      <c r="H13" s="159">
        <v>1</v>
      </c>
      <c r="I13" s="159">
        <v>1</v>
      </c>
      <c r="J13" s="159">
        <v>1</v>
      </c>
      <c r="K13" s="159">
        <v>1</v>
      </c>
      <c r="L13" s="159">
        <v>1</v>
      </c>
      <c r="M13" s="159">
        <v>1</v>
      </c>
      <c r="N13" s="159">
        <v>1</v>
      </c>
      <c r="O13" s="159">
        <v>1</v>
      </c>
      <c r="P13" s="159">
        <v>1</v>
      </c>
      <c r="Q13" s="159">
        <v>1</v>
      </c>
      <c r="R13" s="159">
        <v>1</v>
      </c>
      <c r="S13" s="159">
        <v>1</v>
      </c>
      <c r="T13" s="170">
        <v>1</v>
      </c>
      <c r="U13" s="170">
        <v>1</v>
      </c>
      <c r="V13" s="159">
        <v>1</v>
      </c>
      <c r="W13" s="159">
        <v>0.95799999999999996</v>
      </c>
      <c r="X13" s="159">
        <v>1</v>
      </c>
      <c r="Y13" s="159">
        <v>1</v>
      </c>
      <c r="Z13" s="169">
        <v>1</v>
      </c>
      <c r="AA13" s="169">
        <v>1</v>
      </c>
      <c r="AB13" s="169">
        <v>0.97899999999999998</v>
      </c>
      <c r="AC13" s="169">
        <v>1</v>
      </c>
      <c r="AD13" s="169">
        <v>1</v>
      </c>
      <c r="AE13" s="169">
        <v>1</v>
      </c>
      <c r="AF13" s="159">
        <v>1</v>
      </c>
      <c r="AG13" s="159">
        <v>1</v>
      </c>
      <c r="AH13" s="159">
        <v>0.97399999999999998</v>
      </c>
      <c r="AI13" s="159"/>
      <c r="AJ13" s="159"/>
      <c r="AK13" s="159"/>
      <c r="AL13" s="159"/>
      <c r="AM13" s="159"/>
      <c r="AN13" s="159"/>
      <c r="AO13" s="159"/>
      <c r="AP13" s="159"/>
      <c r="AQ13" s="159"/>
      <c r="AR13" s="170"/>
      <c r="AS13" s="170"/>
      <c r="AT13" s="159"/>
      <c r="AU13" s="159"/>
      <c r="AV13" s="159"/>
      <c r="AW13" s="159"/>
    </row>
    <row r="14" spans="1:49" x14ac:dyDescent="0.2">
      <c r="A14" s="168" t="s">
        <v>355</v>
      </c>
      <c r="B14" s="169">
        <v>1</v>
      </c>
      <c r="C14" s="169">
        <v>1</v>
      </c>
      <c r="D14" s="169">
        <v>1</v>
      </c>
      <c r="E14" s="169" t="s">
        <v>357</v>
      </c>
      <c r="F14" s="169">
        <v>1</v>
      </c>
      <c r="G14" s="169">
        <v>1</v>
      </c>
      <c r="H14" s="159">
        <v>1</v>
      </c>
      <c r="I14" s="159">
        <v>1</v>
      </c>
      <c r="J14" s="159">
        <v>0.9</v>
      </c>
      <c r="K14" s="159">
        <v>1</v>
      </c>
      <c r="L14" s="159">
        <v>1</v>
      </c>
      <c r="M14" s="159">
        <v>0.8</v>
      </c>
      <c r="N14" s="159">
        <v>1</v>
      </c>
      <c r="O14" s="159">
        <v>1</v>
      </c>
      <c r="P14" s="159">
        <v>1</v>
      </c>
      <c r="Q14" s="159">
        <v>1</v>
      </c>
      <c r="R14" s="159">
        <v>1</v>
      </c>
      <c r="S14" s="159">
        <v>1</v>
      </c>
      <c r="T14" s="170">
        <v>1</v>
      </c>
      <c r="U14" s="170">
        <v>1</v>
      </c>
      <c r="V14" s="159" t="s">
        <v>357</v>
      </c>
      <c r="W14" s="159">
        <v>1</v>
      </c>
      <c r="X14" s="159">
        <v>1</v>
      </c>
      <c r="Y14" s="159">
        <v>1</v>
      </c>
      <c r="Z14" s="169">
        <v>1</v>
      </c>
      <c r="AA14" s="169">
        <v>1</v>
      </c>
      <c r="AB14" s="169">
        <v>1</v>
      </c>
      <c r="AC14" s="169">
        <v>1</v>
      </c>
      <c r="AD14" s="169">
        <v>0</v>
      </c>
      <c r="AE14" s="169">
        <v>1</v>
      </c>
      <c r="AF14" s="159">
        <v>1</v>
      </c>
      <c r="AG14" s="159">
        <v>1</v>
      </c>
      <c r="AH14" s="159">
        <v>1</v>
      </c>
      <c r="AI14" s="159"/>
      <c r="AJ14" s="159"/>
      <c r="AK14" s="159"/>
      <c r="AL14" s="159"/>
      <c r="AM14" s="159"/>
      <c r="AN14" s="159"/>
      <c r="AO14" s="159"/>
      <c r="AP14" s="159"/>
      <c r="AQ14" s="159"/>
      <c r="AR14" s="170"/>
      <c r="AS14" s="170"/>
      <c r="AT14" s="159"/>
      <c r="AU14" s="159"/>
      <c r="AV14" s="159"/>
      <c r="AW14" s="159"/>
    </row>
    <row r="15" spans="1:49" x14ac:dyDescent="0.2">
      <c r="A15" s="168" t="s">
        <v>356</v>
      </c>
      <c r="B15" s="169">
        <v>1</v>
      </c>
      <c r="C15" s="169" t="s">
        <v>357</v>
      </c>
      <c r="D15" s="169">
        <v>1</v>
      </c>
      <c r="E15" s="169">
        <v>1</v>
      </c>
      <c r="F15" s="169" t="s">
        <v>357</v>
      </c>
      <c r="G15" s="169" t="s">
        <v>357</v>
      </c>
      <c r="H15" s="159">
        <v>1</v>
      </c>
      <c r="I15" s="159">
        <v>1</v>
      </c>
      <c r="J15" s="159">
        <v>1</v>
      </c>
      <c r="K15" s="159">
        <v>1</v>
      </c>
      <c r="L15" s="159">
        <v>1</v>
      </c>
      <c r="M15" s="159">
        <v>1</v>
      </c>
      <c r="N15" s="159">
        <v>1</v>
      </c>
      <c r="O15" s="159">
        <v>1</v>
      </c>
      <c r="P15" s="159" t="s">
        <v>357</v>
      </c>
      <c r="Q15" s="159">
        <v>1</v>
      </c>
      <c r="R15" s="159">
        <v>1</v>
      </c>
      <c r="S15" s="159">
        <v>1</v>
      </c>
      <c r="T15" s="159" t="s">
        <v>357</v>
      </c>
      <c r="U15" s="159">
        <v>1</v>
      </c>
      <c r="V15" s="159" t="s">
        <v>357</v>
      </c>
      <c r="W15" s="159">
        <v>1</v>
      </c>
      <c r="X15" s="159" t="s">
        <v>357</v>
      </c>
      <c r="Y15" s="170">
        <v>0.5</v>
      </c>
      <c r="Z15" s="169">
        <v>0</v>
      </c>
      <c r="AA15" s="169">
        <v>1</v>
      </c>
      <c r="AB15" s="159" t="s">
        <v>357</v>
      </c>
      <c r="AC15" s="159" t="s">
        <v>357</v>
      </c>
      <c r="AD15" s="159" t="s">
        <v>357</v>
      </c>
      <c r="AE15" s="169">
        <v>1</v>
      </c>
      <c r="AF15" s="159" t="s">
        <v>357</v>
      </c>
      <c r="AG15" s="159">
        <v>1</v>
      </c>
      <c r="AH15" s="159" t="s">
        <v>357</v>
      </c>
      <c r="AI15" s="159"/>
      <c r="AJ15" s="159"/>
      <c r="AK15" s="159"/>
      <c r="AL15" s="159"/>
      <c r="AM15" s="159"/>
      <c r="AN15" s="159"/>
      <c r="AO15" s="159"/>
      <c r="AP15" s="159"/>
      <c r="AQ15" s="159"/>
      <c r="AR15" s="170"/>
      <c r="AS15" s="159"/>
      <c r="AT15" s="159"/>
      <c r="AU15" s="159"/>
      <c r="AV15" s="159"/>
      <c r="AW15" s="159"/>
    </row>
    <row r="16" spans="1:49" x14ac:dyDescent="0.2">
      <c r="A16" s="168" t="s">
        <v>358</v>
      </c>
      <c r="B16" s="169">
        <v>0.95</v>
      </c>
      <c r="C16" s="169">
        <v>0.89300000000000002</v>
      </c>
      <c r="D16" s="169">
        <v>1</v>
      </c>
      <c r="E16" s="169">
        <v>1</v>
      </c>
      <c r="F16" s="169">
        <v>0.93899999999999995</v>
      </c>
      <c r="G16" s="169">
        <v>1</v>
      </c>
      <c r="H16" s="159">
        <v>1</v>
      </c>
      <c r="I16" s="159">
        <v>0.96299999999999997</v>
      </c>
      <c r="J16" s="159">
        <v>0.97099999999999997</v>
      </c>
      <c r="K16" s="159">
        <v>0.90600000000000003</v>
      </c>
      <c r="L16" s="159">
        <v>0.97</v>
      </c>
      <c r="M16" s="159">
        <v>1</v>
      </c>
      <c r="N16" s="159">
        <v>0.89700000000000002</v>
      </c>
      <c r="O16" s="159">
        <v>1</v>
      </c>
      <c r="P16" s="159">
        <v>1</v>
      </c>
      <c r="Q16" s="159">
        <v>1</v>
      </c>
      <c r="R16" s="159">
        <v>0.84199999999999997</v>
      </c>
      <c r="S16" s="159">
        <v>0.90600000000000003</v>
      </c>
      <c r="T16" s="170">
        <v>0.96199999999999997</v>
      </c>
      <c r="U16" s="170">
        <v>0.9</v>
      </c>
      <c r="V16" s="159">
        <v>0.94099999999999995</v>
      </c>
      <c r="W16" s="159">
        <v>1</v>
      </c>
      <c r="X16" s="159">
        <v>0.89700000000000002</v>
      </c>
      <c r="Y16" s="170">
        <v>0.97699999999999998</v>
      </c>
      <c r="Z16" s="169">
        <v>0.96</v>
      </c>
      <c r="AA16" s="169">
        <v>0.95</v>
      </c>
      <c r="AB16" s="169">
        <v>0.89300000000000002</v>
      </c>
      <c r="AC16" s="169">
        <v>0.93300000000000005</v>
      </c>
      <c r="AD16" s="169">
        <v>0.84199999999999997</v>
      </c>
      <c r="AE16" s="169">
        <v>0.94699999999999995</v>
      </c>
      <c r="AF16" s="159">
        <v>1</v>
      </c>
      <c r="AG16" s="159">
        <v>0.88600000000000001</v>
      </c>
      <c r="AH16" s="159">
        <v>0.96699999999999997</v>
      </c>
      <c r="AI16" s="159"/>
      <c r="AJ16" s="159"/>
      <c r="AK16" s="159"/>
      <c r="AL16" s="159"/>
      <c r="AM16" s="159"/>
      <c r="AN16" s="159"/>
      <c r="AO16" s="159"/>
      <c r="AP16" s="159"/>
      <c r="AQ16" s="159"/>
      <c r="AR16" s="170"/>
      <c r="AS16" s="170"/>
      <c r="AT16" s="159"/>
      <c r="AU16" s="159"/>
      <c r="AV16" s="159"/>
      <c r="AW16" s="159"/>
    </row>
    <row r="17" spans="1:49" x14ac:dyDescent="0.2">
      <c r="A17" s="168" t="s">
        <v>359</v>
      </c>
      <c r="B17" s="169">
        <v>1</v>
      </c>
      <c r="C17" s="169">
        <v>1</v>
      </c>
      <c r="D17" s="169">
        <v>0.75</v>
      </c>
      <c r="E17" s="169">
        <v>1</v>
      </c>
      <c r="F17" s="169">
        <v>0.5</v>
      </c>
      <c r="G17" s="169">
        <v>1</v>
      </c>
      <c r="H17" s="159">
        <v>0.81799999999999995</v>
      </c>
      <c r="I17" s="159">
        <v>1</v>
      </c>
      <c r="J17" s="159">
        <v>0.75</v>
      </c>
      <c r="K17" s="159">
        <v>0.83299999999999996</v>
      </c>
      <c r="L17" s="159">
        <v>0.83299999999999996</v>
      </c>
      <c r="M17" s="159">
        <v>1</v>
      </c>
      <c r="N17" s="159">
        <v>1</v>
      </c>
      <c r="O17" s="159">
        <v>0.8</v>
      </c>
      <c r="P17" s="159">
        <v>1</v>
      </c>
      <c r="Q17" s="159">
        <v>1</v>
      </c>
      <c r="R17" s="159">
        <v>0.66700000000000004</v>
      </c>
      <c r="S17" s="159">
        <v>1</v>
      </c>
      <c r="T17" s="170">
        <v>1</v>
      </c>
      <c r="U17" s="170">
        <v>0.72727272727272696</v>
      </c>
      <c r="V17" s="159">
        <v>0.8571428571428571</v>
      </c>
      <c r="W17" s="159">
        <v>0.66700000000000004</v>
      </c>
      <c r="X17" s="159">
        <v>1</v>
      </c>
      <c r="Y17" s="170">
        <v>1</v>
      </c>
      <c r="Z17" s="169">
        <v>0.85699999999999998</v>
      </c>
      <c r="AA17" s="169">
        <v>1</v>
      </c>
      <c r="AB17" s="169">
        <v>0.75</v>
      </c>
      <c r="AC17" s="169">
        <v>0.83299999999999996</v>
      </c>
      <c r="AD17" s="169">
        <v>0.71399999999999997</v>
      </c>
      <c r="AE17" s="169">
        <v>0.8</v>
      </c>
      <c r="AF17" s="159">
        <v>1</v>
      </c>
      <c r="AG17" s="159">
        <v>0.75</v>
      </c>
      <c r="AH17" s="159">
        <v>1</v>
      </c>
      <c r="AI17" s="159"/>
      <c r="AJ17" s="159"/>
      <c r="AK17" s="159"/>
      <c r="AL17" s="159"/>
      <c r="AM17" s="159"/>
      <c r="AN17" s="159"/>
      <c r="AO17" s="159"/>
      <c r="AP17" s="159"/>
      <c r="AQ17" s="159"/>
      <c r="AR17" s="170"/>
      <c r="AS17" s="170"/>
      <c r="AT17" s="159"/>
      <c r="AU17" s="159"/>
      <c r="AV17" s="159"/>
      <c r="AW17" s="159"/>
    </row>
    <row r="18" spans="1:49" x14ac:dyDescent="0.2">
      <c r="A18" s="168" t="s">
        <v>360</v>
      </c>
      <c r="B18" s="169">
        <v>1</v>
      </c>
      <c r="C18" s="169">
        <v>1</v>
      </c>
      <c r="D18" s="169">
        <v>1</v>
      </c>
      <c r="E18" s="169">
        <v>1</v>
      </c>
      <c r="F18" s="169">
        <v>0.93300000000000005</v>
      </c>
      <c r="G18" s="169">
        <v>1</v>
      </c>
      <c r="H18" s="159">
        <v>1</v>
      </c>
      <c r="I18" s="159">
        <v>1</v>
      </c>
      <c r="J18" s="159">
        <v>1</v>
      </c>
      <c r="K18" s="159">
        <v>1</v>
      </c>
      <c r="L18" s="159">
        <v>1</v>
      </c>
      <c r="M18" s="159">
        <v>1</v>
      </c>
      <c r="N18" s="159">
        <v>1</v>
      </c>
      <c r="O18" s="159">
        <v>1</v>
      </c>
      <c r="P18" s="159">
        <v>1</v>
      </c>
      <c r="Q18" s="159">
        <v>1</v>
      </c>
      <c r="R18" s="159">
        <v>1</v>
      </c>
      <c r="S18" s="159">
        <v>1</v>
      </c>
      <c r="T18" s="170">
        <v>0.95</v>
      </c>
      <c r="U18" s="170">
        <v>1</v>
      </c>
      <c r="V18" s="159">
        <v>1</v>
      </c>
      <c r="W18" s="159">
        <v>0.92300000000000004</v>
      </c>
      <c r="X18" s="159">
        <v>1</v>
      </c>
      <c r="Y18" s="170">
        <v>0.95199999999999996</v>
      </c>
      <c r="Z18" s="169">
        <v>1</v>
      </c>
      <c r="AA18" s="169">
        <v>0.95699999999999996</v>
      </c>
      <c r="AB18" s="169">
        <v>1</v>
      </c>
      <c r="AC18" s="169">
        <v>1</v>
      </c>
      <c r="AD18" s="169">
        <v>0.96199999999999997</v>
      </c>
      <c r="AE18" s="169">
        <v>0.94099999999999995</v>
      </c>
      <c r="AF18" s="159">
        <v>1</v>
      </c>
      <c r="AG18" s="159">
        <v>1</v>
      </c>
      <c r="AH18" s="159">
        <v>1</v>
      </c>
      <c r="AI18" s="159"/>
      <c r="AJ18" s="159"/>
      <c r="AK18" s="159"/>
      <c r="AL18" s="159"/>
      <c r="AM18" s="159"/>
      <c r="AN18" s="159"/>
      <c r="AO18" s="159"/>
      <c r="AP18" s="159"/>
      <c r="AQ18" s="159"/>
      <c r="AR18" s="170"/>
      <c r="AS18" s="170"/>
      <c r="AT18" s="159"/>
      <c r="AU18" s="159"/>
      <c r="AV18" s="159"/>
      <c r="AW18" s="159"/>
    </row>
    <row r="19" spans="1:49" x14ac:dyDescent="0.2">
      <c r="A19" s="168" t="s">
        <v>361</v>
      </c>
      <c r="B19" s="169">
        <v>1</v>
      </c>
      <c r="C19" s="169">
        <v>1</v>
      </c>
      <c r="D19" s="169">
        <v>1</v>
      </c>
      <c r="E19" s="169">
        <v>1</v>
      </c>
      <c r="F19" s="169">
        <v>1</v>
      </c>
      <c r="G19" s="169">
        <v>1</v>
      </c>
      <c r="H19" s="159">
        <v>1</v>
      </c>
      <c r="I19" s="159">
        <v>1</v>
      </c>
      <c r="J19" s="159">
        <v>1</v>
      </c>
      <c r="K19" s="159">
        <v>1</v>
      </c>
      <c r="L19" s="159">
        <v>1</v>
      </c>
      <c r="M19" s="159">
        <v>1</v>
      </c>
      <c r="N19" s="159">
        <v>1</v>
      </c>
      <c r="O19" s="159">
        <v>0.98199999999999998</v>
      </c>
      <c r="P19" s="159">
        <v>0.98099999999999998</v>
      </c>
      <c r="Q19" s="159">
        <v>1</v>
      </c>
      <c r="R19" s="159">
        <v>1</v>
      </c>
      <c r="S19" s="159">
        <v>1</v>
      </c>
      <c r="T19" s="170">
        <v>1</v>
      </c>
      <c r="U19" s="170">
        <v>1</v>
      </c>
      <c r="V19" s="159">
        <v>1</v>
      </c>
      <c r="W19" s="159">
        <v>0.98699999999999999</v>
      </c>
      <c r="X19" s="159">
        <v>1</v>
      </c>
      <c r="Y19" s="170">
        <v>1</v>
      </c>
      <c r="Z19" s="169">
        <v>0.98499999999999999</v>
      </c>
      <c r="AA19" s="169">
        <v>0.98899999999999999</v>
      </c>
      <c r="AB19" s="169">
        <v>1</v>
      </c>
      <c r="AC19" s="169">
        <v>0.98399999999999999</v>
      </c>
      <c r="AD19" s="169">
        <v>1</v>
      </c>
      <c r="AE19" s="169">
        <v>1</v>
      </c>
      <c r="AF19" s="159">
        <v>1</v>
      </c>
      <c r="AG19" s="159">
        <v>1</v>
      </c>
      <c r="AH19" s="159">
        <v>0.97699999999999998</v>
      </c>
      <c r="AI19" s="159"/>
      <c r="AJ19" s="159"/>
      <c r="AK19" s="159"/>
      <c r="AL19" s="159"/>
      <c r="AM19" s="159"/>
      <c r="AN19" s="159"/>
      <c r="AO19" s="159"/>
      <c r="AP19" s="159"/>
      <c r="AQ19" s="159"/>
      <c r="AR19" s="170"/>
      <c r="AS19" s="170"/>
      <c r="AT19" s="159"/>
      <c r="AU19" s="159"/>
      <c r="AV19" s="159"/>
      <c r="AW19" s="159"/>
    </row>
    <row r="20" spans="1:49" x14ac:dyDescent="0.2">
      <c r="A20" s="168" t="s">
        <v>362</v>
      </c>
      <c r="B20" s="169">
        <v>1</v>
      </c>
      <c r="C20" s="169">
        <v>1</v>
      </c>
      <c r="D20" s="169">
        <v>1</v>
      </c>
      <c r="E20" s="169">
        <v>1</v>
      </c>
      <c r="F20" s="169">
        <v>1</v>
      </c>
      <c r="G20" s="169">
        <v>1</v>
      </c>
      <c r="H20" s="159">
        <v>1</v>
      </c>
      <c r="I20" s="159">
        <v>1</v>
      </c>
      <c r="J20" s="159">
        <v>1</v>
      </c>
      <c r="K20" s="159">
        <v>1</v>
      </c>
      <c r="L20" s="159">
        <v>1</v>
      </c>
      <c r="M20" s="159">
        <v>1</v>
      </c>
      <c r="N20" s="159">
        <v>1</v>
      </c>
      <c r="O20" s="159">
        <v>1</v>
      </c>
      <c r="P20" s="159">
        <v>1</v>
      </c>
      <c r="Q20" s="159">
        <v>0.9</v>
      </c>
      <c r="R20" s="159">
        <v>1</v>
      </c>
      <c r="S20" s="159">
        <v>1</v>
      </c>
      <c r="T20" s="170">
        <v>1</v>
      </c>
      <c r="U20" s="170">
        <v>1</v>
      </c>
      <c r="V20" s="159">
        <v>1</v>
      </c>
      <c r="W20" s="159">
        <v>1</v>
      </c>
      <c r="X20" s="159">
        <v>1</v>
      </c>
      <c r="Y20" s="170">
        <v>1</v>
      </c>
      <c r="Z20" s="169">
        <v>1</v>
      </c>
      <c r="AA20" s="169">
        <v>1</v>
      </c>
      <c r="AB20" s="169">
        <v>1</v>
      </c>
      <c r="AC20" s="169">
        <v>1</v>
      </c>
      <c r="AD20" s="169">
        <v>1</v>
      </c>
      <c r="AE20" s="169">
        <v>1</v>
      </c>
      <c r="AF20" s="159">
        <v>1</v>
      </c>
      <c r="AG20" s="159">
        <v>1</v>
      </c>
      <c r="AH20" s="159">
        <v>1</v>
      </c>
      <c r="AI20" s="159"/>
      <c r="AJ20" s="159"/>
      <c r="AK20" s="159"/>
      <c r="AL20" s="159"/>
      <c r="AM20" s="159"/>
      <c r="AN20" s="159"/>
      <c r="AO20" s="159"/>
      <c r="AP20" s="159"/>
      <c r="AQ20" s="159"/>
      <c r="AR20" s="170"/>
      <c r="AS20" s="170"/>
      <c r="AT20" s="159"/>
      <c r="AU20" s="159"/>
      <c r="AV20" s="159"/>
      <c r="AW20" s="159"/>
    </row>
    <row r="21" spans="1:49" x14ac:dyDescent="0.2">
      <c r="A21" s="168" t="s">
        <v>363</v>
      </c>
      <c r="B21" s="169">
        <v>1</v>
      </c>
      <c r="C21" s="169">
        <v>1</v>
      </c>
      <c r="D21" s="169">
        <v>1</v>
      </c>
      <c r="E21" s="169">
        <v>1</v>
      </c>
      <c r="F21" s="169">
        <v>1</v>
      </c>
      <c r="G21" s="169">
        <v>1</v>
      </c>
      <c r="H21" s="159">
        <v>1</v>
      </c>
      <c r="I21" s="159">
        <v>1</v>
      </c>
      <c r="J21" s="159">
        <v>1</v>
      </c>
      <c r="K21" s="159">
        <v>1</v>
      </c>
      <c r="L21" s="159">
        <v>1</v>
      </c>
      <c r="M21" s="159">
        <v>1</v>
      </c>
      <c r="N21" s="159">
        <v>1</v>
      </c>
      <c r="O21" s="159">
        <v>1</v>
      </c>
      <c r="P21" s="159">
        <v>1</v>
      </c>
      <c r="Q21" s="159">
        <v>1</v>
      </c>
      <c r="R21" s="159">
        <v>1</v>
      </c>
      <c r="S21" s="159">
        <v>1</v>
      </c>
      <c r="T21" s="170">
        <v>1</v>
      </c>
      <c r="U21" s="170">
        <v>1</v>
      </c>
      <c r="V21" s="159">
        <v>1</v>
      </c>
      <c r="W21" s="159">
        <v>1</v>
      </c>
      <c r="X21" s="159">
        <v>1</v>
      </c>
      <c r="Y21" s="170">
        <v>1</v>
      </c>
      <c r="Z21" s="169">
        <v>1</v>
      </c>
      <c r="AA21" s="169">
        <v>1</v>
      </c>
      <c r="AB21" s="169">
        <v>1</v>
      </c>
      <c r="AC21" s="169">
        <v>1</v>
      </c>
      <c r="AD21" s="169">
        <v>1</v>
      </c>
      <c r="AE21" s="169">
        <v>1</v>
      </c>
      <c r="AF21" s="159">
        <v>1</v>
      </c>
      <c r="AG21" s="159">
        <v>1</v>
      </c>
      <c r="AH21" s="159">
        <v>1</v>
      </c>
      <c r="AI21" s="159"/>
      <c r="AJ21" s="159"/>
      <c r="AK21" s="159"/>
      <c r="AL21" s="159"/>
      <c r="AM21" s="159"/>
      <c r="AN21" s="159"/>
      <c r="AO21" s="159"/>
      <c r="AP21" s="159"/>
      <c r="AQ21" s="159"/>
      <c r="AR21" s="170"/>
      <c r="AS21" s="170"/>
      <c r="AT21" s="159"/>
      <c r="AU21" s="159"/>
      <c r="AV21" s="159"/>
      <c r="AW21" s="159"/>
    </row>
    <row r="22" spans="1:49" x14ac:dyDescent="0.2">
      <c r="A22" s="168" t="s">
        <v>364</v>
      </c>
      <c r="B22" s="169">
        <v>1</v>
      </c>
      <c r="C22" s="169">
        <v>1</v>
      </c>
      <c r="D22" s="169">
        <v>1</v>
      </c>
      <c r="E22" s="169">
        <v>1</v>
      </c>
      <c r="F22" s="169">
        <v>1</v>
      </c>
      <c r="G22" s="169">
        <v>0.75</v>
      </c>
      <c r="H22" s="159">
        <v>1</v>
      </c>
      <c r="I22" s="159">
        <v>0.66700000000000004</v>
      </c>
      <c r="J22" s="159">
        <v>1</v>
      </c>
      <c r="K22" s="159">
        <v>1</v>
      </c>
      <c r="L22" s="159">
        <v>1</v>
      </c>
      <c r="M22" s="159">
        <v>1</v>
      </c>
      <c r="N22" s="159">
        <v>0.75</v>
      </c>
      <c r="O22" s="159">
        <v>0.875</v>
      </c>
      <c r="P22" s="159">
        <v>0.85699999999999998</v>
      </c>
      <c r="Q22" s="159">
        <v>1</v>
      </c>
      <c r="R22" s="159">
        <v>1</v>
      </c>
      <c r="S22" s="159">
        <v>1</v>
      </c>
      <c r="T22" s="170">
        <v>0.8</v>
      </c>
      <c r="U22" s="170">
        <v>1</v>
      </c>
      <c r="V22" s="159">
        <v>1</v>
      </c>
      <c r="W22" s="159">
        <v>0.66700000000000004</v>
      </c>
      <c r="X22" s="159">
        <v>1</v>
      </c>
      <c r="Y22" s="170">
        <v>0.5</v>
      </c>
      <c r="Z22" s="169">
        <v>0.71399999999999997</v>
      </c>
      <c r="AA22" s="169">
        <v>0.75</v>
      </c>
      <c r="AB22" s="169">
        <v>0.66700000000000004</v>
      </c>
      <c r="AC22" s="169">
        <v>1</v>
      </c>
      <c r="AD22" s="169">
        <v>1</v>
      </c>
      <c r="AE22" s="169">
        <v>0.91700000000000004</v>
      </c>
      <c r="AF22" s="159">
        <v>1</v>
      </c>
      <c r="AG22" s="159">
        <v>0.83299999999999996</v>
      </c>
      <c r="AH22" s="159">
        <v>1</v>
      </c>
      <c r="AI22" s="159"/>
      <c r="AJ22" s="159"/>
      <c r="AK22" s="159"/>
      <c r="AL22" s="159"/>
      <c r="AM22" s="159"/>
      <c r="AN22" s="159"/>
      <c r="AO22" s="159"/>
      <c r="AP22" s="159"/>
      <c r="AQ22" s="159"/>
      <c r="AR22" s="170"/>
      <c r="AS22" s="170"/>
      <c r="AT22" s="159"/>
      <c r="AU22" s="159"/>
      <c r="AV22" s="159"/>
      <c r="AW22" s="159"/>
    </row>
    <row r="23" spans="1:49" x14ac:dyDescent="0.2">
      <c r="A23" s="168" t="s">
        <v>365</v>
      </c>
      <c r="B23" s="169">
        <v>0.95799999999999996</v>
      </c>
      <c r="C23" s="169">
        <v>1</v>
      </c>
      <c r="D23" s="169">
        <v>0.95499999999999996</v>
      </c>
      <c r="E23" s="169">
        <v>1</v>
      </c>
      <c r="F23" s="169">
        <v>1</v>
      </c>
      <c r="G23" s="169">
        <v>1</v>
      </c>
      <c r="H23" s="159">
        <v>0.96799999999999997</v>
      </c>
      <c r="I23" s="159">
        <v>1</v>
      </c>
      <c r="J23" s="159">
        <v>1</v>
      </c>
      <c r="K23" s="159">
        <v>1</v>
      </c>
      <c r="L23" s="159">
        <v>1</v>
      </c>
      <c r="M23" s="159">
        <v>1</v>
      </c>
      <c r="N23" s="159">
        <v>1</v>
      </c>
      <c r="O23" s="159">
        <v>1</v>
      </c>
      <c r="P23" s="159">
        <v>1</v>
      </c>
      <c r="Q23" s="159">
        <v>1</v>
      </c>
      <c r="R23" s="159">
        <v>0.96199999999999997</v>
      </c>
      <c r="S23" s="159">
        <v>0.875</v>
      </c>
      <c r="T23" s="170">
        <v>1</v>
      </c>
      <c r="U23" s="170">
        <v>0.94399999999999995</v>
      </c>
      <c r="V23" s="159">
        <v>1</v>
      </c>
      <c r="W23" s="159">
        <v>1</v>
      </c>
      <c r="X23" s="159">
        <v>1</v>
      </c>
      <c r="Y23" s="170">
        <v>1</v>
      </c>
      <c r="Z23" s="169">
        <v>1</v>
      </c>
      <c r="AA23" s="169">
        <v>0.94099999999999995</v>
      </c>
      <c r="AB23" s="169">
        <v>0.92300000000000004</v>
      </c>
      <c r="AC23" s="169">
        <v>1</v>
      </c>
      <c r="AD23" s="169">
        <v>0.85699999999999998</v>
      </c>
      <c r="AE23" s="169">
        <v>1</v>
      </c>
      <c r="AF23" s="159">
        <v>1</v>
      </c>
      <c r="AG23" s="159">
        <v>1</v>
      </c>
      <c r="AH23" s="159">
        <v>1</v>
      </c>
      <c r="AI23" s="159"/>
      <c r="AJ23" s="159"/>
      <c r="AK23" s="159"/>
      <c r="AL23" s="159"/>
      <c r="AM23" s="159"/>
      <c r="AN23" s="159"/>
      <c r="AO23" s="159"/>
      <c r="AP23" s="159"/>
      <c r="AQ23" s="159"/>
      <c r="AR23" s="170"/>
      <c r="AS23" s="170"/>
      <c r="AT23" s="159"/>
      <c r="AU23" s="159"/>
      <c r="AV23" s="159"/>
      <c r="AW23" s="159"/>
    </row>
    <row r="24" spans="1:49" x14ac:dyDescent="0.2">
      <c r="A24" s="168" t="s">
        <v>366</v>
      </c>
      <c r="B24" s="169">
        <v>0.90300000000000002</v>
      </c>
      <c r="C24" s="169">
        <v>0.82499999999999996</v>
      </c>
      <c r="D24" s="169">
        <v>0.86199999999999999</v>
      </c>
      <c r="E24" s="169">
        <v>0.873</v>
      </c>
      <c r="F24" s="169">
        <v>0.93</v>
      </c>
      <c r="G24" s="169">
        <v>0.92300000000000004</v>
      </c>
      <c r="H24" s="159">
        <v>0.93200000000000005</v>
      </c>
      <c r="I24" s="159">
        <v>0.85499999999999998</v>
      </c>
      <c r="J24" s="159">
        <v>0.80800000000000005</v>
      </c>
      <c r="K24" s="159">
        <v>0.82399999999999995</v>
      </c>
      <c r="L24" s="159">
        <v>0.78500000000000003</v>
      </c>
      <c r="M24" s="159">
        <v>0.75800000000000001</v>
      </c>
      <c r="N24" s="159">
        <v>0.75</v>
      </c>
      <c r="O24" s="159">
        <v>0.69799999999999995</v>
      </c>
      <c r="P24" s="159">
        <v>0.78700000000000003</v>
      </c>
      <c r="Q24" s="159">
        <v>0.75</v>
      </c>
      <c r="R24" s="159">
        <v>0.63600000000000001</v>
      </c>
      <c r="S24" s="159">
        <v>0.63600000000000001</v>
      </c>
      <c r="T24" s="170">
        <v>0.71199999999999997</v>
      </c>
      <c r="U24" s="170">
        <v>0.6</v>
      </c>
      <c r="V24" s="159">
        <v>0.77800000000000002</v>
      </c>
      <c r="W24" s="159">
        <v>0.64</v>
      </c>
      <c r="X24" s="159">
        <v>0.69699999999999995</v>
      </c>
      <c r="Y24" s="170">
        <v>0.85699999999999998</v>
      </c>
      <c r="Z24" s="169">
        <v>0.83</v>
      </c>
      <c r="AA24" s="169">
        <v>0.70699999999999996</v>
      </c>
      <c r="AB24" s="169">
        <v>0.84199999999999997</v>
      </c>
      <c r="AC24" s="169">
        <v>0.71899999999999997</v>
      </c>
      <c r="AD24" s="169">
        <v>0.622</v>
      </c>
      <c r="AE24" s="169">
        <v>0.81100000000000005</v>
      </c>
      <c r="AF24" s="159">
        <v>0.80900000000000005</v>
      </c>
      <c r="AG24" s="159">
        <v>0.73399999999999999</v>
      </c>
      <c r="AH24" s="159">
        <v>0.67700000000000005</v>
      </c>
      <c r="AI24" s="159"/>
      <c r="AJ24" s="159"/>
      <c r="AK24" s="159"/>
      <c r="AL24" s="159"/>
      <c r="AM24" s="159"/>
      <c r="AN24" s="159"/>
      <c r="AO24" s="159"/>
      <c r="AP24" s="159"/>
      <c r="AQ24" s="159"/>
      <c r="AR24" s="170"/>
      <c r="AS24" s="170"/>
      <c r="AT24" s="159"/>
      <c r="AU24" s="159"/>
      <c r="AV24" s="159"/>
      <c r="AW24" s="159"/>
    </row>
    <row r="25" spans="1:49" x14ac:dyDescent="0.2">
      <c r="A25" s="171" t="s">
        <v>15</v>
      </c>
      <c r="B25" s="494">
        <v>0.95</v>
      </c>
      <c r="C25" s="494">
        <v>0.95</v>
      </c>
      <c r="D25" s="494">
        <v>0.95</v>
      </c>
      <c r="E25" s="494">
        <v>0.95</v>
      </c>
      <c r="F25" s="494">
        <v>0.95</v>
      </c>
      <c r="G25" s="494">
        <v>0.95</v>
      </c>
      <c r="H25" s="494">
        <v>0.95</v>
      </c>
      <c r="I25" s="494">
        <v>0.95</v>
      </c>
      <c r="J25" s="494">
        <v>0.95</v>
      </c>
      <c r="K25" s="494">
        <v>0.95</v>
      </c>
      <c r="L25" s="494">
        <v>0.95</v>
      </c>
      <c r="M25" s="494">
        <v>0.95</v>
      </c>
      <c r="N25" s="494">
        <v>0.95</v>
      </c>
      <c r="O25" s="494">
        <v>0.95</v>
      </c>
      <c r="P25" s="494">
        <v>0.95</v>
      </c>
      <c r="Q25" s="494">
        <v>0.95</v>
      </c>
      <c r="R25" s="494">
        <v>0.95</v>
      </c>
      <c r="S25" s="494">
        <v>0.95</v>
      </c>
      <c r="T25" s="494">
        <v>0.95</v>
      </c>
      <c r="U25" s="494">
        <v>0.95</v>
      </c>
      <c r="V25" s="494">
        <v>0.95</v>
      </c>
      <c r="W25" s="494">
        <v>0.95</v>
      </c>
      <c r="X25" s="494">
        <v>0.95</v>
      </c>
      <c r="Y25" s="494">
        <v>0.95</v>
      </c>
      <c r="Z25" s="494">
        <v>0.95</v>
      </c>
      <c r="AA25" s="494">
        <v>0.95</v>
      </c>
      <c r="AB25" s="494">
        <v>0.95</v>
      </c>
      <c r="AC25" s="494">
        <v>0.95</v>
      </c>
      <c r="AD25" s="494">
        <v>0.95</v>
      </c>
      <c r="AE25" s="494">
        <v>0.95</v>
      </c>
      <c r="AF25" s="494">
        <v>0.95</v>
      </c>
      <c r="AG25" s="494">
        <v>0.95</v>
      </c>
      <c r="AH25" s="494">
        <v>0.95</v>
      </c>
      <c r="AI25" s="494">
        <v>0.95</v>
      </c>
      <c r="AJ25" s="494">
        <v>0.95</v>
      </c>
      <c r="AK25" s="494">
        <v>0.95</v>
      </c>
      <c r="AL25" s="494">
        <v>0.95</v>
      </c>
      <c r="AM25" s="494">
        <v>0.95</v>
      </c>
      <c r="AN25" s="494">
        <v>0.95</v>
      </c>
      <c r="AO25" s="494">
        <v>0.95</v>
      </c>
      <c r="AP25" s="494">
        <v>0.95</v>
      </c>
      <c r="AQ25" s="494">
        <v>0.95</v>
      </c>
      <c r="AR25" s="494">
        <v>0.95</v>
      </c>
      <c r="AS25" s="494">
        <v>0.95</v>
      </c>
      <c r="AT25" s="494">
        <v>0.95</v>
      </c>
      <c r="AU25" s="494">
        <v>0.95</v>
      </c>
      <c r="AV25" s="494">
        <v>0.95</v>
      </c>
      <c r="AW25" s="494">
        <v>0.95</v>
      </c>
    </row>
    <row r="26" spans="1:49" ht="12.75" customHeight="1" x14ac:dyDescent="0.2"/>
    <row r="27" spans="1:49" ht="12.75" customHeight="1" x14ac:dyDescent="0.25">
      <c r="A27" s="127" t="s">
        <v>734</v>
      </c>
      <c r="B27" s="145"/>
      <c r="C27" s="145"/>
      <c r="D27" s="145"/>
      <c r="E27" s="145"/>
      <c r="F27" s="145"/>
      <c r="G27" s="145"/>
      <c r="H27" s="145"/>
      <c r="I27" s="145"/>
      <c r="J27" s="145"/>
      <c r="K27" s="145"/>
      <c r="L27" s="145"/>
      <c r="M27" s="145"/>
      <c r="N27" s="602" t="s">
        <v>735</v>
      </c>
      <c r="O27" s="155"/>
      <c r="AC27" s="653"/>
      <c r="AF27" s="800"/>
    </row>
    <row r="28" spans="1:49" ht="12.75" customHeight="1" x14ac:dyDescent="0.25">
      <c r="A28" s="127"/>
      <c r="N28" s="788"/>
      <c r="AC28" s="788"/>
      <c r="AF28" s="800"/>
    </row>
    <row r="29" spans="1:49" ht="12.75" customHeight="1" x14ac:dyDescent="0.25">
      <c r="AF29" s="800"/>
    </row>
    <row r="30" spans="1:49" ht="12.75" customHeight="1" x14ac:dyDescent="0.25">
      <c r="AF30" s="800"/>
    </row>
    <row r="31" spans="1:49" ht="12.75" customHeight="1" x14ac:dyDescent="0.25">
      <c r="AF31" s="800"/>
    </row>
    <row r="32" spans="1:49" ht="12.75" customHeight="1" x14ac:dyDescent="0.25">
      <c r="AF32" s="800"/>
    </row>
    <row r="33" spans="32:32" ht="12.75" customHeight="1" x14ac:dyDescent="0.25">
      <c r="AF33" s="800"/>
    </row>
    <row r="34" spans="32:32" ht="12.75" customHeight="1" x14ac:dyDescent="0.25">
      <c r="AF34" s="800"/>
    </row>
    <row r="35" spans="32:32" ht="12.75" customHeight="1" x14ac:dyDescent="0.25">
      <c r="AF35" s="800"/>
    </row>
    <row r="36" spans="32:32" ht="15" x14ac:dyDescent="0.25">
      <c r="AF36" s="800"/>
    </row>
    <row r="37" spans="32:32" ht="15" x14ac:dyDescent="0.25">
      <c r="AF37" s="800"/>
    </row>
    <row r="38" spans="32:32" ht="15" x14ac:dyDescent="0.25">
      <c r="AF38" s="800"/>
    </row>
    <row r="39" spans="32:32" ht="15" x14ac:dyDescent="0.25">
      <c r="AF39" s="800"/>
    </row>
    <row r="53" spans="1:14" ht="14.25" x14ac:dyDescent="0.2">
      <c r="A53" s="511" t="s">
        <v>754</v>
      </c>
      <c r="N53" s="511" t="s">
        <v>755</v>
      </c>
    </row>
    <row r="54" spans="1:14" ht="15" x14ac:dyDescent="0.25">
      <c r="N54"/>
    </row>
    <row r="55" spans="1:14" ht="15" x14ac:dyDescent="0.25">
      <c r="N55"/>
    </row>
    <row r="77" spans="1:25" ht="14.25" customHeight="1" x14ac:dyDescent="0.2">
      <c r="N77" s="1074" t="s">
        <v>757</v>
      </c>
      <c r="O77" s="1074"/>
      <c r="P77" s="1074"/>
      <c r="Q77" s="1074"/>
      <c r="R77" s="1074"/>
      <c r="S77" s="1074"/>
      <c r="T77" s="1074"/>
      <c r="U77" s="1074"/>
      <c r="V77" s="1074"/>
      <c r="W77" s="1074"/>
      <c r="X77" s="1074"/>
      <c r="Y77" s="1074"/>
    </row>
    <row r="78" spans="1:25" x14ac:dyDescent="0.2">
      <c r="A78" s="722" t="s">
        <v>756</v>
      </c>
      <c r="N78" s="1074"/>
      <c r="O78" s="1074"/>
      <c r="P78" s="1074"/>
      <c r="Q78" s="1074"/>
      <c r="R78" s="1074"/>
      <c r="S78" s="1074"/>
      <c r="T78" s="1074"/>
      <c r="U78" s="1074"/>
      <c r="V78" s="1074"/>
      <c r="W78" s="1074"/>
      <c r="X78" s="1074"/>
      <c r="Y78" s="1074"/>
    </row>
    <row r="79" spans="1:25" x14ac:dyDescent="0.2">
      <c r="N79" s="733"/>
      <c r="O79" s="733"/>
      <c r="P79" s="733"/>
      <c r="Q79" s="733"/>
      <c r="R79" s="733"/>
      <c r="S79" s="733"/>
      <c r="T79" s="733"/>
      <c r="U79" s="733"/>
      <c r="V79" s="733"/>
      <c r="W79" s="733"/>
      <c r="X79" s="733"/>
      <c r="Y79" s="733"/>
    </row>
    <row r="80" spans="1:25" x14ac:dyDescent="0.2">
      <c r="N80" s="733"/>
      <c r="O80" s="733"/>
      <c r="P80" s="733"/>
      <c r="Q80" s="733"/>
      <c r="R80" s="733"/>
      <c r="S80" s="733"/>
      <c r="T80" s="733"/>
      <c r="U80" s="733"/>
      <c r="V80" s="733"/>
      <c r="W80" s="733"/>
      <c r="X80" s="733"/>
      <c r="Y80" s="733"/>
    </row>
    <row r="81" spans="14:25" x14ac:dyDescent="0.2">
      <c r="N81" s="733"/>
      <c r="O81" s="733"/>
      <c r="P81" s="733"/>
      <c r="Q81" s="733"/>
      <c r="R81" s="733"/>
      <c r="S81" s="733"/>
      <c r="T81" s="733"/>
      <c r="U81" s="733"/>
      <c r="V81" s="733"/>
      <c r="W81" s="733"/>
      <c r="X81" s="733"/>
      <c r="Y81" s="733"/>
    </row>
    <row r="82" spans="14:25" x14ac:dyDescent="0.2">
      <c r="N82" s="733"/>
      <c r="O82" s="733"/>
      <c r="P82" s="733"/>
      <c r="Q82" s="733"/>
      <c r="R82" s="733"/>
      <c r="S82" s="733"/>
      <c r="T82" s="733"/>
      <c r="U82" s="733"/>
      <c r="V82" s="733"/>
      <c r="W82" s="733"/>
      <c r="X82" s="733"/>
      <c r="Y82" s="733"/>
    </row>
    <row r="83" spans="14:25" x14ac:dyDescent="0.2">
      <c r="N83" s="733"/>
      <c r="O83" s="733"/>
      <c r="P83" s="733"/>
      <c r="Q83" s="733"/>
      <c r="R83" s="733"/>
      <c r="S83" s="733"/>
      <c r="T83" s="733"/>
      <c r="U83" s="733"/>
      <c r="V83" s="733"/>
      <c r="W83" s="733"/>
      <c r="X83" s="733"/>
      <c r="Y83" s="733"/>
    </row>
    <row r="84" spans="14:25" x14ac:dyDescent="0.2">
      <c r="N84" s="733"/>
      <c r="O84" s="733"/>
      <c r="P84" s="733"/>
      <c r="Q84" s="733"/>
      <c r="R84" s="733"/>
      <c r="S84" s="733"/>
      <c r="T84" s="733"/>
      <c r="U84" s="733"/>
      <c r="V84" s="733"/>
      <c r="W84" s="733"/>
      <c r="X84" s="733"/>
      <c r="Y84" s="733"/>
    </row>
    <row r="85" spans="14:25" x14ac:dyDescent="0.2">
      <c r="N85" s="733"/>
      <c r="O85" s="733"/>
      <c r="P85" s="733"/>
      <c r="Q85" s="733"/>
      <c r="R85" s="733"/>
      <c r="S85" s="733"/>
      <c r="T85" s="733"/>
      <c r="U85" s="733"/>
      <c r="V85" s="733"/>
      <c r="W85" s="733"/>
      <c r="X85" s="733"/>
      <c r="Y85" s="733"/>
    </row>
    <row r="86" spans="14:25" x14ac:dyDescent="0.2">
      <c r="N86" s="733"/>
      <c r="O86" s="733"/>
      <c r="P86" s="733"/>
      <c r="Q86" s="733"/>
      <c r="R86" s="733"/>
      <c r="S86" s="733"/>
      <c r="T86" s="733"/>
      <c r="U86" s="733"/>
      <c r="V86" s="733"/>
      <c r="W86" s="733"/>
      <c r="X86" s="733"/>
      <c r="Y86" s="733"/>
    </row>
    <row r="87" spans="14:25" x14ac:dyDescent="0.2">
      <c r="N87" s="733"/>
      <c r="O87" s="733"/>
      <c r="P87" s="733"/>
      <c r="Q87" s="733"/>
      <c r="R87" s="733"/>
      <c r="S87" s="733"/>
      <c r="T87" s="733"/>
      <c r="U87" s="733"/>
      <c r="V87" s="733"/>
      <c r="W87" s="733"/>
      <c r="X87" s="733"/>
      <c r="Y87" s="733"/>
    </row>
    <row r="88" spans="14:25" x14ac:dyDescent="0.2">
      <c r="N88" s="733"/>
      <c r="O88" s="733"/>
      <c r="P88" s="733"/>
      <c r="Q88" s="733"/>
      <c r="R88" s="733"/>
      <c r="S88" s="733"/>
      <c r="T88" s="733"/>
      <c r="U88" s="733"/>
      <c r="V88" s="733"/>
      <c r="W88" s="733"/>
      <c r="X88" s="733"/>
      <c r="Y88" s="733"/>
    </row>
    <row r="89" spans="14:25" x14ac:dyDescent="0.2">
      <c r="N89" s="733"/>
      <c r="O89" s="733"/>
      <c r="P89" s="733"/>
      <c r="Q89" s="733"/>
      <c r="R89" s="733"/>
      <c r="S89" s="733"/>
      <c r="T89" s="733"/>
      <c r="U89" s="733"/>
      <c r="V89" s="733"/>
      <c r="W89" s="733"/>
      <c r="X89" s="733"/>
      <c r="Y89" s="733"/>
    </row>
    <row r="90" spans="14:25" x14ac:dyDescent="0.2">
      <c r="N90" s="733"/>
      <c r="O90" s="733"/>
      <c r="P90" s="733"/>
      <c r="Q90" s="733"/>
      <c r="R90" s="733"/>
      <c r="S90" s="733"/>
      <c r="T90" s="733"/>
      <c r="U90" s="733"/>
      <c r="V90" s="733"/>
      <c r="W90" s="733"/>
      <c r="X90" s="733"/>
      <c r="Y90" s="733"/>
    </row>
    <row r="91" spans="14:25" x14ac:dyDescent="0.2">
      <c r="N91" s="733"/>
      <c r="O91" s="733"/>
      <c r="P91" s="733"/>
      <c r="Q91" s="733"/>
      <c r="R91" s="733"/>
      <c r="S91" s="733"/>
      <c r="T91" s="733"/>
      <c r="U91" s="733"/>
      <c r="V91" s="733"/>
      <c r="W91" s="733"/>
      <c r="X91" s="733"/>
      <c r="Y91" s="733"/>
    </row>
    <row r="92" spans="14:25" x14ac:dyDescent="0.2">
      <c r="N92" s="733"/>
      <c r="O92" s="733"/>
      <c r="P92" s="733"/>
      <c r="Q92" s="733"/>
      <c r="R92" s="733"/>
      <c r="S92" s="733"/>
      <c r="T92" s="733"/>
      <c r="U92" s="733"/>
      <c r="V92" s="733"/>
      <c r="W92" s="733"/>
      <c r="X92" s="733"/>
      <c r="Y92" s="733"/>
    </row>
    <row r="93" spans="14:25" x14ac:dyDescent="0.2">
      <c r="N93" s="733"/>
      <c r="O93" s="733"/>
      <c r="P93" s="733"/>
      <c r="Q93" s="733"/>
      <c r="R93" s="733"/>
      <c r="S93" s="733"/>
      <c r="T93" s="733"/>
      <c r="U93" s="733"/>
      <c r="V93" s="733"/>
      <c r="W93" s="733"/>
      <c r="X93" s="733"/>
      <c r="Y93" s="733"/>
    </row>
    <row r="94" spans="14:25" x14ac:dyDescent="0.2">
      <c r="N94" s="733"/>
      <c r="O94" s="733"/>
      <c r="P94" s="733"/>
      <c r="Q94" s="733"/>
      <c r="R94" s="733"/>
      <c r="S94" s="733"/>
      <c r="T94" s="733"/>
      <c r="U94" s="733"/>
      <c r="V94" s="733"/>
      <c r="W94" s="733"/>
      <c r="X94" s="733"/>
      <c r="Y94" s="733"/>
    </row>
    <row r="95" spans="14:25" x14ac:dyDescent="0.2">
      <c r="N95" s="733"/>
      <c r="O95" s="733"/>
      <c r="P95" s="733"/>
      <c r="Q95" s="733"/>
      <c r="R95" s="733"/>
      <c r="S95" s="733"/>
      <c r="T95" s="733"/>
      <c r="U95" s="733"/>
      <c r="V95" s="733"/>
      <c r="W95" s="733"/>
      <c r="X95" s="733"/>
      <c r="Y95" s="733"/>
    </row>
    <row r="96" spans="14:25" x14ac:dyDescent="0.2">
      <c r="N96" s="733"/>
      <c r="O96" s="733"/>
      <c r="P96" s="733"/>
      <c r="Q96" s="733"/>
      <c r="R96" s="733"/>
      <c r="S96" s="733"/>
      <c r="T96" s="733"/>
      <c r="U96" s="733"/>
      <c r="V96" s="733"/>
      <c r="W96" s="733"/>
      <c r="X96" s="733"/>
      <c r="Y96" s="733"/>
    </row>
    <row r="97" spans="1:49" x14ac:dyDescent="0.2">
      <c r="N97" s="733"/>
      <c r="O97" s="733"/>
      <c r="P97" s="733"/>
      <c r="Q97" s="733"/>
      <c r="R97" s="733"/>
      <c r="S97" s="733"/>
      <c r="T97" s="733"/>
      <c r="U97" s="733"/>
      <c r="V97" s="733"/>
      <c r="W97" s="733"/>
      <c r="X97" s="733"/>
      <c r="Y97" s="733"/>
    </row>
    <row r="98" spans="1:49" x14ac:dyDescent="0.2">
      <c r="N98" s="733"/>
      <c r="O98" s="733"/>
      <c r="P98" s="733"/>
      <c r="Q98" s="733"/>
      <c r="R98" s="733"/>
      <c r="S98" s="733"/>
      <c r="T98" s="733"/>
      <c r="U98" s="733"/>
      <c r="V98" s="733"/>
      <c r="W98" s="733"/>
      <c r="X98" s="733"/>
      <c r="Y98" s="733"/>
    </row>
    <row r="99" spans="1:49" x14ac:dyDescent="0.2">
      <c r="N99" s="733"/>
      <c r="O99" s="733"/>
      <c r="P99" s="733"/>
      <c r="Q99" s="733"/>
      <c r="R99" s="733"/>
      <c r="S99" s="733"/>
      <c r="T99" s="733"/>
      <c r="U99" s="733"/>
      <c r="V99" s="733"/>
      <c r="W99" s="733"/>
      <c r="X99" s="733"/>
      <c r="Y99" s="733"/>
    </row>
    <row r="100" spans="1:49" x14ac:dyDescent="0.2">
      <c r="N100" s="733"/>
      <c r="O100" s="733"/>
      <c r="P100" s="733"/>
      <c r="Q100" s="733"/>
      <c r="R100" s="733"/>
      <c r="S100" s="733"/>
      <c r="T100" s="733"/>
      <c r="U100" s="733"/>
      <c r="V100" s="733"/>
      <c r="W100" s="733"/>
      <c r="X100" s="733"/>
      <c r="Y100" s="733"/>
    </row>
    <row r="101" spans="1:49" x14ac:dyDescent="0.2">
      <c r="N101" s="733"/>
      <c r="O101" s="733"/>
      <c r="P101" s="733"/>
      <c r="Q101" s="733"/>
      <c r="R101" s="733"/>
      <c r="S101" s="733"/>
      <c r="T101" s="733"/>
      <c r="U101" s="733"/>
      <c r="V101" s="733"/>
      <c r="W101" s="733"/>
      <c r="X101" s="733"/>
      <c r="Y101" s="733"/>
    </row>
    <row r="102" spans="1:49" ht="15.75" x14ac:dyDescent="0.25">
      <c r="A102" s="292" t="s">
        <v>736</v>
      </c>
      <c r="N102" s="787"/>
      <c r="O102" s="787"/>
      <c r="P102" s="787"/>
      <c r="Q102" s="787"/>
      <c r="R102" s="787"/>
      <c r="S102" s="787"/>
      <c r="T102" s="787"/>
      <c r="U102" s="787"/>
      <c r="V102" s="787"/>
      <c r="W102" s="787"/>
      <c r="X102" s="787"/>
      <c r="Y102" s="787"/>
    </row>
    <row r="103" spans="1:49" x14ac:dyDescent="0.2">
      <c r="N103" s="787"/>
      <c r="O103" s="787"/>
      <c r="P103" s="787"/>
      <c r="Q103" s="787"/>
      <c r="R103" s="787"/>
      <c r="S103" s="787"/>
      <c r="T103" s="787"/>
      <c r="U103" s="787"/>
      <c r="V103" s="787"/>
      <c r="W103" s="787"/>
      <c r="X103" s="787"/>
      <c r="Y103" s="787"/>
    </row>
    <row r="105" spans="1:49" x14ac:dyDescent="0.2">
      <c r="A105" s="361" t="s">
        <v>40</v>
      </c>
    </row>
    <row r="106" spans="1:49" x14ac:dyDescent="0.2">
      <c r="A106" s="136" t="s">
        <v>130</v>
      </c>
      <c r="B106" s="160">
        <f t="shared" ref="B106:G106" si="0">MEDIAN($B$11:$G$11)</f>
        <v>0.97099999999999997</v>
      </c>
      <c r="C106" s="160">
        <f t="shared" si="0"/>
        <v>0.97099999999999997</v>
      </c>
      <c r="D106" s="160">
        <f t="shared" si="0"/>
        <v>0.97099999999999997</v>
      </c>
      <c r="E106" s="160">
        <f t="shared" si="0"/>
        <v>0.97099999999999997</v>
      </c>
      <c r="F106" s="160">
        <f t="shared" si="0"/>
        <v>0.97099999999999997</v>
      </c>
      <c r="G106" s="160">
        <f t="shared" si="0"/>
        <v>0.97099999999999997</v>
      </c>
      <c r="H106" s="136"/>
      <c r="I106" s="136"/>
      <c r="J106" s="136"/>
      <c r="K106" s="136"/>
      <c r="L106" s="136"/>
      <c r="M106" s="136" t="s">
        <v>368</v>
      </c>
      <c r="N106" s="136"/>
      <c r="O106" s="136"/>
      <c r="P106" s="136"/>
      <c r="Q106" s="136"/>
      <c r="R106" s="136"/>
      <c r="S106" s="136"/>
      <c r="T106" s="136"/>
      <c r="U106" s="136"/>
      <c r="V106" s="136"/>
      <c r="W106" s="136"/>
      <c r="X106" s="136"/>
      <c r="Y106" s="136"/>
      <c r="Z106" s="160"/>
      <c r="AA106" s="160"/>
      <c r="AB106" s="160"/>
      <c r="AC106" s="160"/>
      <c r="AD106" s="160"/>
      <c r="AE106" s="160"/>
      <c r="AF106" s="136"/>
      <c r="AG106" s="136"/>
      <c r="AH106" s="136"/>
      <c r="AI106" s="136"/>
      <c r="AJ106" s="136"/>
      <c r="AK106" s="136"/>
      <c r="AL106" s="136"/>
      <c r="AM106" s="136"/>
      <c r="AN106" s="136"/>
      <c r="AO106" s="136"/>
      <c r="AP106" s="136"/>
      <c r="AQ106" s="136"/>
      <c r="AR106" s="136"/>
      <c r="AS106" s="136"/>
      <c r="AT106" s="136"/>
      <c r="AU106" s="136"/>
      <c r="AV106" s="136"/>
      <c r="AW106" s="136"/>
    </row>
    <row r="107" spans="1:49" x14ac:dyDescent="0.2">
      <c r="A107" s="136" t="s">
        <v>178</v>
      </c>
      <c r="B107" s="136"/>
      <c r="C107" s="136"/>
      <c r="D107" s="136"/>
      <c r="E107" s="136"/>
      <c r="F107" s="136"/>
      <c r="G107" s="160">
        <f>MEDIAN($B$11:$G$11)</f>
        <v>0.97099999999999997</v>
      </c>
      <c r="H107" s="160">
        <f>MEDIAN($B$11:$G$11)</f>
        <v>0.97099999999999997</v>
      </c>
      <c r="I107" s="160"/>
      <c r="J107" s="160"/>
      <c r="K107" s="160" t="s">
        <v>368</v>
      </c>
      <c r="L107" s="160" t="s">
        <v>368</v>
      </c>
      <c r="M107" s="160" t="s">
        <v>368</v>
      </c>
      <c r="N107" s="160" t="s">
        <v>368</v>
      </c>
      <c r="O107" s="160" t="s">
        <v>368</v>
      </c>
      <c r="P107" s="160" t="s">
        <v>368</v>
      </c>
      <c r="Q107" s="160" t="s">
        <v>368</v>
      </c>
      <c r="R107" s="160" t="s">
        <v>368</v>
      </c>
      <c r="S107" s="160" t="s">
        <v>368</v>
      </c>
      <c r="T107" s="160" t="s">
        <v>368</v>
      </c>
      <c r="U107" s="160" t="s">
        <v>368</v>
      </c>
      <c r="V107" s="160" t="s">
        <v>368</v>
      </c>
      <c r="W107" s="160" t="s">
        <v>368</v>
      </c>
      <c r="X107" s="160" t="s">
        <v>368</v>
      </c>
      <c r="Y107" s="160" t="s">
        <v>368</v>
      </c>
      <c r="Z107" s="136"/>
      <c r="AA107" s="136"/>
      <c r="AB107" s="136"/>
      <c r="AC107" s="136"/>
      <c r="AD107" s="136"/>
      <c r="AE107" s="160"/>
      <c r="AF107" s="160"/>
      <c r="AG107" s="160"/>
      <c r="AH107" s="160"/>
      <c r="AI107" s="160"/>
      <c r="AJ107" s="160"/>
      <c r="AK107" s="160"/>
      <c r="AL107" s="160"/>
      <c r="AM107" s="160"/>
      <c r="AN107" s="160"/>
      <c r="AO107" s="160"/>
      <c r="AP107" s="160"/>
      <c r="AQ107" s="160"/>
      <c r="AR107" s="160"/>
      <c r="AS107" s="160"/>
      <c r="AT107" s="160"/>
      <c r="AU107" s="160"/>
      <c r="AV107" s="160"/>
      <c r="AW107" s="160"/>
    </row>
    <row r="108" spans="1:49" x14ac:dyDescent="0.2">
      <c r="A108" s="136" t="s">
        <v>303</v>
      </c>
      <c r="B108" s="136"/>
      <c r="C108" s="136"/>
      <c r="D108" s="136"/>
      <c r="E108" s="136"/>
      <c r="F108" s="136"/>
      <c r="G108" s="136"/>
      <c r="H108" s="136"/>
      <c r="I108" s="160">
        <f>MEDIAN($I$11:$N$11)</f>
        <v>0.94950000000000001</v>
      </c>
      <c r="J108" s="160">
        <f>MEDIAN($I$11:$N$11)</f>
        <v>0.94950000000000001</v>
      </c>
      <c r="K108" s="160">
        <f t="shared" ref="K108:Z109" si="1">MEDIAN($I$11:$N$11)</f>
        <v>0.94950000000000001</v>
      </c>
      <c r="L108" s="160">
        <f t="shared" si="1"/>
        <v>0.94950000000000001</v>
      </c>
      <c r="M108" s="160">
        <f t="shared" si="1"/>
        <v>0.94950000000000001</v>
      </c>
      <c r="N108" s="160">
        <f t="shared" si="1"/>
        <v>0.94950000000000001</v>
      </c>
      <c r="O108" s="160"/>
      <c r="P108" s="136"/>
      <c r="Q108" s="136"/>
      <c r="R108" s="136"/>
      <c r="S108" s="136"/>
      <c r="T108" s="136"/>
      <c r="U108" s="136"/>
      <c r="V108" s="136"/>
      <c r="W108" s="136"/>
      <c r="X108" s="136"/>
      <c r="Y108" s="136"/>
      <c r="Z108" s="136"/>
      <c r="AA108" s="136"/>
      <c r="AB108" s="136"/>
      <c r="AC108" s="136"/>
      <c r="AD108" s="136"/>
      <c r="AE108" s="136"/>
      <c r="AF108" s="136"/>
      <c r="AG108" s="136"/>
      <c r="AH108" s="160"/>
      <c r="AI108" s="160"/>
      <c r="AJ108" s="160"/>
      <c r="AK108" s="160"/>
      <c r="AL108" s="160"/>
      <c r="AM108" s="160"/>
      <c r="AN108" s="136"/>
      <c r="AO108" s="136"/>
      <c r="AP108" s="136"/>
      <c r="AQ108" s="136"/>
      <c r="AR108" s="136"/>
      <c r="AS108" s="136"/>
      <c r="AT108" s="136"/>
      <c r="AU108" s="136"/>
      <c r="AV108" s="136"/>
      <c r="AW108" s="136"/>
    </row>
    <row r="109" spans="1:49" x14ac:dyDescent="0.2">
      <c r="A109" s="136" t="s">
        <v>304</v>
      </c>
      <c r="B109" s="136"/>
      <c r="C109" s="136"/>
      <c r="D109" s="136"/>
      <c r="E109" s="136"/>
      <c r="F109" s="136"/>
      <c r="G109" s="136"/>
      <c r="H109" s="136"/>
      <c r="I109" s="136"/>
      <c r="J109" s="136"/>
      <c r="K109" s="136"/>
      <c r="L109" s="136"/>
      <c r="M109" s="136"/>
      <c r="N109" s="160">
        <f t="shared" si="1"/>
        <v>0.94950000000000001</v>
      </c>
      <c r="O109" s="160">
        <f t="shared" si="1"/>
        <v>0.94950000000000001</v>
      </c>
      <c r="P109" s="160">
        <f t="shared" si="1"/>
        <v>0.94950000000000001</v>
      </c>
      <c r="Q109" s="160">
        <f t="shared" si="1"/>
        <v>0.94950000000000001</v>
      </c>
      <c r="R109" s="160">
        <f t="shared" si="1"/>
        <v>0.94950000000000001</v>
      </c>
      <c r="S109" s="160">
        <f t="shared" si="1"/>
        <v>0.94950000000000001</v>
      </c>
      <c r="T109" s="160">
        <f t="shared" si="1"/>
        <v>0.94950000000000001</v>
      </c>
      <c r="U109" s="160">
        <f t="shared" si="1"/>
        <v>0.94950000000000001</v>
      </c>
      <c r="V109" s="160">
        <f t="shared" si="1"/>
        <v>0.94950000000000001</v>
      </c>
      <c r="W109" s="160">
        <f t="shared" si="1"/>
        <v>0.94950000000000001</v>
      </c>
      <c r="X109" s="160">
        <f t="shared" si="1"/>
        <v>0.94950000000000001</v>
      </c>
      <c r="Y109" s="160">
        <f t="shared" si="1"/>
        <v>0.94950000000000001</v>
      </c>
      <c r="Z109" s="160">
        <f t="shared" si="1"/>
        <v>0.94950000000000001</v>
      </c>
      <c r="AA109" s="160">
        <f t="shared" ref="AA109:AW109" si="2">MEDIAN($I$11:$N$11)</f>
        <v>0.94950000000000001</v>
      </c>
      <c r="AB109" s="160">
        <f t="shared" si="2"/>
        <v>0.94950000000000001</v>
      </c>
      <c r="AC109" s="160">
        <f t="shared" si="2"/>
        <v>0.94950000000000001</v>
      </c>
      <c r="AD109" s="160">
        <f t="shared" si="2"/>
        <v>0.94950000000000001</v>
      </c>
      <c r="AE109" s="160">
        <f t="shared" si="2"/>
        <v>0.94950000000000001</v>
      </c>
      <c r="AF109" s="160">
        <f t="shared" si="2"/>
        <v>0.94950000000000001</v>
      </c>
      <c r="AG109" s="160">
        <f t="shared" si="2"/>
        <v>0.94950000000000001</v>
      </c>
      <c r="AH109" s="160">
        <f t="shared" si="2"/>
        <v>0.94950000000000001</v>
      </c>
      <c r="AI109" s="160">
        <f t="shared" si="2"/>
        <v>0.94950000000000001</v>
      </c>
      <c r="AJ109" s="160">
        <f t="shared" si="2"/>
        <v>0.94950000000000001</v>
      </c>
      <c r="AK109" s="160">
        <f t="shared" si="2"/>
        <v>0.94950000000000001</v>
      </c>
      <c r="AL109" s="160">
        <f t="shared" si="2"/>
        <v>0.94950000000000001</v>
      </c>
      <c r="AM109" s="160">
        <f t="shared" si="2"/>
        <v>0.94950000000000001</v>
      </c>
      <c r="AN109" s="160">
        <f t="shared" si="2"/>
        <v>0.94950000000000001</v>
      </c>
      <c r="AO109" s="160">
        <f t="shared" si="2"/>
        <v>0.94950000000000001</v>
      </c>
      <c r="AP109" s="160">
        <f t="shared" si="2"/>
        <v>0.94950000000000001</v>
      </c>
      <c r="AQ109" s="160">
        <f t="shared" si="2"/>
        <v>0.94950000000000001</v>
      </c>
      <c r="AR109" s="160">
        <f t="shared" si="2"/>
        <v>0.94950000000000001</v>
      </c>
      <c r="AS109" s="160">
        <f t="shared" si="2"/>
        <v>0.94950000000000001</v>
      </c>
      <c r="AT109" s="160">
        <f t="shared" si="2"/>
        <v>0.94950000000000001</v>
      </c>
      <c r="AU109" s="160">
        <f t="shared" si="2"/>
        <v>0.94950000000000001</v>
      </c>
      <c r="AV109" s="160">
        <f t="shared" si="2"/>
        <v>0.94950000000000001</v>
      </c>
      <c r="AW109" s="160">
        <f t="shared" si="2"/>
        <v>0.94950000000000001</v>
      </c>
    </row>
    <row r="110" spans="1:49" x14ac:dyDescent="0.2">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row>
    <row r="111" spans="1:49" x14ac:dyDescent="0.2">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row>
    <row r="113" spans="1:49" x14ac:dyDescent="0.2">
      <c r="A113" s="361" t="s">
        <v>41</v>
      </c>
    </row>
    <row r="114" spans="1:49" x14ac:dyDescent="0.2">
      <c r="A114" s="136" t="s">
        <v>130</v>
      </c>
      <c r="B114" s="160">
        <f t="shared" ref="B114:G114" si="3">MEDIAN($B$24:$G$24)</f>
        <v>0.88800000000000001</v>
      </c>
      <c r="C114" s="160">
        <f t="shared" si="3"/>
        <v>0.88800000000000001</v>
      </c>
      <c r="D114" s="160">
        <f t="shared" si="3"/>
        <v>0.88800000000000001</v>
      </c>
      <c r="E114" s="160">
        <f t="shared" si="3"/>
        <v>0.88800000000000001</v>
      </c>
      <c r="F114" s="160">
        <f t="shared" si="3"/>
        <v>0.88800000000000001</v>
      </c>
      <c r="G114" s="160">
        <f t="shared" si="3"/>
        <v>0.88800000000000001</v>
      </c>
      <c r="H114" s="136"/>
      <c r="I114" s="136"/>
      <c r="J114" s="136"/>
      <c r="K114" s="136"/>
      <c r="L114" s="136"/>
      <c r="M114" s="136"/>
      <c r="N114" s="136"/>
      <c r="O114" s="136"/>
      <c r="P114" s="136"/>
      <c r="Q114" s="136"/>
      <c r="R114" s="136"/>
      <c r="S114" s="136"/>
      <c r="T114" s="136"/>
      <c r="U114" s="136"/>
      <c r="V114" s="136"/>
      <c r="W114" s="136"/>
      <c r="X114" s="136"/>
      <c r="Y114" s="136"/>
      <c r="Z114" s="160"/>
      <c r="AA114" s="160"/>
      <c r="AB114" s="160"/>
      <c r="AC114" s="160"/>
      <c r="AD114" s="160"/>
      <c r="AE114" s="160"/>
      <c r="AF114" s="136"/>
      <c r="AG114" s="136"/>
      <c r="AH114" s="136"/>
      <c r="AI114" s="136"/>
      <c r="AJ114" s="136"/>
      <c r="AK114" s="136"/>
      <c r="AL114" s="136"/>
      <c r="AM114" s="136"/>
      <c r="AN114" s="136"/>
      <c r="AO114" s="136"/>
      <c r="AP114" s="136"/>
      <c r="AQ114" s="136"/>
      <c r="AR114" s="136"/>
      <c r="AS114" s="136"/>
      <c r="AT114" s="136"/>
      <c r="AU114" s="136"/>
      <c r="AV114" s="136"/>
      <c r="AW114" s="136"/>
    </row>
    <row r="115" spans="1:49" x14ac:dyDescent="0.2">
      <c r="A115" s="136" t="s">
        <v>178</v>
      </c>
      <c r="B115" s="136"/>
      <c r="C115" s="136"/>
      <c r="D115" s="136"/>
      <c r="E115" s="136"/>
      <c r="F115" s="136"/>
      <c r="G115" s="160">
        <f>MEDIAN($B$24:$G$24)</f>
        <v>0.88800000000000001</v>
      </c>
      <c r="H115" s="160">
        <f>MEDIAN($B$24:$G$24)</f>
        <v>0.88800000000000001</v>
      </c>
      <c r="I115" s="160"/>
      <c r="J115" s="160"/>
      <c r="K115" s="160"/>
      <c r="L115" s="160"/>
      <c r="M115" s="160"/>
      <c r="N115" s="160"/>
      <c r="O115" s="160"/>
      <c r="P115" s="160"/>
      <c r="Q115" s="160"/>
      <c r="R115" s="160"/>
      <c r="S115" s="160"/>
      <c r="T115" s="160"/>
      <c r="U115" s="160"/>
      <c r="V115" s="160"/>
      <c r="W115" s="160"/>
      <c r="X115" s="160"/>
      <c r="Y115" s="160"/>
      <c r="Z115" s="136"/>
      <c r="AA115" s="136"/>
      <c r="AB115" s="136"/>
      <c r="AC115" s="136"/>
      <c r="AD115" s="136"/>
      <c r="AE115" s="160"/>
      <c r="AF115" s="160"/>
      <c r="AG115" s="160"/>
      <c r="AH115" s="160"/>
      <c r="AI115" s="160"/>
      <c r="AJ115" s="160"/>
      <c r="AK115" s="160"/>
      <c r="AL115" s="160"/>
      <c r="AM115" s="160"/>
      <c r="AN115" s="160"/>
      <c r="AO115" s="160"/>
      <c r="AP115" s="160"/>
      <c r="AQ115" s="160"/>
      <c r="AR115" s="160"/>
      <c r="AS115" s="160"/>
      <c r="AT115" s="160"/>
      <c r="AU115" s="160"/>
      <c r="AV115" s="160"/>
      <c r="AW115" s="160"/>
    </row>
    <row r="116" spans="1:49" x14ac:dyDescent="0.2">
      <c r="A116" s="136" t="s">
        <v>303</v>
      </c>
      <c r="B116" s="136"/>
      <c r="C116" s="136"/>
      <c r="D116" s="136"/>
      <c r="E116" s="136"/>
      <c r="F116" s="136"/>
      <c r="G116" s="136"/>
      <c r="H116" s="136"/>
      <c r="I116" s="160">
        <f>MEDIAN($I$24:$N$24)</f>
        <v>0.79649999999999999</v>
      </c>
      <c r="J116" s="160">
        <f t="shared" ref="J116:N116" si="4">MEDIAN($I$24:$N$24)</f>
        <v>0.79649999999999999</v>
      </c>
      <c r="K116" s="160">
        <f t="shared" si="4"/>
        <v>0.79649999999999999</v>
      </c>
      <c r="L116" s="160">
        <f t="shared" si="4"/>
        <v>0.79649999999999999</v>
      </c>
      <c r="M116" s="160">
        <f t="shared" si="4"/>
        <v>0.79649999999999999</v>
      </c>
      <c r="N116" s="160">
        <f t="shared" si="4"/>
        <v>0.79649999999999999</v>
      </c>
      <c r="O116" s="160"/>
      <c r="P116" s="136"/>
      <c r="Q116" s="136"/>
      <c r="R116" s="136"/>
      <c r="S116" s="136"/>
      <c r="T116" s="136"/>
      <c r="U116" s="136"/>
      <c r="V116" s="136"/>
      <c r="W116" s="136"/>
      <c r="X116" s="136"/>
      <c r="Y116" s="136"/>
      <c r="Z116" s="136"/>
      <c r="AA116" s="136"/>
      <c r="AB116" s="136"/>
      <c r="AC116" s="136"/>
      <c r="AD116" s="136"/>
      <c r="AE116" s="136"/>
      <c r="AF116" s="136"/>
      <c r="AG116" s="160"/>
      <c r="AH116" s="160"/>
      <c r="AI116" s="160"/>
      <c r="AJ116" s="160"/>
      <c r="AK116" s="160"/>
      <c r="AL116" s="160"/>
      <c r="AM116" s="160"/>
      <c r="AN116" s="136"/>
      <c r="AO116" s="136"/>
      <c r="AP116" s="136"/>
      <c r="AQ116" s="136"/>
      <c r="AR116" s="136"/>
      <c r="AS116" s="136"/>
      <c r="AT116" s="136"/>
      <c r="AU116" s="136"/>
      <c r="AV116" s="136"/>
      <c r="AW116" s="136"/>
    </row>
    <row r="117" spans="1:49" x14ac:dyDescent="0.2">
      <c r="A117" s="190" t="s">
        <v>305</v>
      </c>
      <c r="B117" s="136"/>
      <c r="C117" s="136"/>
      <c r="D117" s="136"/>
      <c r="E117" s="136"/>
      <c r="F117" s="136"/>
      <c r="G117" s="136"/>
      <c r="H117" s="136"/>
      <c r="I117" s="136"/>
      <c r="J117" s="136"/>
      <c r="K117" s="136"/>
      <c r="L117" s="136"/>
      <c r="M117" s="136"/>
      <c r="N117" s="136"/>
      <c r="O117" s="160">
        <f>MEDIAN($O$24:$T$24)</f>
        <v>0.70499999999999996</v>
      </c>
      <c r="P117" s="160">
        <f t="shared" ref="P117:AE118" si="5">MEDIAN($O$24:$T$24)</f>
        <v>0.70499999999999996</v>
      </c>
      <c r="Q117" s="160">
        <f t="shared" si="5"/>
        <v>0.70499999999999996</v>
      </c>
      <c r="R117" s="160">
        <f t="shared" si="5"/>
        <v>0.70499999999999996</v>
      </c>
      <c r="S117" s="160">
        <f t="shared" si="5"/>
        <v>0.70499999999999996</v>
      </c>
      <c r="T117" s="160">
        <f t="shared" si="5"/>
        <v>0.70499999999999996</v>
      </c>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row>
    <row r="118" spans="1:49" x14ac:dyDescent="0.2">
      <c r="A118" s="190" t="s">
        <v>306</v>
      </c>
      <c r="B118" s="136"/>
      <c r="C118" s="136"/>
      <c r="D118" s="136"/>
      <c r="E118" s="136"/>
      <c r="F118" s="136"/>
      <c r="G118" s="136"/>
      <c r="H118" s="136"/>
      <c r="I118" s="136"/>
      <c r="J118" s="136"/>
      <c r="K118" s="136"/>
      <c r="L118" s="136"/>
      <c r="M118" s="136"/>
      <c r="N118" s="136"/>
      <c r="O118" s="136"/>
      <c r="P118" s="136"/>
      <c r="Q118" s="136"/>
      <c r="R118" s="136"/>
      <c r="S118" s="136"/>
      <c r="T118" s="160">
        <f t="shared" si="5"/>
        <v>0.70499999999999996</v>
      </c>
      <c r="U118" s="160">
        <f t="shared" si="5"/>
        <v>0.70499999999999996</v>
      </c>
      <c r="V118" s="160">
        <f t="shared" si="5"/>
        <v>0.70499999999999996</v>
      </c>
      <c r="W118" s="160">
        <f t="shared" si="5"/>
        <v>0.70499999999999996</v>
      </c>
      <c r="X118" s="160">
        <f t="shared" si="5"/>
        <v>0.70499999999999996</v>
      </c>
      <c r="Y118" s="160">
        <f t="shared" si="5"/>
        <v>0.70499999999999996</v>
      </c>
      <c r="Z118" s="160">
        <f t="shared" si="5"/>
        <v>0.70499999999999996</v>
      </c>
      <c r="AA118" s="160">
        <f t="shared" si="5"/>
        <v>0.70499999999999996</v>
      </c>
      <c r="AB118" s="160">
        <f t="shared" si="5"/>
        <v>0.70499999999999996</v>
      </c>
      <c r="AC118" s="160">
        <f t="shared" si="5"/>
        <v>0.70499999999999996</v>
      </c>
      <c r="AD118" s="160">
        <f t="shared" si="5"/>
        <v>0.70499999999999996</v>
      </c>
      <c r="AE118" s="160">
        <f t="shared" si="5"/>
        <v>0.70499999999999996</v>
      </c>
      <c r="AF118" s="160">
        <f t="shared" ref="AF118:AW118" si="6">MEDIAN($O$24:$T$24)</f>
        <v>0.70499999999999996</v>
      </c>
      <c r="AG118" s="160">
        <f t="shared" si="6"/>
        <v>0.70499999999999996</v>
      </c>
      <c r="AH118" s="160">
        <f t="shared" si="6"/>
        <v>0.70499999999999996</v>
      </c>
      <c r="AI118" s="160">
        <f t="shared" si="6"/>
        <v>0.70499999999999996</v>
      </c>
      <c r="AJ118" s="160">
        <f t="shared" si="6"/>
        <v>0.70499999999999996</v>
      </c>
      <c r="AK118" s="160">
        <f t="shared" si="6"/>
        <v>0.70499999999999996</v>
      </c>
      <c r="AL118" s="160">
        <f t="shared" si="6"/>
        <v>0.70499999999999996</v>
      </c>
      <c r="AM118" s="160">
        <f t="shared" si="6"/>
        <v>0.70499999999999996</v>
      </c>
      <c r="AN118" s="160">
        <f t="shared" si="6"/>
        <v>0.70499999999999996</v>
      </c>
      <c r="AO118" s="160">
        <f t="shared" si="6"/>
        <v>0.70499999999999996</v>
      </c>
      <c r="AP118" s="160">
        <f t="shared" si="6"/>
        <v>0.70499999999999996</v>
      </c>
      <c r="AQ118" s="160">
        <f t="shared" si="6"/>
        <v>0.70499999999999996</v>
      </c>
      <c r="AR118" s="160">
        <f t="shared" si="6"/>
        <v>0.70499999999999996</v>
      </c>
      <c r="AS118" s="160">
        <f t="shared" si="6"/>
        <v>0.70499999999999996</v>
      </c>
      <c r="AT118" s="160">
        <f t="shared" si="6"/>
        <v>0.70499999999999996</v>
      </c>
      <c r="AU118" s="160">
        <f t="shared" si="6"/>
        <v>0.70499999999999996</v>
      </c>
      <c r="AV118" s="160">
        <f t="shared" si="6"/>
        <v>0.70499999999999996</v>
      </c>
      <c r="AW118" s="160">
        <f t="shared" si="6"/>
        <v>0.70499999999999996</v>
      </c>
    </row>
    <row r="119" spans="1:49" x14ac:dyDescent="0.2">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row>
    <row r="120" spans="1:49"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row>
    <row r="122" spans="1:49" x14ac:dyDescent="0.2">
      <c r="A122" s="723" t="s">
        <v>752</v>
      </c>
      <c r="B122" s="657"/>
      <c r="G122" s="127"/>
    </row>
    <row r="123" spans="1:49" ht="102" x14ac:dyDescent="0.2">
      <c r="A123" s="727" t="s">
        <v>350</v>
      </c>
      <c r="B123" s="728" t="s">
        <v>684</v>
      </c>
      <c r="C123" s="728" t="s">
        <v>680</v>
      </c>
      <c r="D123" s="728" t="s">
        <v>685</v>
      </c>
      <c r="E123" s="724" t="s">
        <v>683</v>
      </c>
      <c r="F123" s="735" t="s">
        <v>234</v>
      </c>
    </row>
    <row r="124" spans="1:49" ht="15" x14ac:dyDescent="0.25">
      <c r="A124" s="731" t="s">
        <v>361</v>
      </c>
      <c r="B124" s="731">
        <v>1914</v>
      </c>
      <c r="C124" s="732">
        <v>1909</v>
      </c>
      <c r="D124" s="814">
        <f>B124-C124</f>
        <v>5</v>
      </c>
      <c r="E124" s="725">
        <f t="shared" ref="E124:E136" si="7">SUM($C124/$C$137)</f>
        <v>0.20994171340591664</v>
      </c>
      <c r="F124" s="726">
        <f>E124</f>
        <v>0.20994171340591664</v>
      </c>
    </row>
    <row r="125" spans="1:49" ht="15" x14ac:dyDescent="0.25">
      <c r="A125" s="731" t="s">
        <v>366</v>
      </c>
      <c r="B125" s="731">
        <v>1875</v>
      </c>
      <c r="C125" s="732">
        <v>1471</v>
      </c>
      <c r="D125" s="814">
        <f t="shared" ref="D125:D136" si="8">B125-C125</f>
        <v>404</v>
      </c>
      <c r="E125" s="725">
        <f t="shared" si="7"/>
        <v>0.16177279225778071</v>
      </c>
      <c r="F125" s="725">
        <f>SUM(F124+E125)</f>
        <v>0.37171450566369735</v>
      </c>
    </row>
    <row r="126" spans="1:49" ht="15" x14ac:dyDescent="0.25">
      <c r="A126" s="731" t="s">
        <v>353</v>
      </c>
      <c r="B126" s="731">
        <v>1236</v>
      </c>
      <c r="C126" s="732">
        <v>1236</v>
      </c>
      <c r="D126" s="814">
        <f t="shared" si="8"/>
        <v>0</v>
      </c>
      <c r="E126" s="725">
        <f t="shared" si="7"/>
        <v>0.13592873639063016</v>
      </c>
      <c r="F126" s="725">
        <f t="shared" ref="F126:F136" si="9">SUM(F125+E126)</f>
        <v>0.50764324205432754</v>
      </c>
    </row>
    <row r="127" spans="1:49" ht="15" x14ac:dyDescent="0.25">
      <c r="A127" s="731" t="s">
        <v>354</v>
      </c>
      <c r="B127" s="731">
        <v>1012</v>
      </c>
      <c r="C127" s="732">
        <v>1010</v>
      </c>
      <c r="D127" s="814">
        <f t="shared" si="8"/>
        <v>2</v>
      </c>
      <c r="E127" s="725">
        <f t="shared" si="7"/>
        <v>0.11107445287583856</v>
      </c>
      <c r="F127" s="725">
        <f t="shared" si="9"/>
        <v>0.61871769493016604</v>
      </c>
    </row>
    <row r="128" spans="1:49" ht="15" x14ac:dyDescent="0.25">
      <c r="A128" s="731" t="s">
        <v>358</v>
      </c>
      <c r="B128" s="731">
        <v>906</v>
      </c>
      <c r="C128" s="732">
        <v>862</v>
      </c>
      <c r="D128" s="814">
        <f t="shared" si="8"/>
        <v>44</v>
      </c>
      <c r="E128" s="725">
        <f t="shared" si="7"/>
        <v>9.4798196414824593E-2</v>
      </c>
      <c r="F128" s="725">
        <f t="shared" si="9"/>
        <v>0.7135158913449906</v>
      </c>
    </row>
    <row r="129" spans="1:7" ht="15" x14ac:dyDescent="0.25">
      <c r="A129" s="731" t="s">
        <v>681</v>
      </c>
      <c r="B129" s="731">
        <v>703</v>
      </c>
      <c r="C129" s="732">
        <v>693</v>
      </c>
      <c r="D129" s="814">
        <f t="shared" si="8"/>
        <v>10</v>
      </c>
      <c r="E129" s="725">
        <f t="shared" si="7"/>
        <v>7.6212471131639717E-2</v>
      </c>
      <c r="F129" s="725">
        <f t="shared" si="9"/>
        <v>0.78972836247663036</v>
      </c>
    </row>
    <row r="130" spans="1:7" ht="15" x14ac:dyDescent="0.25">
      <c r="A130" s="731" t="s">
        <v>360</v>
      </c>
      <c r="B130" s="731">
        <v>569</v>
      </c>
      <c r="C130" s="732">
        <v>562</v>
      </c>
      <c r="D130" s="814">
        <f t="shared" si="8"/>
        <v>7</v>
      </c>
      <c r="E130" s="725">
        <f t="shared" si="7"/>
        <v>6.1805784669526007E-2</v>
      </c>
      <c r="F130" s="725">
        <f t="shared" si="9"/>
        <v>0.85153414714615638</v>
      </c>
    </row>
    <row r="131" spans="1:7" ht="15" x14ac:dyDescent="0.25">
      <c r="A131" s="731" t="s">
        <v>363</v>
      </c>
      <c r="B131" s="731">
        <v>507</v>
      </c>
      <c r="C131" s="732">
        <v>507</v>
      </c>
      <c r="D131" s="814">
        <f t="shared" si="8"/>
        <v>0</v>
      </c>
      <c r="E131" s="725">
        <f t="shared" si="7"/>
        <v>5.5757175849554599E-2</v>
      </c>
      <c r="F131" s="725">
        <f t="shared" si="9"/>
        <v>0.90729132299571102</v>
      </c>
    </row>
    <row r="132" spans="1:7" ht="15" x14ac:dyDescent="0.25">
      <c r="A132" s="731" t="s">
        <v>362</v>
      </c>
      <c r="B132" s="731">
        <v>400</v>
      </c>
      <c r="C132" s="732">
        <v>399</v>
      </c>
      <c r="D132" s="814">
        <f t="shared" si="8"/>
        <v>1</v>
      </c>
      <c r="E132" s="725">
        <f t="shared" si="7"/>
        <v>4.3879907621247112E-2</v>
      </c>
      <c r="F132" s="725">
        <f t="shared" si="9"/>
        <v>0.95117123061695819</v>
      </c>
    </row>
    <row r="133" spans="1:7" ht="15" x14ac:dyDescent="0.25">
      <c r="A133" s="731" t="s">
        <v>359</v>
      </c>
      <c r="B133" s="731">
        <v>188</v>
      </c>
      <c r="C133" s="732">
        <v>165</v>
      </c>
      <c r="D133" s="814">
        <f t="shared" si="8"/>
        <v>23</v>
      </c>
      <c r="E133" s="725">
        <f t="shared" si="7"/>
        <v>1.8145826459914218E-2</v>
      </c>
      <c r="F133" s="725">
        <f t="shared" si="9"/>
        <v>0.96931705707687243</v>
      </c>
    </row>
    <row r="134" spans="1:7" ht="15" x14ac:dyDescent="0.25">
      <c r="A134" s="731" t="s">
        <v>364</v>
      </c>
      <c r="B134" s="731">
        <v>159</v>
      </c>
      <c r="C134" s="732">
        <v>144</v>
      </c>
      <c r="D134" s="814">
        <f t="shared" si="8"/>
        <v>15</v>
      </c>
      <c r="E134" s="725">
        <f t="shared" si="7"/>
        <v>1.5836357637743319E-2</v>
      </c>
      <c r="F134" s="725">
        <f t="shared" si="9"/>
        <v>0.9851534147146157</v>
      </c>
    </row>
    <row r="135" spans="1:7" ht="15" x14ac:dyDescent="0.25">
      <c r="A135" s="731" t="s">
        <v>355</v>
      </c>
      <c r="B135" s="731">
        <v>101</v>
      </c>
      <c r="C135" s="732">
        <v>99</v>
      </c>
      <c r="D135" s="814">
        <f t="shared" si="8"/>
        <v>2</v>
      </c>
      <c r="E135" s="725">
        <f t="shared" si="7"/>
        <v>1.0887495875948531E-2</v>
      </c>
      <c r="F135" s="725">
        <f t="shared" si="9"/>
        <v>0.99604091059056421</v>
      </c>
    </row>
    <row r="136" spans="1:7" ht="15" x14ac:dyDescent="0.25">
      <c r="A136" s="731" t="s">
        <v>356</v>
      </c>
      <c r="B136" s="731">
        <v>39</v>
      </c>
      <c r="C136" s="732">
        <v>36</v>
      </c>
      <c r="D136" s="814">
        <f t="shared" si="8"/>
        <v>3</v>
      </c>
      <c r="E136" s="725">
        <f t="shared" si="7"/>
        <v>3.9590894094358297E-3</v>
      </c>
      <c r="F136" s="725">
        <f t="shared" si="9"/>
        <v>1</v>
      </c>
    </row>
    <row r="137" spans="1:7" ht="15" x14ac:dyDescent="0.25">
      <c r="A137" s="729" t="s">
        <v>682</v>
      </c>
      <c r="B137" s="730">
        <f>SUM(B124:B136)</f>
        <v>9609</v>
      </c>
      <c r="C137" s="730">
        <f>SUM(C124:C136)</f>
        <v>9093</v>
      </c>
      <c r="D137" s="730">
        <f>SUM(D124:D136)</f>
        <v>516</v>
      </c>
      <c r="G137" s="734"/>
    </row>
    <row r="139" spans="1:7" x14ac:dyDescent="0.2">
      <c r="A139" s="723" t="s">
        <v>753</v>
      </c>
      <c r="B139" s="657"/>
    </row>
    <row r="140" spans="1:7" ht="102" x14ac:dyDescent="0.2">
      <c r="A140" s="727" t="s">
        <v>350</v>
      </c>
      <c r="B140" s="728" t="s">
        <v>685</v>
      </c>
      <c r="C140" s="724" t="s">
        <v>683</v>
      </c>
      <c r="D140" s="735" t="s">
        <v>234</v>
      </c>
    </row>
    <row r="141" spans="1:7" ht="15" x14ac:dyDescent="0.25">
      <c r="A141" s="731" t="s">
        <v>366</v>
      </c>
      <c r="B141" s="732">
        <v>404</v>
      </c>
      <c r="C141" s="725">
        <f t="shared" ref="C141:C153" si="10">SUM($B141/$B$154)</f>
        <v>0.78294573643410847</v>
      </c>
      <c r="D141" s="726">
        <f>C141</f>
        <v>0.78294573643410847</v>
      </c>
    </row>
    <row r="142" spans="1:7" ht="15" x14ac:dyDescent="0.25">
      <c r="A142" s="731" t="s">
        <v>358</v>
      </c>
      <c r="B142" s="732">
        <v>44</v>
      </c>
      <c r="C142" s="725">
        <f t="shared" si="10"/>
        <v>8.5271317829457363E-2</v>
      </c>
      <c r="D142" s="725">
        <f>SUM(D141+C142)</f>
        <v>0.86821705426356588</v>
      </c>
    </row>
    <row r="143" spans="1:7" ht="15" x14ac:dyDescent="0.25">
      <c r="A143" s="731" t="s">
        <v>359</v>
      </c>
      <c r="B143" s="732">
        <v>23</v>
      </c>
      <c r="C143" s="725">
        <f t="shared" si="10"/>
        <v>4.4573643410852716E-2</v>
      </c>
      <c r="D143" s="725">
        <f t="shared" ref="D143:D153" si="11">SUM(D142+C143)</f>
        <v>0.91279069767441856</v>
      </c>
    </row>
    <row r="144" spans="1:7" ht="15" x14ac:dyDescent="0.25">
      <c r="A144" s="731" t="s">
        <v>364</v>
      </c>
      <c r="B144" s="732">
        <v>15</v>
      </c>
      <c r="C144" s="725">
        <f t="shared" si="10"/>
        <v>2.9069767441860465E-2</v>
      </c>
      <c r="D144" s="725">
        <f t="shared" si="11"/>
        <v>0.94186046511627908</v>
      </c>
    </row>
    <row r="145" spans="1:4" ht="15" x14ac:dyDescent="0.25">
      <c r="A145" s="731" t="s">
        <v>681</v>
      </c>
      <c r="B145" s="732">
        <v>10</v>
      </c>
      <c r="C145" s="725">
        <f t="shared" si="10"/>
        <v>1.937984496124031E-2</v>
      </c>
      <c r="D145" s="725">
        <f t="shared" si="11"/>
        <v>0.96124031007751942</v>
      </c>
    </row>
    <row r="146" spans="1:4" ht="15" x14ac:dyDescent="0.25">
      <c r="A146" s="731" t="s">
        <v>360</v>
      </c>
      <c r="B146" s="732">
        <v>7</v>
      </c>
      <c r="C146" s="725">
        <f t="shared" si="10"/>
        <v>1.3565891472868217E-2</v>
      </c>
      <c r="D146" s="725">
        <f t="shared" si="11"/>
        <v>0.97480620155038766</v>
      </c>
    </row>
    <row r="147" spans="1:4" ht="15" x14ac:dyDescent="0.25">
      <c r="A147" s="731" t="s">
        <v>361</v>
      </c>
      <c r="B147" s="732">
        <v>5</v>
      </c>
      <c r="C147" s="725">
        <f t="shared" si="10"/>
        <v>9.6899224806201549E-3</v>
      </c>
      <c r="D147" s="725">
        <f t="shared" si="11"/>
        <v>0.98449612403100784</v>
      </c>
    </row>
    <row r="148" spans="1:4" ht="15" x14ac:dyDescent="0.25">
      <c r="A148" s="731" t="s">
        <v>356</v>
      </c>
      <c r="B148" s="732">
        <v>3</v>
      </c>
      <c r="C148" s="725">
        <f t="shared" si="10"/>
        <v>5.8139534883720929E-3</v>
      </c>
      <c r="D148" s="725">
        <f t="shared" si="11"/>
        <v>0.99031007751937994</v>
      </c>
    </row>
    <row r="149" spans="1:4" ht="15" x14ac:dyDescent="0.25">
      <c r="A149" s="731" t="s">
        <v>354</v>
      </c>
      <c r="B149" s="732">
        <v>2</v>
      </c>
      <c r="C149" s="725">
        <f t="shared" si="10"/>
        <v>3.875968992248062E-3</v>
      </c>
      <c r="D149" s="725">
        <f t="shared" si="11"/>
        <v>0.99418604651162801</v>
      </c>
    </row>
    <row r="150" spans="1:4" ht="15" x14ac:dyDescent="0.25">
      <c r="A150" s="731" t="s">
        <v>355</v>
      </c>
      <c r="B150" s="732">
        <v>2</v>
      </c>
      <c r="C150" s="725">
        <f t="shared" si="10"/>
        <v>3.875968992248062E-3</v>
      </c>
      <c r="D150" s="725">
        <f t="shared" si="11"/>
        <v>0.99806201550387608</v>
      </c>
    </row>
    <row r="151" spans="1:4" ht="15" x14ac:dyDescent="0.25">
      <c r="A151" s="731" t="s">
        <v>362</v>
      </c>
      <c r="B151" s="732">
        <v>1</v>
      </c>
      <c r="C151" s="725">
        <f t="shared" si="10"/>
        <v>1.937984496124031E-3</v>
      </c>
      <c r="D151" s="725">
        <f t="shared" si="11"/>
        <v>1</v>
      </c>
    </row>
    <row r="152" spans="1:4" ht="15" x14ac:dyDescent="0.25">
      <c r="A152" s="731" t="s">
        <v>353</v>
      </c>
      <c r="B152" s="732">
        <v>0</v>
      </c>
      <c r="C152" s="725">
        <f t="shared" si="10"/>
        <v>0</v>
      </c>
      <c r="D152" s="725">
        <f t="shared" si="11"/>
        <v>1</v>
      </c>
    </row>
    <row r="153" spans="1:4" ht="15" x14ac:dyDescent="0.25">
      <c r="A153" s="731" t="s">
        <v>363</v>
      </c>
      <c r="B153" s="732">
        <v>0</v>
      </c>
      <c r="C153" s="725">
        <f t="shared" si="10"/>
        <v>0</v>
      </c>
      <c r="D153" s="725">
        <f t="shared" si="11"/>
        <v>1</v>
      </c>
    </row>
    <row r="154" spans="1:4" x14ac:dyDescent="0.2">
      <c r="A154" s="729" t="s">
        <v>682</v>
      </c>
      <c r="B154" s="730">
        <f>SUM(B141:B153)</f>
        <v>516</v>
      </c>
    </row>
  </sheetData>
  <sortState ref="A141:B153">
    <sortCondition descending="1" ref="B141:B153"/>
  </sortState>
  <mergeCells count="1">
    <mergeCell ref="N77:Y78"/>
  </mergeCells>
  <phoneticPr fontId="0" type="noConversion"/>
  <conditionalFormatting sqref="B11:Y24">
    <cfRule type="cellIs" dxfId="21" priority="15" operator="lessThan">
      <formula>0.9495</formula>
    </cfRule>
  </conditionalFormatting>
  <conditionalFormatting sqref="Z15:AA15 Z11:AW14 Z16:AW24 AE15:AW15">
    <cfRule type="cellIs" dxfId="20" priority="13" operator="lessThan">
      <formula>0.9495</formula>
    </cfRule>
  </conditionalFormatting>
  <conditionalFormatting sqref="AB15">
    <cfRule type="cellIs" dxfId="19" priority="9" operator="lessThan">
      <formula>0.9495</formula>
    </cfRule>
  </conditionalFormatting>
  <conditionalFormatting sqref="AD15">
    <cfRule type="cellIs" dxfId="18" priority="5" operator="lessThan">
      <formula>0.9495</formula>
    </cfRule>
  </conditionalFormatting>
  <conditionalFormatting sqref="AC15">
    <cfRule type="cellIs" dxfId="17" priority="7" operator="lessThan">
      <formula>0.9495</formula>
    </cfRule>
  </conditionalFormatting>
  <conditionalFormatting sqref="AF15">
    <cfRule type="cellIs" dxfId="16" priority="4" operator="lessThan">
      <formula>0.9495</formula>
    </cfRule>
  </conditionalFormatting>
  <conditionalFormatting sqref="AF15">
    <cfRule type="cellIs" dxfId="15" priority="3" operator="lessThan">
      <formula>0.9495</formula>
    </cfRule>
  </conditionalFormatting>
  <conditionalFormatting sqref="AH15">
    <cfRule type="cellIs" dxfId="14" priority="2" operator="lessThan">
      <formula>0.9495</formula>
    </cfRule>
  </conditionalFormatting>
  <conditionalFormatting sqref="AH15">
    <cfRule type="cellIs" dxfId="13"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W156"/>
  <sheetViews>
    <sheetView workbookViewId="0">
      <pane xSplit="1" topLeftCell="B1" activePane="topRight" state="frozen"/>
      <selection pane="topRight"/>
    </sheetView>
  </sheetViews>
  <sheetFormatPr defaultColWidth="9.140625" defaultRowHeight="12.75" x14ac:dyDescent="0.2"/>
  <cols>
    <col min="1" max="1" width="28.28515625" style="107" customWidth="1"/>
    <col min="2" max="6" width="9.85546875" style="107" customWidth="1"/>
    <col min="7" max="24" width="9.140625" style="107" customWidth="1"/>
    <col min="25" max="16384" width="9.140625" style="107"/>
  </cols>
  <sheetData>
    <row r="1" spans="1:49" x14ac:dyDescent="0.2">
      <c r="A1" s="283" t="s">
        <v>345</v>
      </c>
    </row>
    <row r="2" spans="1:49" x14ac:dyDescent="0.2">
      <c r="A2" s="106"/>
    </row>
    <row r="3" spans="1:49" x14ac:dyDescent="0.2">
      <c r="A3" s="108" t="s">
        <v>436</v>
      </c>
      <c r="B3" s="107" t="s">
        <v>43</v>
      </c>
    </row>
    <row r="4" spans="1:49" x14ac:dyDescent="0.2">
      <c r="A4" s="108"/>
      <c r="B4" s="107" t="s">
        <v>44</v>
      </c>
    </row>
    <row r="5" spans="1:49" x14ac:dyDescent="0.2">
      <c r="A5" s="108"/>
      <c r="B5" s="107" t="s">
        <v>45</v>
      </c>
    </row>
    <row r="6" spans="1:49" x14ac:dyDescent="0.2">
      <c r="A6" s="108"/>
      <c r="B6" s="107" t="s">
        <v>46</v>
      </c>
    </row>
    <row r="7" spans="1:49" x14ac:dyDescent="0.2">
      <c r="A7" s="108" t="s">
        <v>143</v>
      </c>
      <c r="B7" s="161">
        <f>HLOOKUP(MAX(B13:AW13),B13:AW27,2,0)</f>
        <v>0.88500000000000001</v>
      </c>
    </row>
    <row r="8" spans="1:49" x14ac:dyDescent="0.2">
      <c r="A8" s="108" t="s">
        <v>118</v>
      </c>
      <c r="B8" s="111">
        <f>MAX(B13:AW13)</f>
        <v>43070</v>
      </c>
    </row>
    <row r="9" spans="1:49" x14ac:dyDescent="0.2">
      <c r="A9" s="108" t="s">
        <v>195</v>
      </c>
      <c r="B9" s="441" t="s">
        <v>176</v>
      </c>
    </row>
    <row r="10" spans="1:49" x14ac:dyDescent="0.2">
      <c r="A10" s="108" t="s">
        <v>438</v>
      </c>
      <c r="B10" s="550" t="s">
        <v>140</v>
      </c>
    </row>
    <row r="12" spans="1:49" x14ac:dyDescent="0.2">
      <c r="A12" s="127" t="s">
        <v>367</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row>
    <row r="13" spans="1:49" s="145" customFormat="1" x14ac:dyDescent="0.2">
      <c r="A13" s="158" t="s">
        <v>350</v>
      </c>
      <c r="B13" s="597">
        <v>42095</v>
      </c>
      <c r="C13" s="597">
        <v>42125</v>
      </c>
      <c r="D13" s="597">
        <v>42156</v>
      </c>
      <c r="E13" s="597">
        <v>42186</v>
      </c>
      <c r="F13" s="597">
        <v>42217</v>
      </c>
      <c r="G13" s="597">
        <v>42248</v>
      </c>
      <c r="H13" s="597">
        <v>42278</v>
      </c>
      <c r="I13" s="597">
        <v>42309</v>
      </c>
      <c r="J13" s="597">
        <v>42339</v>
      </c>
      <c r="K13" s="597">
        <v>42370</v>
      </c>
      <c r="L13" s="597">
        <v>42401</v>
      </c>
      <c r="M13" s="597">
        <v>42430</v>
      </c>
      <c r="N13" s="597">
        <v>42461</v>
      </c>
      <c r="O13" s="597">
        <v>42491</v>
      </c>
      <c r="P13" s="597">
        <v>42522</v>
      </c>
      <c r="Q13" s="597">
        <v>42552</v>
      </c>
      <c r="R13" s="597">
        <v>42583</v>
      </c>
      <c r="S13" s="597">
        <v>42614</v>
      </c>
      <c r="T13" s="597">
        <v>42644</v>
      </c>
      <c r="U13" s="597">
        <v>42675</v>
      </c>
      <c r="V13" s="597">
        <v>42705</v>
      </c>
      <c r="W13" s="597">
        <v>42736</v>
      </c>
      <c r="X13" s="597">
        <v>42767</v>
      </c>
      <c r="Y13" s="597">
        <v>42795</v>
      </c>
      <c r="Z13" s="597">
        <v>42826</v>
      </c>
      <c r="AA13" s="597">
        <v>42856</v>
      </c>
      <c r="AB13" s="597">
        <v>42887</v>
      </c>
      <c r="AC13" s="597">
        <v>42917</v>
      </c>
      <c r="AD13" s="597">
        <v>42948</v>
      </c>
      <c r="AE13" s="597">
        <v>42979</v>
      </c>
      <c r="AF13" s="597">
        <v>43009</v>
      </c>
      <c r="AG13" s="597">
        <v>43040</v>
      </c>
      <c r="AH13" s="597">
        <v>43070</v>
      </c>
      <c r="AI13" s="597"/>
      <c r="AJ13" s="597"/>
      <c r="AK13" s="597"/>
      <c r="AL13" s="597"/>
      <c r="AM13" s="597"/>
      <c r="AN13" s="597"/>
      <c r="AO13" s="597"/>
      <c r="AP13" s="597"/>
      <c r="AQ13" s="597"/>
      <c r="AR13" s="597"/>
      <c r="AS13" s="597"/>
      <c r="AT13" s="597"/>
      <c r="AU13" s="597"/>
      <c r="AV13" s="172"/>
      <c r="AW13" s="172"/>
    </row>
    <row r="14" spans="1:49" s="145" customFormat="1" x14ac:dyDescent="0.2">
      <c r="A14" s="165" t="s">
        <v>352</v>
      </c>
      <c r="B14" s="166">
        <v>0.96199999999999997</v>
      </c>
      <c r="C14" s="166">
        <v>0.93100000000000005</v>
      </c>
      <c r="D14" s="166">
        <v>0.92500000000000004</v>
      </c>
      <c r="E14" s="166">
        <v>0.96199999999999997</v>
      </c>
      <c r="F14" s="166">
        <v>0.93600000000000005</v>
      </c>
      <c r="G14" s="166">
        <v>0.92300000000000004</v>
      </c>
      <c r="H14" s="166">
        <v>0.94899999999999995</v>
      </c>
      <c r="I14" s="166">
        <v>0.93899999999999995</v>
      </c>
      <c r="J14" s="166">
        <v>0.90800000000000003</v>
      </c>
      <c r="K14" s="166">
        <v>0.94299999999999995</v>
      </c>
      <c r="L14" s="166">
        <v>0.89400000000000002</v>
      </c>
      <c r="M14" s="166">
        <v>0.92600000000000005</v>
      </c>
      <c r="N14" s="166">
        <v>0.89800000000000002</v>
      </c>
      <c r="O14" s="166">
        <v>0.91600000000000004</v>
      </c>
      <c r="P14" s="166">
        <v>0.97799999999999998</v>
      </c>
      <c r="Q14" s="166">
        <v>0.91800000000000004</v>
      </c>
      <c r="R14" s="166">
        <v>0.877</v>
      </c>
      <c r="S14" s="825">
        <v>0.84899999999999998</v>
      </c>
      <c r="T14" s="825">
        <v>0.81499999999999995</v>
      </c>
      <c r="U14" s="826">
        <v>0.85299999999999998</v>
      </c>
      <c r="V14" s="166">
        <v>0.84199999999999997</v>
      </c>
      <c r="W14" s="166">
        <v>0.85899999999999999</v>
      </c>
      <c r="X14" s="166">
        <v>0.91200000000000003</v>
      </c>
      <c r="Y14" s="493">
        <v>0.93799999999999994</v>
      </c>
      <c r="Z14" s="166">
        <v>0.85</v>
      </c>
      <c r="AA14" s="166">
        <v>0.91</v>
      </c>
      <c r="AB14" s="166">
        <v>0.875</v>
      </c>
      <c r="AC14" s="166">
        <v>0.89</v>
      </c>
      <c r="AD14" s="166">
        <v>0.85299999999999998</v>
      </c>
      <c r="AE14" s="166">
        <v>0.89500000000000002</v>
      </c>
      <c r="AF14" s="166">
        <v>0.88500000000000001</v>
      </c>
      <c r="AG14" s="166">
        <v>0.91300000000000003</v>
      </c>
      <c r="AH14" s="166">
        <v>0.88500000000000001</v>
      </c>
      <c r="AI14" s="166"/>
      <c r="AJ14" s="166"/>
      <c r="AK14" s="166"/>
      <c r="AL14" s="166"/>
      <c r="AM14" s="166"/>
      <c r="AN14" s="166"/>
      <c r="AO14" s="166"/>
      <c r="AP14" s="166"/>
      <c r="AQ14" s="825"/>
      <c r="AR14" s="825"/>
      <c r="AS14" s="826"/>
      <c r="AT14" s="166"/>
      <c r="AU14" s="166"/>
      <c r="AV14" s="166"/>
      <c r="AW14" s="166"/>
    </row>
    <row r="15" spans="1:49" s="145" customFormat="1" x14ac:dyDescent="0.2">
      <c r="A15" s="168" t="s">
        <v>353</v>
      </c>
      <c r="B15" s="169">
        <v>1</v>
      </c>
      <c r="C15" s="169">
        <v>1</v>
      </c>
      <c r="D15" s="169">
        <v>0.96799999999999997</v>
      </c>
      <c r="E15" s="169">
        <v>1</v>
      </c>
      <c r="F15" s="169">
        <v>1</v>
      </c>
      <c r="G15" s="159">
        <v>1</v>
      </c>
      <c r="H15" s="159">
        <v>1</v>
      </c>
      <c r="I15" s="159">
        <v>1</v>
      </c>
      <c r="J15" s="159">
        <v>1</v>
      </c>
      <c r="K15" s="159">
        <v>1</v>
      </c>
      <c r="L15" s="159">
        <v>1</v>
      </c>
      <c r="M15" s="159">
        <v>1</v>
      </c>
      <c r="N15" s="159">
        <v>1</v>
      </c>
      <c r="O15" s="159">
        <v>1</v>
      </c>
      <c r="P15" s="159">
        <v>1</v>
      </c>
      <c r="Q15" s="159">
        <v>1</v>
      </c>
      <c r="R15" s="159">
        <v>1</v>
      </c>
      <c r="S15" s="170">
        <v>1</v>
      </c>
      <c r="T15" s="170">
        <v>1</v>
      </c>
      <c r="U15" s="170">
        <v>1</v>
      </c>
      <c r="V15" s="159">
        <v>1</v>
      </c>
      <c r="W15" s="159">
        <v>1</v>
      </c>
      <c r="X15" s="159">
        <v>0.96599999999999997</v>
      </c>
      <c r="Y15" s="170">
        <v>0.95799999999999996</v>
      </c>
      <c r="Z15" s="169">
        <v>1</v>
      </c>
      <c r="AA15" s="169">
        <v>1</v>
      </c>
      <c r="AB15" s="169">
        <v>1</v>
      </c>
      <c r="AC15" s="169">
        <v>1</v>
      </c>
      <c r="AD15" s="169">
        <v>1</v>
      </c>
      <c r="AE15" s="159">
        <v>0.95699999999999996</v>
      </c>
      <c r="AF15" s="159">
        <v>1</v>
      </c>
      <c r="AG15" s="159">
        <v>1</v>
      </c>
      <c r="AH15" s="159">
        <v>1</v>
      </c>
      <c r="AI15" s="159"/>
      <c r="AJ15" s="159"/>
      <c r="AK15" s="159"/>
      <c r="AL15" s="159"/>
      <c r="AM15" s="159"/>
      <c r="AN15" s="159"/>
      <c r="AO15" s="159"/>
      <c r="AP15" s="159"/>
      <c r="AQ15" s="170"/>
      <c r="AR15" s="170"/>
      <c r="AS15" s="170"/>
      <c r="AT15" s="159"/>
      <c r="AU15" s="159"/>
      <c r="AV15" s="159"/>
      <c r="AW15" s="159"/>
    </row>
    <row r="16" spans="1:49" s="145" customFormat="1" x14ac:dyDescent="0.2">
      <c r="A16" s="168" t="s">
        <v>354</v>
      </c>
      <c r="B16" s="169">
        <v>1</v>
      </c>
      <c r="C16" s="169">
        <v>1</v>
      </c>
      <c r="D16" s="169">
        <v>1</v>
      </c>
      <c r="E16" s="169">
        <v>1</v>
      </c>
      <c r="F16" s="169">
        <v>1</v>
      </c>
      <c r="G16" s="159">
        <v>1</v>
      </c>
      <c r="H16" s="159">
        <v>1</v>
      </c>
      <c r="I16" s="159">
        <v>1</v>
      </c>
      <c r="J16" s="159">
        <v>1</v>
      </c>
      <c r="K16" s="159">
        <v>1</v>
      </c>
      <c r="L16" s="159">
        <v>1</v>
      </c>
      <c r="M16" s="159">
        <v>1</v>
      </c>
      <c r="N16" s="159">
        <v>1</v>
      </c>
      <c r="O16" s="159">
        <v>1</v>
      </c>
      <c r="P16" s="159">
        <v>1</v>
      </c>
      <c r="Q16" s="159">
        <v>1</v>
      </c>
      <c r="R16" s="159">
        <v>1</v>
      </c>
      <c r="S16" s="170">
        <v>1</v>
      </c>
      <c r="T16" s="170">
        <v>1</v>
      </c>
      <c r="U16" s="170">
        <v>1</v>
      </c>
      <c r="V16" s="159">
        <v>0.96699999999999997</v>
      </c>
      <c r="W16" s="159">
        <v>1</v>
      </c>
      <c r="X16" s="159">
        <v>0.97</v>
      </c>
      <c r="Y16" s="170">
        <v>1</v>
      </c>
      <c r="Z16" s="169">
        <v>1</v>
      </c>
      <c r="AA16" s="169">
        <v>1</v>
      </c>
      <c r="AB16" s="169">
        <v>0.98</v>
      </c>
      <c r="AC16" s="169">
        <v>1</v>
      </c>
      <c r="AD16" s="169">
        <v>1</v>
      </c>
      <c r="AE16" s="159">
        <v>1</v>
      </c>
      <c r="AF16" s="159">
        <v>1</v>
      </c>
      <c r="AG16" s="159">
        <v>0.97599999999999998</v>
      </c>
      <c r="AH16" s="159">
        <v>1</v>
      </c>
      <c r="AI16" s="159"/>
      <c r="AJ16" s="159"/>
      <c r="AK16" s="159"/>
      <c r="AL16" s="159"/>
      <c r="AM16" s="159"/>
      <c r="AN16" s="159"/>
      <c r="AO16" s="159"/>
      <c r="AP16" s="159"/>
      <c r="AQ16" s="170"/>
      <c r="AR16" s="170"/>
      <c r="AS16" s="170"/>
      <c r="AT16" s="159"/>
      <c r="AU16" s="159"/>
      <c r="AV16" s="159"/>
      <c r="AW16" s="159"/>
    </row>
    <row r="17" spans="1:49" s="145" customFormat="1" x14ac:dyDescent="0.2">
      <c r="A17" s="168" t="s">
        <v>355</v>
      </c>
      <c r="B17" s="169" t="s">
        <v>357</v>
      </c>
      <c r="C17" s="169">
        <v>1</v>
      </c>
      <c r="D17" s="169">
        <v>1</v>
      </c>
      <c r="E17" s="169" t="s">
        <v>357</v>
      </c>
      <c r="F17" s="169">
        <v>1</v>
      </c>
      <c r="G17" s="159">
        <v>1</v>
      </c>
      <c r="H17" s="159">
        <v>1</v>
      </c>
      <c r="I17" s="159">
        <v>1</v>
      </c>
      <c r="J17" s="159">
        <v>1</v>
      </c>
      <c r="K17" s="159">
        <v>1</v>
      </c>
      <c r="L17" s="159">
        <v>1</v>
      </c>
      <c r="M17" s="159">
        <v>1</v>
      </c>
      <c r="N17" s="159">
        <v>1</v>
      </c>
      <c r="O17" s="159" t="s">
        <v>357</v>
      </c>
      <c r="P17" s="159">
        <v>1</v>
      </c>
      <c r="Q17" s="159">
        <v>1</v>
      </c>
      <c r="R17" s="159">
        <v>1</v>
      </c>
      <c r="S17" s="159" t="s">
        <v>357</v>
      </c>
      <c r="T17" s="159" t="s">
        <v>357</v>
      </c>
      <c r="U17" s="159" t="s">
        <v>357</v>
      </c>
      <c r="V17" s="159" t="s">
        <v>357</v>
      </c>
      <c r="W17" s="159" t="s">
        <v>357</v>
      </c>
      <c r="X17" s="159">
        <v>1</v>
      </c>
      <c r="Y17" s="170">
        <v>1</v>
      </c>
      <c r="Z17" s="159" t="s">
        <v>357</v>
      </c>
      <c r="AA17" s="169">
        <v>1</v>
      </c>
      <c r="AB17" s="159" t="s">
        <v>357</v>
      </c>
      <c r="AC17" s="169">
        <v>1</v>
      </c>
      <c r="AD17" s="159" t="s">
        <v>357</v>
      </c>
      <c r="AE17" s="159" t="s">
        <v>357</v>
      </c>
      <c r="AF17" s="159" t="s">
        <v>357</v>
      </c>
      <c r="AG17" s="159" t="s">
        <v>357</v>
      </c>
      <c r="AH17" s="159" t="s">
        <v>357</v>
      </c>
      <c r="AI17" s="159"/>
      <c r="AJ17" s="159"/>
      <c r="AK17" s="159"/>
      <c r="AL17" s="159"/>
      <c r="AM17" s="159"/>
      <c r="AN17" s="159"/>
      <c r="AO17" s="159"/>
      <c r="AP17" s="159"/>
      <c r="AQ17" s="159"/>
      <c r="AR17" s="159"/>
      <c r="AS17" s="159"/>
      <c r="AT17" s="159"/>
      <c r="AU17" s="159"/>
      <c r="AV17" s="159"/>
      <c r="AW17" s="159"/>
    </row>
    <row r="18" spans="1:49" s="145" customFormat="1" x14ac:dyDescent="0.2">
      <c r="A18" s="168" t="s">
        <v>356</v>
      </c>
      <c r="B18" s="169">
        <v>1</v>
      </c>
      <c r="C18" s="169" t="s">
        <v>357</v>
      </c>
      <c r="D18" s="169">
        <v>1</v>
      </c>
      <c r="E18" s="169">
        <v>1</v>
      </c>
      <c r="F18" s="169" t="s">
        <v>357</v>
      </c>
      <c r="G18" s="169" t="s">
        <v>357</v>
      </c>
      <c r="H18" s="159">
        <v>1</v>
      </c>
      <c r="I18" s="159">
        <v>1</v>
      </c>
      <c r="J18" s="159">
        <v>1</v>
      </c>
      <c r="K18" s="159">
        <v>1</v>
      </c>
      <c r="L18" s="159">
        <v>1</v>
      </c>
      <c r="M18" s="159">
        <v>1</v>
      </c>
      <c r="N18" s="159">
        <v>1</v>
      </c>
      <c r="O18" s="159">
        <v>1</v>
      </c>
      <c r="P18" s="159" t="s">
        <v>357</v>
      </c>
      <c r="Q18" s="159" t="s">
        <v>357</v>
      </c>
      <c r="R18" s="159" t="s">
        <v>357</v>
      </c>
      <c r="S18" s="159" t="s">
        <v>357</v>
      </c>
      <c r="T18" s="159" t="s">
        <v>357</v>
      </c>
      <c r="U18" s="159">
        <v>1</v>
      </c>
      <c r="V18" s="159" t="s">
        <v>357</v>
      </c>
      <c r="W18" s="159">
        <v>1</v>
      </c>
      <c r="X18" s="159" t="s">
        <v>357</v>
      </c>
      <c r="Y18" s="170">
        <v>0</v>
      </c>
      <c r="Z18" s="169">
        <v>1</v>
      </c>
      <c r="AA18" s="169">
        <v>1</v>
      </c>
      <c r="AB18" s="159" t="s">
        <v>357</v>
      </c>
      <c r="AC18" s="159" t="s">
        <v>357</v>
      </c>
      <c r="AD18" s="159" t="s">
        <v>357</v>
      </c>
      <c r="AE18" s="169">
        <v>1</v>
      </c>
      <c r="AF18" s="159" t="s">
        <v>357</v>
      </c>
      <c r="AG18" s="159">
        <v>1</v>
      </c>
      <c r="AH18" s="159" t="s">
        <v>357</v>
      </c>
      <c r="AI18" s="159"/>
      <c r="AJ18" s="159"/>
      <c r="AK18" s="159"/>
      <c r="AL18" s="159"/>
      <c r="AM18" s="159"/>
      <c r="AN18" s="159"/>
      <c r="AO18" s="159"/>
      <c r="AP18" s="159"/>
      <c r="AQ18" s="159"/>
      <c r="AR18" s="170"/>
      <c r="AS18" s="159"/>
      <c r="AT18" s="159"/>
      <c r="AU18" s="159"/>
      <c r="AV18" s="159"/>
      <c r="AW18" s="159"/>
    </row>
    <row r="19" spans="1:49" s="145" customFormat="1" x14ac:dyDescent="0.2">
      <c r="A19" s="168" t="s">
        <v>358</v>
      </c>
      <c r="B19" s="169">
        <v>0.90900000000000003</v>
      </c>
      <c r="C19" s="169">
        <v>0.91700000000000004</v>
      </c>
      <c r="D19" s="169">
        <v>0.84199999999999997</v>
      </c>
      <c r="E19" s="169">
        <v>1</v>
      </c>
      <c r="F19" s="169">
        <v>0.86699999999999999</v>
      </c>
      <c r="G19" s="159">
        <v>0.92900000000000005</v>
      </c>
      <c r="H19" s="159">
        <v>0.94399999999999995</v>
      </c>
      <c r="I19" s="159">
        <v>0.86699999999999999</v>
      </c>
      <c r="J19" s="159">
        <v>0.84199999999999997</v>
      </c>
      <c r="K19" s="159">
        <v>0.88200000000000001</v>
      </c>
      <c r="L19" s="159">
        <v>0.8</v>
      </c>
      <c r="M19" s="159">
        <v>0.91300000000000003</v>
      </c>
      <c r="N19" s="159">
        <v>0.77800000000000002</v>
      </c>
      <c r="O19" s="159">
        <v>0.77800000000000002</v>
      </c>
      <c r="P19" s="159">
        <v>1</v>
      </c>
      <c r="Q19" s="159">
        <v>0.63600000000000001</v>
      </c>
      <c r="R19" s="159">
        <v>0.5</v>
      </c>
      <c r="S19" s="170">
        <v>0.77300000000000002</v>
      </c>
      <c r="T19" s="170">
        <v>0.83299999999999996</v>
      </c>
      <c r="U19" s="170">
        <v>0.76500000000000001</v>
      </c>
      <c r="V19" s="159">
        <v>0.7</v>
      </c>
      <c r="W19" s="159">
        <v>0.84599999999999997</v>
      </c>
      <c r="X19" s="159">
        <v>0.89500000000000002</v>
      </c>
      <c r="Y19" s="170">
        <v>0.95699999999999996</v>
      </c>
      <c r="Z19" s="169">
        <v>0.76900000000000002</v>
      </c>
      <c r="AA19" s="169">
        <v>0.92600000000000005</v>
      </c>
      <c r="AB19" s="169">
        <v>0.84599999999999997</v>
      </c>
      <c r="AC19" s="169">
        <v>0.81799999999999995</v>
      </c>
      <c r="AD19" s="169">
        <v>0.54500000000000004</v>
      </c>
      <c r="AE19" s="159">
        <v>0.76200000000000001</v>
      </c>
      <c r="AF19" s="159">
        <v>0.94399999999999995</v>
      </c>
      <c r="AG19" s="159">
        <v>0.7</v>
      </c>
      <c r="AH19" s="159">
        <v>0.94399999999999995</v>
      </c>
      <c r="AI19" s="159"/>
      <c r="AJ19" s="159"/>
      <c r="AK19" s="159"/>
      <c r="AL19" s="159"/>
      <c r="AM19" s="159"/>
      <c r="AN19" s="159"/>
      <c r="AO19" s="159"/>
      <c r="AP19" s="159"/>
      <c r="AQ19" s="170"/>
      <c r="AR19" s="170"/>
      <c r="AS19" s="170"/>
      <c r="AT19" s="159"/>
      <c r="AU19" s="159"/>
      <c r="AV19" s="159"/>
      <c r="AW19" s="159"/>
    </row>
    <row r="20" spans="1:49" s="145" customFormat="1" x14ac:dyDescent="0.2">
      <c r="A20" s="168" t="s">
        <v>359</v>
      </c>
      <c r="B20" s="169">
        <v>1</v>
      </c>
      <c r="C20" s="169">
        <v>1</v>
      </c>
      <c r="D20" s="169">
        <v>0.71399999999999997</v>
      </c>
      <c r="E20" s="169">
        <v>1</v>
      </c>
      <c r="F20" s="169">
        <v>0.5</v>
      </c>
      <c r="G20" s="159">
        <v>0.85699999999999998</v>
      </c>
      <c r="H20" s="159">
        <v>0.81799999999999995</v>
      </c>
      <c r="I20" s="159">
        <v>0.83299999999999996</v>
      </c>
      <c r="J20" s="159">
        <v>0.5</v>
      </c>
      <c r="K20" s="159">
        <v>0.83299999999999996</v>
      </c>
      <c r="L20" s="159">
        <v>0.66700000000000004</v>
      </c>
      <c r="M20" s="159">
        <v>0.8</v>
      </c>
      <c r="N20" s="159">
        <v>0.5</v>
      </c>
      <c r="O20" s="159">
        <v>0.6</v>
      </c>
      <c r="P20" s="159">
        <v>0.8</v>
      </c>
      <c r="Q20" s="159">
        <v>0.8</v>
      </c>
      <c r="R20" s="159">
        <v>0.5</v>
      </c>
      <c r="S20" s="170">
        <v>0.66700000000000004</v>
      </c>
      <c r="T20" s="170">
        <v>0.8</v>
      </c>
      <c r="U20" s="170">
        <v>0.63636363636363602</v>
      </c>
      <c r="V20" s="159">
        <v>0.8571428571428571</v>
      </c>
      <c r="W20" s="159">
        <v>0.6</v>
      </c>
      <c r="X20" s="159">
        <v>1</v>
      </c>
      <c r="Y20" s="170">
        <v>0.75</v>
      </c>
      <c r="Z20" s="169">
        <v>0.42899999999999999</v>
      </c>
      <c r="AA20" s="169">
        <v>1</v>
      </c>
      <c r="AB20" s="169">
        <v>0.5</v>
      </c>
      <c r="AC20" s="169">
        <v>0.33300000000000002</v>
      </c>
      <c r="AD20" s="169">
        <v>0.5</v>
      </c>
      <c r="AE20" s="159">
        <v>0.8</v>
      </c>
      <c r="AF20" s="159">
        <v>1</v>
      </c>
      <c r="AG20" s="159">
        <v>0.71399999999999997</v>
      </c>
      <c r="AH20" s="159">
        <v>0.75</v>
      </c>
      <c r="AI20" s="159"/>
      <c r="AJ20" s="159"/>
      <c r="AK20" s="159"/>
      <c r="AL20" s="159"/>
      <c r="AM20" s="159"/>
      <c r="AN20" s="159"/>
      <c r="AO20" s="159"/>
      <c r="AP20" s="159"/>
      <c r="AQ20" s="170"/>
      <c r="AR20" s="170"/>
      <c r="AS20" s="170"/>
      <c r="AT20" s="159"/>
      <c r="AU20" s="159"/>
      <c r="AV20" s="159"/>
      <c r="AW20" s="159"/>
    </row>
    <row r="21" spans="1:49" s="145" customFormat="1" x14ac:dyDescent="0.2">
      <c r="A21" s="168" t="s">
        <v>360</v>
      </c>
      <c r="B21" s="169">
        <v>1</v>
      </c>
      <c r="C21" s="169">
        <v>0.66700000000000004</v>
      </c>
      <c r="D21" s="169">
        <v>0.875</v>
      </c>
      <c r="E21" s="169">
        <v>0.66700000000000004</v>
      </c>
      <c r="F21" s="169">
        <v>1</v>
      </c>
      <c r="G21" s="159">
        <v>0.75</v>
      </c>
      <c r="H21" s="159">
        <v>1</v>
      </c>
      <c r="I21" s="159">
        <v>0.875</v>
      </c>
      <c r="J21" s="159">
        <v>1</v>
      </c>
      <c r="K21" s="159">
        <v>0.5</v>
      </c>
      <c r="L21" s="159">
        <v>0</v>
      </c>
      <c r="M21" s="159">
        <v>1</v>
      </c>
      <c r="N21" s="159">
        <v>1</v>
      </c>
      <c r="O21" s="159">
        <v>1</v>
      </c>
      <c r="P21" s="159">
        <v>0.66700000000000004</v>
      </c>
      <c r="Q21" s="159">
        <v>0.75</v>
      </c>
      <c r="R21" s="159">
        <v>0.66700000000000004</v>
      </c>
      <c r="S21" s="170">
        <v>1</v>
      </c>
      <c r="T21" s="170">
        <v>1</v>
      </c>
      <c r="U21" s="170">
        <v>1</v>
      </c>
      <c r="V21" s="159">
        <v>1</v>
      </c>
      <c r="W21" s="159">
        <v>1</v>
      </c>
      <c r="X21" s="159">
        <v>1</v>
      </c>
      <c r="Y21" s="170">
        <v>1</v>
      </c>
      <c r="Z21" s="169">
        <v>0.8</v>
      </c>
      <c r="AA21" s="169">
        <v>1</v>
      </c>
      <c r="AB21" s="169">
        <v>0.92900000000000005</v>
      </c>
      <c r="AC21" s="169">
        <v>0.83299999999999996</v>
      </c>
      <c r="AD21" s="169">
        <v>0.86699999999999999</v>
      </c>
      <c r="AE21" s="159">
        <v>0.77800000000000002</v>
      </c>
      <c r="AF21" s="159">
        <v>1</v>
      </c>
      <c r="AG21" s="159">
        <v>1</v>
      </c>
      <c r="AH21" s="159">
        <v>1</v>
      </c>
      <c r="AI21" s="159"/>
      <c r="AJ21" s="159"/>
      <c r="AK21" s="159"/>
      <c r="AL21" s="159"/>
      <c r="AM21" s="159"/>
      <c r="AN21" s="159"/>
      <c r="AO21" s="159"/>
      <c r="AP21" s="159"/>
      <c r="AQ21" s="170"/>
      <c r="AR21" s="170"/>
      <c r="AS21" s="170"/>
      <c r="AT21" s="159"/>
      <c r="AU21" s="159"/>
      <c r="AV21" s="159"/>
      <c r="AW21" s="159"/>
    </row>
    <row r="22" spans="1:49" s="145" customFormat="1" x14ac:dyDescent="0.2">
      <c r="A22" s="168" t="s">
        <v>361</v>
      </c>
      <c r="B22" s="169">
        <v>0.93300000000000005</v>
      </c>
      <c r="C22" s="169">
        <v>0.93300000000000005</v>
      </c>
      <c r="D22" s="169">
        <v>1</v>
      </c>
      <c r="E22" s="169">
        <v>1</v>
      </c>
      <c r="F22" s="169">
        <v>1</v>
      </c>
      <c r="G22" s="159">
        <v>0.94699999999999995</v>
      </c>
      <c r="H22" s="159">
        <v>1</v>
      </c>
      <c r="I22" s="159">
        <v>1</v>
      </c>
      <c r="J22" s="159">
        <v>0.9</v>
      </c>
      <c r="K22" s="159">
        <v>1</v>
      </c>
      <c r="L22" s="159">
        <v>0.94699999999999995</v>
      </c>
      <c r="M22" s="159">
        <v>1</v>
      </c>
      <c r="N22" s="159">
        <v>1</v>
      </c>
      <c r="O22" s="159">
        <v>0.95499999999999996</v>
      </c>
      <c r="P22" s="159">
        <v>1</v>
      </c>
      <c r="Q22" s="159">
        <v>1</v>
      </c>
      <c r="R22" s="159">
        <v>1</v>
      </c>
      <c r="S22" s="170">
        <v>0.94699999999999995</v>
      </c>
      <c r="T22" s="170">
        <v>0.72727272727272729</v>
      </c>
      <c r="U22" s="170">
        <v>1</v>
      </c>
      <c r="V22" s="159">
        <v>1</v>
      </c>
      <c r="W22" s="159">
        <v>0.94699999999999995</v>
      </c>
      <c r="X22" s="159">
        <v>1</v>
      </c>
      <c r="Y22" s="170">
        <v>1</v>
      </c>
      <c r="Z22" s="169">
        <v>1</v>
      </c>
      <c r="AA22" s="169">
        <v>1</v>
      </c>
      <c r="AB22" s="169">
        <v>0.94099999999999995</v>
      </c>
      <c r="AC22" s="169">
        <v>0.88900000000000001</v>
      </c>
      <c r="AD22" s="169">
        <v>1</v>
      </c>
      <c r="AE22" s="159">
        <v>1</v>
      </c>
      <c r="AF22" s="159">
        <v>0.93300000000000005</v>
      </c>
      <c r="AG22" s="159">
        <v>1</v>
      </c>
      <c r="AH22" s="159">
        <v>0.92900000000000005</v>
      </c>
      <c r="AI22" s="159"/>
      <c r="AJ22" s="159"/>
      <c r="AK22" s="159"/>
      <c r="AL22" s="159"/>
      <c r="AM22" s="159"/>
      <c r="AN22" s="159"/>
      <c r="AO22" s="159"/>
      <c r="AP22" s="159"/>
      <c r="AQ22" s="170"/>
      <c r="AR22" s="170"/>
      <c r="AS22" s="170"/>
      <c r="AT22" s="159"/>
      <c r="AU22" s="159"/>
      <c r="AV22" s="159"/>
      <c r="AW22" s="159"/>
    </row>
    <row r="23" spans="1:49" s="145" customFormat="1" x14ac:dyDescent="0.2">
      <c r="A23" s="168" t="s">
        <v>362</v>
      </c>
      <c r="B23" s="169">
        <v>1</v>
      </c>
      <c r="C23" s="169">
        <v>1</v>
      </c>
      <c r="D23" s="169">
        <v>0.71399999999999997</v>
      </c>
      <c r="E23" s="169">
        <v>1</v>
      </c>
      <c r="F23" s="169">
        <v>0.8</v>
      </c>
      <c r="G23" s="159">
        <v>0.85699999999999998</v>
      </c>
      <c r="H23" s="159">
        <v>0.85699999999999998</v>
      </c>
      <c r="I23" s="159">
        <v>1</v>
      </c>
      <c r="J23" s="159">
        <v>1</v>
      </c>
      <c r="K23" s="159">
        <v>1</v>
      </c>
      <c r="L23" s="159">
        <v>1</v>
      </c>
      <c r="M23" s="159">
        <v>0.6</v>
      </c>
      <c r="N23" s="159" t="s">
        <v>357</v>
      </c>
      <c r="O23" s="159">
        <v>0.83299999999999996</v>
      </c>
      <c r="P23" s="159">
        <v>1</v>
      </c>
      <c r="Q23" s="159">
        <v>0.8</v>
      </c>
      <c r="R23" s="159">
        <v>0.85699999999999998</v>
      </c>
      <c r="S23" s="170">
        <v>0.66700000000000004</v>
      </c>
      <c r="T23" s="170">
        <v>0.7142857142857143</v>
      </c>
      <c r="U23" s="170">
        <v>0.5</v>
      </c>
      <c r="V23" s="159">
        <v>1</v>
      </c>
      <c r="W23" s="159">
        <v>0.42899999999999999</v>
      </c>
      <c r="X23" s="159">
        <v>0.75</v>
      </c>
      <c r="Y23" s="170">
        <v>1</v>
      </c>
      <c r="Z23" s="169">
        <v>1</v>
      </c>
      <c r="AA23" s="169">
        <v>0.45500000000000002</v>
      </c>
      <c r="AB23" s="169">
        <v>1</v>
      </c>
      <c r="AC23" s="169">
        <v>1</v>
      </c>
      <c r="AD23" s="169">
        <v>1</v>
      </c>
      <c r="AE23" s="159">
        <v>1</v>
      </c>
      <c r="AF23" s="159">
        <v>0.71399999999999997</v>
      </c>
      <c r="AG23" s="159">
        <v>1</v>
      </c>
      <c r="AH23" s="159">
        <v>0.75</v>
      </c>
      <c r="AI23" s="159"/>
      <c r="AJ23" s="159"/>
      <c r="AK23" s="159"/>
      <c r="AL23" s="159"/>
      <c r="AM23" s="159"/>
      <c r="AN23" s="159"/>
      <c r="AO23" s="159"/>
      <c r="AP23" s="159"/>
      <c r="AQ23" s="170"/>
      <c r="AR23" s="170"/>
      <c r="AS23" s="170"/>
      <c r="AT23" s="159"/>
      <c r="AU23" s="159"/>
      <c r="AV23" s="159"/>
      <c r="AW23" s="159"/>
    </row>
    <row r="24" spans="1:49" s="145" customFormat="1" x14ac:dyDescent="0.2">
      <c r="A24" s="168" t="s">
        <v>363</v>
      </c>
      <c r="B24" s="169">
        <v>1</v>
      </c>
      <c r="C24" s="169">
        <v>1</v>
      </c>
      <c r="D24" s="169">
        <v>0.88900000000000001</v>
      </c>
      <c r="E24" s="169">
        <v>1</v>
      </c>
      <c r="F24" s="169">
        <v>0</v>
      </c>
      <c r="G24" s="159">
        <v>1</v>
      </c>
      <c r="H24" s="159">
        <v>1</v>
      </c>
      <c r="I24" s="159">
        <v>1</v>
      </c>
      <c r="J24" s="159">
        <v>1</v>
      </c>
      <c r="K24" s="159">
        <v>1</v>
      </c>
      <c r="L24" s="159">
        <v>0.5</v>
      </c>
      <c r="M24" s="159">
        <v>1</v>
      </c>
      <c r="N24" s="159">
        <v>0.875</v>
      </c>
      <c r="O24" s="159">
        <v>1</v>
      </c>
      <c r="P24" s="159">
        <v>1</v>
      </c>
      <c r="Q24" s="159">
        <v>1</v>
      </c>
      <c r="R24" s="159">
        <v>1</v>
      </c>
      <c r="S24" s="170">
        <v>0.8</v>
      </c>
      <c r="T24" s="170">
        <v>0.8</v>
      </c>
      <c r="U24" s="170">
        <v>0.88900000000000001</v>
      </c>
      <c r="V24" s="159">
        <v>0.71399999999999997</v>
      </c>
      <c r="W24" s="159">
        <v>1</v>
      </c>
      <c r="X24" s="159">
        <v>1</v>
      </c>
      <c r="Y24" s="170">
        <v>1</v>
      </c>
      <c r="Z24" s="169">
        <v>0.83299999999999996</v>
      </c>
      <c r="AA24" s="169">
        <v>1</v>
      </c>
      <c r="AB24" s="169">
        <v>0.77800000000000002</v>
      </c>
      <c r="AC24" s="169">
        <v>1</v>
      </c>
      <c r="AD24" s="169">
        <v>0.5</v>
      </c>
      <c r="AE24" s="159">
        <v>1</v>
      </c>
      <c r="AF24" s="159">
        <v>0.55600000000000005</v>
      </c>
      <c r="AG24" s="159">
        <v>0.83299999999999996</v>
      </c>
      <c r="AH24" s="159">
        <v>0.42899999999999999</v>
      </c>
      <c r="AI24" s="159"/>
      <c r="AJ24" s="159"/>
      <c r="AK24" s="159"/>
      <c r="AL24" s="159"/>
      <c r="AM24" s="159"/>
      <c r="AN24" s="159"/>
      <c r="AO24" s="159"/>
      <c r="AP24" s="159"/>
      <c r="AQ24" s="170"/>
      <c r="AR24" s="170"/>
      <c r="AS24" s="170"/>
      <c r="AT24" s="159"/>
      <c r="AU24" s="159"/>
      <c r="AV24" s="159"/>
      <c r="AW24" s="159"/>
    </row>
    <row r="25" spans="1:49" s="145" customFormat="1" x14ac:dyDescent="0.2">
      <c r="A25" s="168" t="s">
        <v>364</v>
      </c>
      <c r="B25" s="169">
        <v>1</v>
      </c>
      <c r="C25" s="169">
        <v>1</v>
      </c>
      <c r="D25" s="169">
        <v>1</v>
      </c>
      <c r="E25" s="169">
        <v>1</v>
      </c>
      <c r="F25" s="169">
        <v>1</v>
      </c>
      <c r="G25" s="159">
        <v>0.5</v>
      </c>
      <c r="H25" s="159">
        <v>1</v>
      </c>
      <c r="I25" s="159">
        <v>1</v>
      </c>
      <c r="J25" s="159">
        <v>1</v>
      </c>
      <c r="K25" s="159">
        <v>1</v>
      </c>
      <c r="L25" s="159">
        <v>1</v>
      </c>
      <c r="M25" s="159">
        <v>1</v>
      </c>
      <c r="N25" s="159">
        <v>1</v>
      </c>
      <c r="O25" s="159">
        <v>1</v>
      </c>
      <c r="P25" s="159">
        <v>1</v>
      </c>
      <c r="Q25" s="159">
        <v>1</v>
      </c>
      <c r="R25" s="159">
        <v>1</v>
      </c>
      <c r="S25" s="170">
        <v>1</v>
      </c>
      <c r="T25" s="170">
        <v>1</v>
      </c>
      <c r="U25" s="159" t="s">
        <v>357</v>
      </c>
      <c r="V25" s="159">
        <v>1</v>
      </c>
      <c r="W25" s="159">
        <v>0.33333333333333331</v>
      </c>
      <c r="X25" s="159">
        <v>1</v>
      </c>
      <c r="Y25" s="170">
        <v>0</v>
      </c>
      <c r="Z25" s="169">
        <v>1</v>
      </c>
      <c r="AA25" s="159">
        <v>0</v>
      </c>
      <c r="AB25" s="159" t="s">
        <v>357</v>
      </c>
      <c r="AC25" s="169">
        <v>1</v>
      </c>
      <c r="AD25" s="169">
        <v>1</v>
      </c>
      <c r="AE25" s="169">
        <v>1</v>
      </c>
      <c r="AF25" s="159">
        <v>1</v>
      </c>
      <c r="AG25" s="159">
        <v>1</v>
      </c>
      <c r="AH25" s="159">
        <v>1</v>
      </c>
      <c r="AI25" s="159"/>
      <c r="AJ25" s="159"/>
      <c r="AK25" s="159"/>
      <c r="AL25" s="159"/>
      <c r="AM25" s="159"/>
      <c r="AN25" s="159"/>
      <c r="AO25" s="159"/>
      <c r="AP25" s="159"/>
      <c r="AQ25" s="170"/>
      <c r="AR25" s="170"/>
      <c r="AS25" s="159"/>
      <c r="AT25" s="159"/>
      <c r="AU25" s="159"/>
      <c r="AV25" s="159"/>
      <c r="AW25" s="159"/>
    </row>
    <row r="26" spans="1:49" s="145" customFormat="1" x14ac:dyDescent="0.2">
      <c r="A26" s="168" t="s">
        <v>365</v>
      </c>
      <c r="B26" s="169">
        <v>1</v>
      </c>
      <c r="C26" s="169">
        <v>0.83299999999999996</v>
      </c>
      <c r="D26" s="169">
        <v>0.875</v>
      </c>
      <c r="E26" s="169">
        <v>0.92900000000000005</v>
      </c>
      <c r="F26" s="169">
        <v>1</v>
      </c>
      <c r="G26" s="159">
        <v>0.86699999999999999</v>
      </c>
      <c r="H26" s="159">
        <v>0.9</v>
      </c>
      <c r="I26" s="159">
        <v>0.83299999999999996</v>
      </c>
      <c r="J26" s="159">
        <v>0.84599999999999997</v>
      </c>
      <c r="K26" s="159">
        <v>1</v>
      </c>
      <c r="L26" s="159">
        <v>0.90900000000000003</v>
      </c>
      <c r="M26" s="159">
        <v>1</v>
      </c>
      <c r="N26" s="159">
        <v>0.875</v>
      </c>
      <c r="O26" s="159">
        <v>1</v>
      </c>
      <c r="P26" s="159">
        <v>1</v>
      </c>
      <c r="Q26" s="159">
        <v>1</v>
      </c>
      <c r="R26" s="159">
        <v>1</v>
      </c>
      <c r="S26" s="170">
        <v>0.88900000000000001</v>
      </c>
      <c r="T26" s="170">
        <v>0.6</v>
      </c>
      <c r="U26" s="170">
        <v>0.83299999999999996</v>
      </c>
      <c r="V26" s="159">
        <v>0.44400000000000001</v>
      </c>
      <c r="W26" s="159">
        <v>0.875</v>
      </c>
      <c r="X26" s="159">
        <v>0.92300000000000004</v>
      </c>
      <c r="Y26" s="170">
        <v>1</v>
      </c>
      <c r="Z26" s="169">
        <v>0.77800000000000002</v>
      </c>
      <c r="AA26" s="169">
        <v>1</v>
      </c>
      <c r="AB26" s="169">
        <v>1</v>
      </c>
      <c r="AC26" s="169">
        <v>1</v>
      </c>
      <c r="AD26" s="169">
        <v>0.90900000000000003</v>
      </c>
      <c r="AE26" s="159">
        <v>1</v>
      </c>
      <c r="AF26" s="159">
        <v>0.91700000000000004</v>
      </c>
      <c r="AG26" s="159">
        <v>1</v>
      </c>
      <c r="AH26" s="159">
        <v>1</v>
      </c>
      <c r="AI26" s="159"/>
      <c r="AJ26" s="159"/>
      <c r="AK26" s="159"/>
      <c r="AL26" s="159"/>
      <c r="AM26" s="159"/>
      <c r="AN26" s="159"/>
      <c r="AO26" s="159"/>
      <c r="AP26" s="159"/>
      <c r="AQ26" s="170"/>
      <c r="AR26" s="170"/>
      <c r="AS26" s="170"/>
      <c r="AT26" s="159"/>
      <c r="AU26" s="159"/>
      <c r="AV26" s="159"/>
      <c r="AW26" s="159"/>
    </row>
    <row r="27" spans="1:49" s="145" customFormat="1" x14ac:dyDescent="0.2">
      <c r="A27" s="168" t="s">
        <v>366</v>
      </c>
      <c r="B27" s="169">
        <v>0.85699999999999998</v>
      </c>
      <c r="C27" s="169">
        <v>0.79300000000000004</v>
      </c>
      <c r="D27" s="169">
        <v>0.92</v>
      </c>
      <c r="E27" s="169">
        <v>0.73699999999999999</v>
      </c>
      <c r="F27" s="169">
        <v>0.85199999999999998</v>
      </c>
      <c r="G27" s="159">
        <v>0.8</v>
      </c>
      <c r="H27" s="159">
        <v>0.88600000000000001</v>
      </c>
      <c r="I27" s="159">
        <v>0.82399999999999995</v>
      </c>
      <c r="J27" s="159">
        <v>0.78300000000000003</v>
      </c>
      <c r="K27" s="159">
        <v>0.89500000000000002</v>
      </c>
      <c r="L27" s="159">
        <v>0.77800000000000002</v>
      </c>
      <c r="M27" s="159">
        <v>0.78800000000000003</v>
      </c>
      <c r="N27" s="159">
        <v>0.78900000000000003</v>
      </c>
      <c r="O27" s="159">
        <v>0.75900000000000001</v>
      </c>
      <c r="P27" s="159">
        <v>0.96199999999999997</v>
      </c>
      <c r="Q27" s="159">
        <v>0.79200000000000004</v>
      </c>
      <c r="R27" s="159">
        <v>0.64</v>
      </c>
      <c r="S27" s="170">
        <v>0.59299999999999997</v>
      </c>
      <c r="T27" s="170">
        <v>0.59</v>
      </c>
      <c r="U27" s="170">
        <v>0.56699999999999995</v>
      </c>
      <c r="V27" s="159">
        <v>0.66700000000000004</v>
      </c>
      <c r="W27" s="159">
        <v>0.69599999999999995</v>
      </c>
      <c r="X27" s="159">
        <v>0.63200000000000001</v>
      </c>
      <c r="Y27" s="170">
        <v>0.83799999999999997</v>
      </c>
      <c r="Z27" s="169">
        <v>0.64</v>
      </c>
      <c r="AA27" s="169">
        <v>0.71799999999999997</v>
      </c>
      <c r="AB27" s="169">
        <v>0.66700000000000004</v>
      </c>
      <c r="AC27" s="169">
        <v>0.77800000000000002</v>
      </c>
      <c r="AD27" s="169">
        <v>0.58099999999999996</v>
      </c>
      <c r="AE27" s="159">
        <v>0.82799999999999996</v>
      </c>
      <c r="AF27" s="159">
        <v>0.61299999999999999</v>
      </c>
      <c r="AG27" s="159">
        <v>0.78300000000000003</v>
      </c>
      <c r="AH27" s="159">
        <v>0.71899999999999997</v>
      </c>
      <c r="AI27" s="159"/>
      <c r="AJ27" s="159"/>
      <c r="AK27" s="159"/>
      <c r="AL27" s="159"/>
      <c r="AM27" s="159"/>
      <c r="AN27" s="159"/>
      <c r="AO27" s="159"/>
      <c r="AP27" s="159"/>
      <c r="AQ27" s="170"/>
      <c r="AR27" s="170"/>
      <c r="AS27" s="170"/>
      <c r="AT27" s="159"/>
      <c r="AU27" s="159"/>
      <c r="AV27" s="159"/>
      <c r="AW27" s="159"/>
    </row>
    <row r="28" spans="1:49" s="145" customFormat="1" x14ac:dyDescent="0.2">
      <c r="A28" s="827" t="s">
        <v>15</v>
      </c>
      <c r="B28" s="494">
        <v>0.95</v>
      </c>
      <c r="C28" s="494">
        <v>0.95</v>
      </c>
      <c r="D28" s="494">
        <v>0.95</v>
      </c>
      <c r="E28" s="494">
        <v>0.95</v>
      </c>
      <c r="F28" s="494">
        <v>0.95</v>
      </c>
      <c r="G28" s="494">
        <v>0.95</v>
      </c>
      <c r="H28" s="494">
        <v>0.95</v>
      </c>
      <c r="I28" s="494">
        <v>0.95</v>
      </c>
      <c r="J28" s="494">
        <v>0.95</v>
      </c>
      <c r="K28" s="494">
        <v>0.95</v>
      </c>
      <c r="L28" s="494">
        <v>0.95</v>
      </c>
      <c r="M28" s="494">
        <v>0.95</v>
      </c>
      <c r="N28" s="494">
        <v>0.95</v>
      </c>
      <c r="O28" s="494">
        <v>0.95</v>
      </c>
      <c r="P28" s="494">
        <v>0.95</v>
      </c>
      <c r="Q28" s="494">
        <v>0.95</v>
      </c>
      <c r="R28" s="494">
        <v>0.95</v>
      </c>
      <c r="S28" s="494">
        <v>0.95</v>
      </c>
      <c r="T28" s="494">
        <v>0.95</v>
      </c>
      <c r="U28" s="494">
        <v>0.95</v>
      </c>
      <c r="V28" s="494">
        <v>0.95</v>
      </c>
      <c r="W28" s="494">
        <v>0.95</v>
      </c>
      <c r="X28" s="494">
        <v>0.95</v>
      </c>
      <c r="Y28" s="494">
        <v>0.95</v>
      </c>
      <c r="Z28" s="494">
        <v>0.95</v>
      </c>
      <c r="AA28" s="494">
        <v>0.95</v>
      </c>
      <c r="AB28" s="494">
        <v>0.95</v>
      </c>
      <c r="AC28" s="494">
        <v>0.95</v>
      </c>
      <c r="AD28" s="494">
        <v>0.95</v>
      </c>
      <c r="AE28" s="494">
        <v>0.95</v>
      </c>
      <c r="AF28" s="494">
        <v>0.95</v>
      </c>
      <c r="AG28" s="494">
        <v>0.95</v>
      </c>
      <c r="AH28" s="494">
        <v>0.95</v>
      </c>
      <c r="AI28" s="494">
        <v>0.95</v>
      </c>
      <c r="AJ28" s="494">
        <v>0.95</v>
      </c>
      <c r="AK28" s="494">
        <v>0.95</v>
      </c>
      <c r="AL28" s="494">
        <v>0.95</v>
      </c>
      <c r="AM28" s="494">
        <v>0.95</v>
      </c>
      <c r="AN28" s="494">
        <v>0.95</v>
      </c>
      <c r="AO28" s="494">
        <v>0.95</v>
      </c>
      <c r="AP28" s="494">
        <v>0.95</v>
      </c>
      <c r="AQ28" s="494">
        <v>0.95</v>
      </c>
      <c r="AR28" s="494">
        <v>0.95</v>
      </c>
      <c r="AS28" s="494">
        <v>0.95</v>
      </c>
      <c r="AT28" s="494">
        <v>0.95</v>
      </c>
      <c r="AU28" s="494">
        <v>0.95</v>
      </c>
      <c r="AV28" s="494">
        <v>0.95</v>
      </c>
      <c r="AW28" s="494">
        <v>0.95</v>
      </c>
    </row>
    <row r="29" spans="1:49" s="145" customFormat="1" x14ac:dyDescent="0.2">
      <c r="O29" s="282"/>
    </row>
    <row r="30" spans="1:49" s="145" customFormat="1" x14ac:dyDescent="0.2">
      <c r="N30" s="621"/>
      <c r="AC30" s="621"/>
    </row>
    <row r="31" spans="1:49" s="145" customFormat="1" x14ac:dyDescent="0.2">
      <c r="A31" s="127" t="s">
        <v>734</v>
      </c>
      <c r="N31" s="602" t="s">
        <v>735</v>
      </c>
      <c r="AC31" s="602"/>
    </row>
    <row r="56" spans="1:14" ht="14.25" x14ac:dyDescent="0.2">
      <c r="A56" s="511" t="s">
        <v>747</v>
      </c>
      <c r="N56" s="511" t="s">
        <v>748</v>
      </c>
    </row>
    <row r="80" spans="14:25" x14ac:dyDescent="0.2">
      <c r="N80" s="1074" t="s">
        <v>758</v>
      </c>
      <c r="O80" s="1074"/>
      <c r="P80" s="1074"/>
      <c r="Q80" s="1074"/>
      <c r="R80" s="1074"/>
      <c r="S80" s="1074"/>
      <c r="T80" s="1074"/>
      <c r="U80" s="1074"/>
      <c r="V80" s="1074"/>
      <c r="W80" s="1074"/>
      <c r="X80" s="1074"/>
      <c r="Y80" s="1074"/>
    </row>
    <row r="81" spans="1:25" x14ac:dyDescent="0.2">
      <c r="A81" s="722" t="s">
        <v>751</v>
      </c>
      <c r="N81" s="1074"/>
      <c r="O81" s="1074"/>
      <c r="P81" s="1074"/>
      <c r="Q81" s="1074"/>
      <c r="R81" s="1074"/>
      <c r="S81" s="1074"/>
      <c r="T81" s="1074"/>
      <c r="U81" s="1074"/>
      <c r="V81" s="1074"/>
      <c r="W81" s="1074"/>
      <c r="X81" s="1074"/>
      <c r="Y81" s="1074"/>
    </row>
    <row r="106" spans="1:49" ht="15.75" x14ac:dyDescent="0.25">
      <c r="A106" s="292" t="s">
        <v>736</v>
      </c>
    </row>
    <row r="108" spans="1:49" x14ac:dyDescent="0.2">
      <c r="A108" s="361" t="s">
        <v>40</v>
      </c>
    </row>
    <row r="109" spans="1:49" x14ac:dyDescent="0.2">
      <c r="A109" s="136" t="s">
        <v>130</v>
      </c>
      <c r="B109" s="160">
        <f>MEDIAN($B$14:$G$14)</f>
        <v>0.9335</v>
      </c>
      <c r="C109" s="160">
        <f t="shared" ref="C109:R110" si="0">MEDIAN($B$14:$G$14)</f>
        <v>0.9335</v>
      </c>
      <c r="D109" s="160">
        <f t="shared" si="0"/>
        <v>0.9335</v>
      </c>
      <c r="E109" s="160">
        <f t="shared" si="0"/>
        <v>0.9335</v>
      </c>
      <c r="F109" s="160">
        <f t="shared" si="0"/>
        <v>0.9335</v>
      </c>
      <c r="G109" s="160">
        <f>MEDIAN($B$14:$G$14)</f>
        <v>0.9335</v>
      </c>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row>
    <row r="110" spans="1:49" x14ac:dyDescent="0.2">
      <c r="A110" s="136" t="s">
        <v>178</v>
      </c>
      <c r="B110" s="160"/>
      <c r="C110" s="160"/>
      <c r="D110" s="160"/>
      <c r="E110" s="160"/>
      <c r="F110" s="160"/>
      <c r="G110" s="160">
        <f t="shared" si="0"/>
        <v>0.9335</v>
      </c>
      <c r="H110" s="160">
        <f t="shared" si="0"/>
        <v>0.9335</v>
      </c>
      <c r="I110" s="160">
        <f t="shared" si="0"/>
        <v>0.9335</v>
      </c>
      <c r="J110" s="160">
        <f t="shared" si="0"/>
        <v>0.9335</v>
      </c>
      <c r="K110" s="160">
        <f t="shared" si="0"/>
        <v>0.9335</v>
      </c>
      <c r="L110" s="160">
        <f t="shared" si="0"/>
        <v>0.9335</v>
      </c>
      <c r="M110" s="160">
        <f t="shared" si="0"/>
        <v>0.9335</v>
      </c>
      <c r="N110" s="160">
        <f t="shared" si="0"/>
        <v>0.9335</v>
      </c>
      <c r="O110" s="160">
        <f t="shared" si="0"/>
        <v>0.9335</v>
      </c>
      <c r="P110" s="160">
        <f t="shared" si="0"/>
        <v>0.9335</v>
      </c>
      <c r="Q110" s="160">
        <f t="shared" si="0"/>
        <v>0.9335</v>
      </c>
      <c r="R110" s="160">
        <f t="shared" si="0"/>
        <v>0.9335</v>
      </c>
      <c r="S110" s="160">
        <f t="shared" ref="S110:AW111" si="1">MEDIAN($B$14:$G$14)</f>
        <v>0.9335</v>
      </c>
      <c r="T110" s="160">
        <f t="shared" si="1"/>
        <v>0.9335</v>
      </c>
      <c r="U110" s="160">
        <f t="shared" si="1"/>
        <v>0.9335</v>
      </c>
      <c r="V110" s="160">
        <f t="shared" si="1"/>
        <v>0.9335</v>
      </c>
      <c r="W110" s="160">
        <f t="shared" si="1"/>
        <v>0.9335</v>
      </c>
      <c r="X110" s="160">
        <f t="shared" si="1"/>
        <v>0.9335</v>
      </c>
      <c r="Y110" s="160">
        <f t="shared" si="1"/>
        <v>0.9335</v>
      </c>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row>
    <row r="111" spans="1:49" x14ac:dyDescent="0.2">
      <c r="A111" s="136" t="s">
        <v>303</v>
      </c>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f>MEDIAN($Z$14:$AE$14)</f>
        <v>0.88250000000000006</v>
      </c>
      <c r="AA111" s="160">
        <f t="shared" ref="AA111:AP112" si="2">MEDIAN($Z$14:$AE$14)</f>
        <v>0.88250000000000006</v>
      </c>
      <c r="AB111" s="160">
        <f t="shared" si="2"/>
        <v>0.88250000000000006</v>
      </c>
      <c r="AC111" s="160">
        <f t="shared" si="2"/>
        <v>0.88250000000000006</v>
      </c>
      <c r="AD111" s="160">
        <f t="shared" si="2"/>
        <v>0.88250000000000006</v>
      </c>
      <c r="AE111" s="160">
        <f t="shared" si="2"/>
        <v>0.88250000000000006</v>
      </c>
      <c r="AF111" s="160"/>
      <c r="AG111" s="160"/>
      <c r="AH111" s="160"/>
      <c r="AI111" s="160"/>
      <c r="AJ111" s="160"/>
      <c r="AK111" s="160"/>
      <c r="AL111" s="160"/>
      <c r="AM111" s="160"/>
      <c r="AN111" s="160"/>
      <c r="AO111" s="160"/>
      <c r="AP111" s="160"/>
      <c r="AQ111" s="160"/>
      <c r="AR111" s="160"/>
      <c r="AS111" s="160"/>
      <c r="AT111" s="160"/>
      <c r="AU111" s="160"/>
      <c r="AV111" s="160"/>
      <c r="AW111" s="160"/>
    </row>
    <row r="112" spans="1:49" x14ac:dyDescent="0.2">
      <c r="A112" s="136" t="s">
        <v>304</v>
      </c>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f t="shared" si="2"/>
        <v>0.88250000000000006</v>
      </c>
      <c r="AF112" s="160">
        <f t="shared" si="2"/>
        <v>0.88250000000000006</v>
      </c>
      <c r="AG112" s="160">
        <f t="shared" si="2"/>
        <v>0.88250000000000006</v>
      </c>
      <c r="AH112" s="160">
        <f t="shared" si="2"/>
        <v>0.88250000000000006</v>
      </c>
      <c r="AI112" s="160">
        <f t="shared" si="2"/>
        <v>0.88250000000000006</v>
      </c>
      <c r="AJ112" s="160">
        <f t="shared" si="2"/>
        <v>0.88250000000000006</v>
      </c>
      <c r="AK112" s="160">
        <f t="shared" si="2"/>
        <v>0.88250000000000006</v>
      </c>
      <c r="AL112" s="160">
        <f t="shared" si="2"/>
        <v>0.88250000000000006</v>
      </c>
      <c r="AM112" s="160">
        <f t="shared" si="2"/>
        <v>0.88250000000000006</v>
      </c>
      <c r="AN112" s="160">
        <f t="shared" si="2"/>
        <v>0.88250000000000006</v>
      </c>
      <c r="AO112" s="160">
        <f t="shared" si="2"/>
        <v>0.88250000000000006</v>
      </c>
      <c r="AP112" s="160">
        <f t="shared" si="2"/>
        <v>0.88250000000000006</v>
      </c>
      <c r="AQ112" s="160">
        <f t="shared" ref="AQ112:AW112" si="3">MEDIAN($Z$14:$AE$14)</f>
        <v>0.88250000000000006</v>
      </c>
      <c r="AR112" s="160">
        <f t="shared" si="3"/>
        <v>0.88250000000000006</v>
      </c>
      <c r="AS112" s="160">
        <f t="shared" si="3"/>
        <v>0.88250000000000006</v>
      </c>
      <c r="AT112" s="160">
        <f t="shared" si="3"/>
        <v>0.88250000000000006</v>
      </c>
      <c r="AU112" s="160">
        <f t="shared" si="3"/>
        <v>0.88250000000000006</v>
      </c>
      <c r="AV112" s="160">
        <f t="shared" si="3"/>
        <v>0.88250000000000006</v>
      </c>
      <c r="AW112" s="160">
        <f t="shared" si="3"/>
        <v>0.88250000000000006</v>
      </c>
    </row>
    <row r="113" spans="1:49" x14ac:dyDescent="0.2">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row>
    <row r="114" spans="1:49" x14ac:dyDescent="0.2">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row>
    <row r="116" spans="1:49" x14ac:dyDescent="0.2">
      <c r="A116" s="361" t="s">
        <v>42</v>
      </c>
    </row>
    <row r="117" spans="1:49" x14ac:dyDescent="0.2">
      <c r="A117" s="136" t="s">
        <v>130</v>
      </c>
      <c r="B117" s="160">
        <f>MEDIAN($B$27:$G$27)</f>
        <v>0.82600000000000007</v>
      </c>
      <c r="C117" s="160">
        <f t="shared" ref="C117:R118" si="4">MEDIAN($B$27:$G$27)</f>
        <v>0.82600000000000007</v>
      </c>
      <c r="D117" s="160">
        <f t="shared" si="4"/>
        <v>0.82600000000000007</v>
      </c>
      <c r="E117" s="160">
        <f t="shared" si="4"/>
        <v>0.82600000000000007</v>
      </c>
      <c r="F117" s="160">
        <f t="shared" si="4"/>
        <v>0.82600000000000007</v>
      </c>
      <c r="G117" s="160">
        <f>MEDIAN($B$27:$G$27)</f>
        <v>0.82600000000000007</v>
      </c>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row>
    <row r="118" spans="1:49" x14ac:dyDescent="0.2">
      <c r="A118" s="136" t="s">
        <v>178</v>
      </c>
      <c r="B118" s="160"/>
      <c r="C118" s="160"/>
      <c r="D118" s="160"/>
      <c r="E118" s="160"/>
      <c r="F118" s="160"/>
      <c r="G118" s="160">
        <f t="shared" si="4"/>
        <v>0.82600000000000007</v>
      </c>
      <c r="H118" s="160">
        <f t="shared" si="4"/>
        <v>0.82600000000000007</v>
      </c>
      <c r="I118" s="160">
        <f t="shared" si="4"/>
        <v>0.82600000000000007</v>
      </c>
      <c r="J118" s="160">
        <f t="shared" si="4"/>
        <v>0.82600000000000007</v>
      </c>
      <c r="K118" s="160">
        <f t="shared" si="4"/>
        <v>0.82600000000000007</v>
      </c>
      <c r="L118" s="160">
        <f t="shared" si="4"/>
        <v>0.82600000000000007</v>
      </c>
      <c r="M118" s="160">
        <f t="shared" si="4"/>
        <v>0.82600000000000007</v>
      </c>
      <c r="N118" s="160">
        <f t="shared" si="4"/>
        <v>0.82600000000000007</v>
      </c>
      <c r="O118" s="160">
        <f t="shared" si="4"/>
        <v>0.82600000000000007</v>
      </c>
      <c r="P118" s="160">
        <f t="shared" si="4"/>
        <v>0.82600000000000007</v>
      </c>
      <c r="Q118" s="160">
        <f t="shared" si="4"/>
        <v>0.82600000000000007</v>
      </c>
      <c r="R118" s="160">
        <f t="shared" si="4"/>
        <v>0.82600000000000007</v>
      </c>
      <c r="S118" s="160">
        <f t="shared" ref="S118:AW118" si="5">MEDIAN($B$27:$G$27)</f>
        <v>0.82600000000000007</v>
      </c>
      <c r="T118" s="160">
        <f t="shared" si="5"/>
        <v>0.82600000000000007</v>
      </c>
      <c r="U118" s="160">
        <f t="shared" si="5"/>
        <v>0.82600000000000007</v>
      </c>
      <c r="V118" s="160">
        <f t="shared" si="5"/>
        <v>0.82600000000000007</v>
      </c>
      <c r="W118" s="160">
        <f t="shared" si="5"/>
        <v>0.82600000000000007</v>
      </c>
      <c r="X118" s="160">
        <f t="shared" si="5"/>
        <v>0.82600000000000007</v>
      </c>
      <c r="Y118" s="160">
        <f t="shared" si="5"/>
        <v>0.82600000000000007</v>
      </c>
      <c r="Z118" s="160">
        <f t="shared" si="5"/>
        <v>0.82600000000000007</v>
      </c>
      <c r="AA118" s="160">
        <f t="shared" si="5"/>
        <v>0.82600000000000007</v>
      </c>
      <c r="AB118" s="160">
        <f t="shared" si="5"/>
        <v>0.82600000000000007</v>
      </c>
      <c r="AC118" s="160">
        <f t="shared" si="5"/>
        <v>0.82600000000000007</v>
      </c>
      <c r="AD118" s="160">
        <f t="shared" si="5"/>
        <v>0.82600000000000007</v>
      </c>
      <c r="AE118" s="160">
        <f t="shared" si="5"/>
        <v>0.82600000000000007</v>
      </c>
      <c r="AF118" s="160">
        <f t="shared" si="5"/>
        <v>0.82600000000000007</v>
      </c>
      <c r="AG118" s="160">
        <f t="shared" si="5"/>
        <v>0.82600000000000007</v>
      </c>
      <c r="AH118" s="160">
        <f t="shared" si="5"/>
        <v>0.82600000000000007</v>
      </c>
      <c r="AI118" s="160">
        <f t="shared" si="5"/>
        <v>0.82600000000000007</v>
      </c>
      <c r="AJ118" s="160">
        <f t="shared" si="5"/>
        <v>0.82600000000000007</v>
      </c>
      <c r="AK118" s="160">
        <f t="shared" si="5"/>
        <v>0.82600000000000007</v>
      </c>
      <c r="AL118" s="160">
        <f t="shared" si="5"/>
        <v>0.82600000000000007</v>
      </c>
      <c r="AM118" s="160">
        <f t="shared" si="5"/>
        <v>0.82600000000000007</v>
      </c>
      <c r="AN118" s="160">
        <f t="shared" si="5"/>
        <v>0.82600000000000007</v>
      </c>
      <c r="AO118" s="160">
        <f t="shared" si="5"/>
        <v>0.82600000000000007</v>
      </c>
      <c r="AP118" s="160">
        <f t="shared" si="5"/>
        <v>0.82600000000000007</v>
      </c>
      <c r="AQ118" s="160">
        <f t="shared" si="5"/>
        <v>0.82600000000000007</v>
      </c>
      <c r="AR118" s="160">
        <f t="shared" si="5"/>
        <v>0.82600000000000007</v>
      </c>
      <c r="AS118" s="160">
        <f t="shared" si="5"/>
        <v>0.82600000000000007</v>
      </c>
      <c r="AT118" s="160">
        <f t="shared" si="5"/>
        <v>0.82600000000000007</v>
      </c>
      <c r="AU118" s="160">
        <f t="shared" si="5"/>
        <v>0.82600000000000007</v>
      </c>
      <c r="AV118" s="160">
        <f t="shared" si="5"/>
        <v>0.82600000000000007</v>
      </c>
      <c r="AW118" s="160">
        <f t="shared" si="5"/>
        <v>0.82600000000000007</v>
      </c>
    </row>
    <row r="119" spans="1:49" x14ac:dyDescent="0.2">
      <c r="A119" s="136" t="s">
        <v>303</v>
      </c>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row>
    <row r="120" spans="1:49" x14ac:dyDescent="0.2">
      <c r="A120" s="136" t="s">
        <v>304</v>
      </c>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row>
    <row r="121" spans="1:49"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row>
    <row r="122" spans="1:49"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row>
    <row r="124" spans="1:49" x14ac:dyDescent="0.2">
      <c r="A124" s="723" t="s">
        <v>750</v>
      </c>
      <c r="B124" s="657"/>
      <c r="G124" s="127"/>
    </row>
    <row r="125" spans="1:49" ht="102" x14ac:dyDescent="0.2">
      <c r="A125" s="727" t="s">
        <v>350</v>
      </c>
      <c r="B125" s="728" t="s">
        <v>684</v>
      </c>
      <c r="C125" s="728" t="s">
        <v>686</v>
      </c>
      <c r="D125" s="728" t="s">
        <v>687</v>
      </c>
      <c r="E125" s="724" t="s">
        <v>683</v>
      </c>
      <c r="F125" s="735" t="s">
        <v>234</v>
      </c>
      <c r="I125" s="736"/>
    </row>
    <row r="126" spans="1:49" ht="15" x14ac:dyDescent="0.25">
      <c r="A126" s="731" t="s">
        <v>354</v>
      </c>
      <c r="B126" s="731">
        <v>1067</v>
      </c>
      <c r="C126" s="732">
        <v>1064</v>
      </c>
      <c r="D126" s="732">
        <f t="shared" ref="D126:D138" si="6">B126-C126</f>
        <v>3</v>
      </c>
      <c r="E126" s="725">
        <f t="shared" ref="E126:E138" si="7">SUM($C126/$C$139)</f>
        <v>0.24203821656050956</v>
      </c>
      <c r="F126" s="726">
        <f>E126</f>
        <v>0.24203821656050956</v>
      </c>
      <c r="I126" s="734"/>
    </row>
    <row r="127" spans="1:49" ht="15" x14ac:dyDescent="0.25">
      <c r="A127" s="731" t="s">
        <v>353</v>
      </c>
      <c r="B127" s="731">
        <v>765</v>
      </c>
      <c r="C127" s="732">
        <v>761</v>
      </c>
      <c r="D127" s="732">
        <f t="shared" si="6"/>
        <v>4</v>
      </c>
      <c r="E127" s="725">
        <f t="shared" si="7"/>
        <v>0.17311191992720656</v>
      </c>
      <c r="F127" s="725">
        <f t="shared" ref="F127:F138" si="8">SUM(F126+E127)</f>
        <v>0.41515013648771615</v>
      </c>
      <c r="I127" s="734"/>
    </row>
    <row r="128" spans="1:49" ht="15" x14ac:dyDescent="0.25">
      <c r="A128" s="731" t="s">
        <v>366</v>
      </c>
      <c r="B128" s="731">
        <v>851</v>
      </c>
      <c r="C128" s="732">
        <v>634</v>
      </c>
      <c r="D128" s="732">
        <f t="shared" si="6"/>
        <v>217</v>
      </c>
      <c r="E128" s="725">
        <f t="shared" si="7"/>
        <v>0.14422202001819837</v>
      </c>
      <c r="F128" s="725">
        <f t="shared" si="8"/>
        <v>0.55937215650591454</v>
      </c>
      <c r="I128" s="734"/>
    </row>
    <row r="129" spans="1:9" ht="15" x14ac:dyDescent="0.25">
      <c r="A129" s="731" t="s">
        <v>361</v>
      </c>
      <c r="B129" s="731">
        <v>537</v>
      </c>
      <c r="C129" s="732">
        <v>521</v>
      </c>
      <c r="D129" s="732">
        <f t="shared" si="6"/>
        <v>16</v>
      </c>
      <c r="E129" s="725">
        <f t="shared" si="7"/>
        <v>0.11851683348498634</v>
      </c>
      <c r="F129" s="725">
        <f t="shared" si="8"/>
        <v>0.67788898999090086</v>
      </c>
      <c r="I129" s="734"/>
    </row>
    <row r="130" spans="1:9" ht="15" x14ac:dyDescent="0.25">
      <c r="A130" s="731" t="s">
        <v>358</v>
      </c>
      <c r="B130" s="731">
        <v>508</v>
      </c>
      <c r="C130" s="732">
        <v>426</v>
      </c>
      <c r="D130" s="732">
        <f t="shared" si="6"/>
        <v>82</v>
      </c>
      <c r="E130" s="725">
        <f t="shared" si="7"/>
        <v>9.690627843494086E-2</v>
      </c>
      <c r="F130" s="725">
        <f t="shared" si="8"/>
        <v>0.77479526842584168</v>
      </c>
      <c r="I130" s="734"/>
    </row>
    <row r="131" spans="1:9" ht="15" x14ac:dyDescent="0.25">
      <c r="A131" s="731" t="s">
        <v>681</v>
      </c>
      <c r="B131" s="731">
        <v>300</v>
      </c>
      <c r="C131" s="732">
        <v>272</v>
      </c>
      <c r="D131" s="732">
        <f t="shared" si="6"/>
        <v>28</v>
      </c>
      <c r="E131" s="725">
        <f t="shared" si="7"/>
        <v>6.1874431301182892E-2</v>
      </c>
      <c r="F131" s="725">
        <f t="shared" si="8"/>
        <v>0.83666969972702454</v>
      </c>
      <c r="I131" s="734"/>
    </row>
    <row r="132" spans="1:9" ht="15" x14ac:dyDescent="0.25">
      <c r="A132" s="731" t="s">
        <v>360</v>
      </c>
      <c r="B132" s="731">
        <v>185</v>
      </c>
      <c r="C132" s="732">
        <v>166</v>
      </c>
      <c r="D132" s="732">
        <f t="shared" si="6"/>
        <v>19</v>
      </c>
      <c r="E132" s="725">
        <f t="shared" si="7"/>
        <v>3.7761601455868973E-2</v>
      </c>
      <c r="F132" s="725">
        <f t="shared" si="8"/>
        <v>0.87443130118289347</v>
      </c>
      <c r="I132" s="734"/>
    </row>
    <row r="133" spans="1:9" ht="15" x14ac:dyDescent="0.25">
      <c r="A133" s="731" t="s">
        <v>363</v>
      </c>
      <c r="B133" s="731">
        <v>184</v>
      </c>
      <c r="C133" s="732">
        <v>166</v>
      </c>
      <c r="D133" s="732">
        <f t="shared" si="6"/>
        <v>18</v>
      </c>
      <c r="E133" s="725">
        <f t="shared" si="7"/>
        <v>3.7761601455868973E-2</v>
      </c>
      <c r="F133" s="725">
        <f t="shared" si="8"/>
        <v>0.9121929026387624</v>
      </c>
      <c r="I133" s="734"/>
    </row>
    <row r="134" spans="1:9" ht="15" x14ac:dyDescent="0.25">
      <c r="A134" s="731" t="s">
        <v>362</v>
      </c>
      <c r="B134" s="731">
        <v>160</v>
      </c>
      <c r="C134" s="732">
        <v>132</v>
      </c>
      <c r="D134" s="732">
        <f t="shared" si="6"/>
        <v>28</v>
      </c>
      <c r="E134" s="725">
        <f t="shared" si="7"/>
        <v>3.0027297543221108E-2</v>
      </c>
      <c r="F134" s="725">
        <f t="shared" si="8"/>
        <v>0.94222020018198349</v>
      </c>
      <c r="I134" s="734"/>
    </row>
    <row r="135" spans="1:9" ht="15" x14ac:dyDescent="0.25">
      <c r="A135" s="731" t="s">
        <v>359</v>
      </c>
      <c r="B135" s="731">
        <v>175</v>
      </c>
      <c r="C135" s="732">
        <v>128</v>
      </c>
      <c r="D135" s="732">
        <f t="shared" si="6"/>
        <v>47</v>
      </c>
      <c r="E135" s="725">
        <f t="shared" si="7"/>
        <v>2.9117379435850774E-2</v>
      </c>
      <c r="F135" s="725">
        <f t="shared" si="8"/>
        <v>0.97133757961783429</v>
      </c>
      <c r="I135" s="734"/>
    </row>
    <row r="136" spans="1:9" ht="15" x14ac:dyDescent="0.25">
      <c r="A136" s="731" t="s">
        <v>364</v>
      </c>
      <c r="B136" s="731">
        <v>74</v>
      </c>
      <c r="C136" s="732">
        <v>68</v>
      </c>
      <c r="D136" s="732">
        <f t="shared" si="6"/>
        <v>6</v>
      </c>
      <c r="E136" s="725">
        <f t="shared" si="7"/>
        <v>1.5468607825295723E-2</v>
      </c>
      <c r="F136" s="725">
        <f t="shared" si="8"/>
        <v>0.98680618744312998</v>
      </c>
      <c r="I136" s="734"/>
    </row>
    <row r="137" spans="1:9" ht="15" x14ac:dyDescent="0.25">
      <c r="A137" s="731" t="s">
        <v>355</v>
      </c>
      <c r="B137" s="731">
        <v>30</v>
      </c>
      <c r="C137" s="732">
        <v>30</v>
      </c>
      <c r="D137" s="732">
        <f t="shared" si="6"/>
        <v>0</v>
      </c>
      <c r="E137" s="725">
        <f t="shared" si="7"/>
        <v>6.8243858052775249E-3</v>
      </c>
      <c r="F137" s="725">
        <f t="shared" si="8"/>
        <v>0.99363057324840753</v>
      </c>
      <c r="I137" s="734"/>
    </row>
    <row r="138" spans="1:9" ht="15" x14ac:dyDescent="0.25">
      <c r="A138" s="731" t="s">
        <v>356</v>
      </c>
      <c r="B138" s="731">
        <v>29</v>
      </c>
      <c r="C138" s="732">
        <v>28</v>
      </c>
      <c r="D138" s="732">
        <f t="shared" si="6"/>
        <v>1</v>
      </c>
      <c r="E138" s="725">
        <f t="shared" si="7"/>
        <v>6.369426751592357E-3</v>
      </c>
      <c r="F138" s="725">
        <f t="shared" si="8"/>
        <v>0.99999999999999989</v>
      </c>
      <c r="I138" s="734"/>
    </row>
    <row r="139" spans="1:9" ht="15" x14ac:dyDescent="0.25">
      <c r="A139" s="729" t="s">
        <v>682</v>
      </c>
      <c r="B139" s="730">
        <f>SUM(B126:B138)</f>
        <v>4865</v>
      </c>
      <c r="C139" s="730">
        <f>SUM(C126:C138)</f>
        <v>4396</v>
      </c>
      <c r="D139" s="730">
        <f>SUM(D126:D138)</f>
        <v>469</v>
      </c>
      <c r="I139" s="734"/>
    </row>
    <row r="141" spans="1:9" x14ac:dyDescent="0.2">
      <c r="A141" s="723" t="s">
        <v>749</v>
      </c>
      <c r="B141" s="657"/>
    </row>
    <row r="142" spans="1:9" ht="102" x14ac:dyDescent="0.2">
      <c r="A142" s="727" t="s">
        <v>350</v>
      </c>
      <c r="B142" s="728" t="s">
        <v>687</v>
      </c>
      <c r="C142" s="724" t="s">
        <v>683</v>
      </c>
      <c r="D142" s="735" t="s">
        <v>234</v>
      </c>
    </row>
    <row r="143" spans="1:9" ht="15" x14ac:dyDescent="0.25">
      <c r="A143" s="731" t="s">
        <v>366</v>
      </c>
      <c r="B143" s="732">
        <v>217</v>
      </c>
      <c r="C143" s="725">
        <f t="shared" ref="C143:C155" si="9">SUM($B143/$B$156)</f>
        <v>0.46268656716417911</v>
      </c>
      <c r="D143" s="726">
        <f>C143</f>
        <v>0.46268656716417911</v>
      </c>
    </row>
    <row r="144" spans="1:9" ht="15" x14ac:dyDescent="0.25">
      <c r="A144" s="731" t="s">
        <v>358</v>
      </c>
      <c r="B144" s="732">
        <v>82</v>
      </c>
      <c r="C144" s="725">
        <f t="shared" si="9"/>
        <v>0.17484008528784648</v>
      </c>
      <c r="D144" s="725">
        <f>SUM(D143+C144)</f>
        <v>0.63752665245202556</v>
      </c>
    </row>
    <row r="145" spans="1:4" ht="15" x14ac:dyDescent="0.25">
      <c r="A145" s="731" t="s">
        <v>359</v>
      </c>
      <c r="B145" s="732">
        <v>47</v>
      </c>
      <c r="C145" s="725">
        <f t="shared" si="9"/>
        <v>0.10021321961620469</v>
      </c>
      <c r="D145" s="725">
        <f t="shared" ref="D145:D155" si="10">SUM(D144+C145)</f>
        <v>0.73773987206823022</v>
      </c>
    </row>
    <row r="146" spans="1:4" ht="15" x14ac:dyDescent="0.25">
      <c r="A146" s="731" t="s">
        <v>681</v>
      </c>
      <c r="B146" s="732">
        <v>28</v>
      </c>
      <c r="C146" s="725">
        <f t="shared" si="9"/>
        <v>5.9701492537313432E-2</v>
      </c>
      <c r="D146" s="725">
        <f t="shared" si="10"/>
        <v>0.7974413646055436</v>
      </c>
    </row>
    <row r="147" spans="1:4" ht="15" x14ac:dyDescent="0.25">
      <c r="A147" s="731" t="s">
        <v>362</v>
      </c>
      <c r="B147" s="732">
        <v>28</v>
      </c>
      <c r="C147" s="725">
        <f t="shared" si="9"/>
        <v>5.9701492537313432E-2</v>
      </c>
      <c r="D147" s="725">
        <f t="shared" si="10"/>
        <v>0.85714285714285698</v>
      </c>
    </row>
    <row r="148" spans="1:4" ht="15" x14ac:dyDescent="0.25">
      <c r="A148" s="731" t="s">
        <v>360</v>
      </c>
      <c r="B148" s="732">
        <v>19</v>
      </c>
      <c r="C148" s="725">
        <f t="shared" si="9"/>
        <v>4.0511727078891259E-2</v>
      </c>
      <c r="D148" s="725">
        <f t="shared" si="10"/>
        <v>0.89765458422174826</v>
      </c>
    </row>
    <row r="149" spans="1:4" ht="15" x14ac:dyDescent="0.25">
      <c r="A149" s="731" t="s">
        <v>363</v>
      </c>
      <c r="B149" s="732">
        <v>18</v>
      </c>
      <c r="C149" s="725">
        <f t="shared" si="9"/>
        <v>3.8379530916844352E-2</v>
      </c>
      <c r="D149" s="725">
        <f t="shared" si="10"/>
        <v>0.93603411513859258</v>
      </c>
    </row>
    <row r="150" spans="1:4" ht="15" x14ac:dyDescent="0.25">
      <c r="A150" s="731" t="s">
        <v>361</v>
      </c>
      <c r="B150" s="732">
        <v>16</v>
      </c>
      <c r="C150" s="725">
        <f t="shared" si="9"/>
        <v>3.4115138592750532E-2</v>
      </c>
      <c r="D150" s="725">
        <f t="shared" si="10"/>
        <v>0.97014925373134309</v>
      </c>
    </row>
    <row r="151" spans="1:4" ht="15" x14ac:dyDescent="0.25">
      <c r="A151" s="731" t="s">
        <v>364</v>
      </c>
      <c r="B151" s="732">
        <v>6</v>
      </c>
      <c r="C151" s="725">
        <f t="shared" si="9"/>
        <v>1.279317697228145E-2</v>
      </c>
      <c r="D151" s="725">
        <f t="shared" si="10"/>
        <v>0.98294243070362453</v>
      </c>
    </row>
    <row r="152" spans="1:4" ht="15" x14ac:dyDescent="0.25">
      <c r="A152" s="731" t="s">
        <v>353</v>
      </c>
      <c r="B152" s="732">
        <v>4</v>
      </c>
      <c r="C152" s="725">
        <f t="shared" si="9"/>
        <v>8.5287846481876331E-3</v>
      </c>
      <c r="D152" s="725">
        <f t="shared" si="10"/>
        <v>0.99147121535181215</v>
      </c>
    </row>
    <row r="153" spans="1:4" ht="15" x14ac:dyDescent="0.25">
      <c r="A153" s="731" t="s">
        <v>354</v>
      </c>
      <c r="B153" s="732">
        <v>3</v>
      </c>
      <c r="C153" s="725">
        <f t="shared" si="9"/>
        <v>6.3965884861407248E-3</v>
      </c>
      <c r="D153" s="725">
        <f t="shared" si="10"/>
        <v>0.99786780383795293</v>
      </c>
    </row>
    <row r="154" spans="1:4" ht="15" x14ac:dyDescent="0.25">
      <c r="A154" s="731" t="s">
        <v>356</v>
      </c>
      <c r="B154" s="732">
        <v>1</v>
      </c>
      <c r="C154" s="725">
        <f t="shared" si="9"/>
        <v>2.1321961620469083E-3</v>
      </c>
      <c r="D154" s="725">
        <f t="shared" si="10"/>
        <v>0.99999999999999989</v>
      </c>
    </row>
    <row r="155" spans="1:4" ht="15" x14ac:dyDescent="0.25">
      <c r="A155" s="731" t="s">
        <v>355</v>
      </c>
      <c r="B155" s="732">
        <v>0</v>
      </c>
      <c r="C155" s="725">
        <f t="shared" si="9"/>
        <v>0</v>
      </c>
      <c r="D155" s="725">
        <f t="shared" si="10"/>
        <v>0.99999999999999989</v>
      </c>
    </row>
    <row r="156" spans="1:4" x14ac:dyDescent="0.2">
      <c r="A156" s="729" t="s">
        <v>682</v>
      </c>
      <c r="B156" s="730">
        <f>SUM(B143:B155)</f>
        <v>469</v>
      </c>
    </row>
  </sheetData>
  <sortState ref="A143:B155">
    <sortCondition descending="1" ref="B143:B155"/>
  </sortState>
  <mergeCells count="1">
    <mergeCell ref="N80:Y81"/>
  </mergeCells>
  <phoneticPr fontId="0" type="noConversion"/>
  <conditionalFormatting sqref="B14:Y27 AC25:AW25">
    <cfRule type="cellIs" dxfId="12" priority="22" operator="lessThan">
      <formula>0.9495</formula>
    </cfRule>
  </conditionalFormatting>
  <conditionalFormatting sqref="Z14:AW16 Z19:AW24 AA17 Z25 Z26:AW27 Z18:AA18 AC17 AF17:AW17 AE18:AW18">
    <cfRule type="cellIs" dxfId="11" priority="20" operator="lessThan">
      <formula>0.9495</formula>
    </cfRule>
  </conditionalFormatting>
  <conditionalFormatting sqref="Z17">
    <cfRule type="cellIs" dxfId="10" priority="19" operator="lessThan">
      <formula>0.9495</formula>
    </cfRule>
  </conditionalFormatting>
  <conditionalFormatting sqref="AA25">
    <cfRule type="cellIs" dxfId="9" priority="17" operator="lessThan">
      <formula>0.9495</formula>
    </cfRule>
  </conditionalFormatting>
  <conditionalFormatting sqref="AB17">
    <cfRule type="cellIs" dxfId="8" priority="14" operator="lessThan">
      <formula>0.9495</formula>
    </cfRule>
  </conditionalFormatting>
  <conditionalFormatting sqref="AB18">
    <cfRule type="cellIs" dxfId="7" priority="13" operator="lessThan">
      <formula>0.9495</formula>
    </cfRule>
  </conditionalFormatting>
  <conditionalFormatting sqref="AB25">
    <cfRule type="cellIs" dxfId="6" priority="10" operator="lessThan">
      <formula>0.9495</formula>
    </cfRule>
  </conditionalFormatting>
  <conditionalFormatting sqref="AD18">
    <cfRule type="cellIs" dxfId="5" priority="4" operator="lessThan">
      <formula>0.9495</formula>
    </cfRule>
  </conditionalFormatting>
  <conditionalFormatting sqref="AC18">
    <cfRule type="cellIs" dxfId="4" priority="7" operator="lessThan">
      <formula>0.9495</formula>
    </cfRule>
  </conditionalFormatting>
  <conditionalFormatting sqref="AD17:AE17">
    <cfRule type="cellIs" dxfId="3" priority="6" operator="lessThan">
      <formula>0.9495</formula>
    </cfRule>
  </conditionalFormatting>
  <conditionalFormatting sqref="AF17:AH17 AH18">
    <cfRule type="cellIs" dxfId="2" priority="3" operator="lessThan">
      <formula>0.9495</formula>
    </cfRule>
  </conditionalFormatting>
  <conditionalFormatting sqref="AF18">
    <cfRule type="cellIs" dxfId="1" priority="2" operator="lessThan">
      <formula>0.9495</formula>
    </cfRule>
  </conditionalFormatting>
  <conditionalFormatting sqref="AF18">
    <cfRule type="cellIs" dxfId="0"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Q36"/>
  <sheetViews>
    <sheetView workbookViewId="0"/>
  </sheetViews>
  <sheetFormatPr defaultColWidth="9.140625" defaultRowHeight="12.75" x14ac:dyDescent="0.2"/>
  <cols>
    <col min="1" max="1" width="26.85546875" style="107" customWidth="1"/>
    <col min="2" max="2" width="9.85546875" style="107" bestFit="1" customWidth="1"/>
    <col min="3" max="16384" width="9.140625" style="107"/>
  </cols>
  <sheetData>
    <row r="1" spans="1:17" x14ac:dyDescent="0.2">
      <c r="A1" s="106" t="s">
        <v>345</v>
      </c>
    </row>
    <row r="2" spans="1:17" x14ac:dyDescent="0.2">
      <c r="A2" s="106"/>
    </row>
    <row r="3" spans="1:17" x14ac:dyDescent="0.2">
      <c r="A3" s="127" t="s">
        <v>711</v>
      </c>
      <c r="B3" s="129" t="str">
        <f>IF(HLOOKUP(MAX(B9:Q9),A9:Q11,3,0)&gt;HLOOKUP(MAX(B9:Q9),A9:Q11,2,0),"Better", "Worse")</f>
        <v>Worse</v>
      </c>
      <c r="C3" s="112" t="b">
        <f>IF(HLOOKUP(MAX(B9:Q9),A9:Q11,3,0)=HLOOKUP(MAX(B9:Q9),A9:Q11,2,0),"Equal")</f>
        <v>0</v>
      </c>
    </row>
    <row r="4" spans="1:17" x14ac:dyDescent="0.2">
      <c r="A4" s="127" t="s">
        <v>712</v>
      </c>
      <c r="B4" s="129" t="str">
        <f>IF(HLOOKUP(MAX(B14:Q14),A14:Q16,3,0)&gt;HLOOKUP(MAX(B14:Q14),A14:Q16,2,0),"Better", "Worse")</f>
        <v>Better</v>
      </c>
      <c r="C4" s="112" t="b">
        <f>IF(HLOOKUP(MAX(B14:Q14),A14:Q16,3,0)=HLOOKUP(MAX(B14:Q14),A14:Q16,2,0),"Equal")</f>
        <v>0</v>
      </c>
    </row>
    <row r="5" spans="1:17" x14ac:dyDescent="0.2">
      <c r="A5" s="127" t="s">
        <v>144</v>
      </c>
      <c r="B5" s="128">
        <f>MAX(B9:Q9)</f>
        <v>42979</v>
      </c>
    </row>
    <row r="6" spans="1:17" x14ac:dyDescent="0.2">
      <c r="A6" s="127" t="s">
        <v>206</v>
      </c>
      <c r="B6" s="128" t="s">
        <v>214</v>
      </c>
    </row>
    <row r="8" spans="1:17" x14ac:dyDescent="0.2">
      <c r="A8" s="127" t="s">
        <v>351</v>
      </c>
      <c r="J8" s="145"/>
      <c r="K8" s="145"/>
      <c r="L8" s="145"/>
      <c r="M8" s="145"/>
      <c r="N8" s="145"/>
    </row>
    <row r="9" spans="1:17" x14ac:dyDescent="0.2">
      <c r="A9" s="136"/>
      <c r="B9" s="157">
        <v>42156</v>
      </c>
      <c r="C9" s="157">
        <v>42248</v>
      </c>
      <c r="D9" s="157">
        <v>42339</v>
      </c>
      <c r="E9" s="157">
        <v>42430</v>
      </c>
      <c r="F9" s="157">
        <v>42522</v>
      </c>
      <c r="G9" s="157">
        <v>42614</v>
      </c>
      <c r="H9" s="157">
        <v>42705</v>
      </c>
      <c r="I9" s="157">
        <v>42795</v>
      </c>
      <c r="J9" s="597">
        <v>42887</v>
      </c>
      <c r="K9" s="597">
        <v>42979</v>
      </c>
      <c r="L9" s="157"/>
      <c r="M9" s="157"/>
      <c r="N9" s="157"/>
      <c r="O9" s="157"/>
      <c r="P9" s="157"/>
      <c r="Q9" s="157"/>
    </row>
    <row r="10" spans="1:17" x14ac:dyDescent="0.2">
      <c r="A10" s="158" t="s">
        <v>369</v>
      </c>
      <c r="B10" s="159">
        <v>0.96299999999999997</v>
      </c>
      <c r="C10" s="159">
        <v>0.95299999999999996</v>
      </c>
      <c r="D10" s="159">
        <v>0.96399999999999997</v>
      </c>
      <c r="E10" s="160">
        <v>0.94899999999999995</v>
      </c>
      <c r="F10" s="155">
        <v>0.95699999999999996</v>
      </c>
      <c r="G10" s="160">
        <v>0.94299999999999995</v>
      </c>
      <c r="H10" s="159">
        <v>0.94099999999999995</v>
      </c>
      <c r="I10" s="159">
        <v>0.94899999999999995</v>
      </c>
      <c r="J10" s="159">
        <v>0.94799999999999995</v>
      </c>
      <c r="K10" s="159">
        <v>0.94499999999999995</v>
      </c>
      <c r="L10" s="159"/>
      <c r="M10" s="160"/>
      <c r="N10" s="155"/>
      <c r="O10" s="160"/>
      <c r="P10" s="159"/>
      <c r="Q10" s="159"/>
    </row>
    <row r="11" spans="1:17" x14ac:dyDescent="0.2">
      <c r="A11" s="158" t="s">
        <v>370</v>
      </c>
      <c r="B11" s="159">
        <v>0.96499999999999997</v>
      </c>
      <c r="C11" s="159">
        <v>0.97399999999999998</v>
      </c>
      <c r="D11" s="159">
        <v>0.96599999999999997</v>
      </c>
      <c r="E11" s="159">
        <v>0.94799999999999995</v>
      </c>
      <c r="F11" s="159">
        <v>0.94599999999999995</v>
      </c>
      <c r="G11" s="159">
        <v>0.93100000000000005</v>
      </c>
      <c r="H11" s="159">
        <v>0.93200000000000005</v>
      </c>
      <c r="I11" s="159">
        <v>0.93600000000000005</v>
      </c>
      <c r="J11" s="159">
        <v>0.93799999999999994</v>
      </c>
      <c r="K11" s="159">
        <v>0.92</v>
      </c>
      <c r="L11" s="159"/>
      <c r="M11" s="159"/>
      <c r="N11" s="159"/>
      <c r="O11" s="159"/>
      <c r="P11" s="159"/>
      <c r="Q11" s="159"/>
    </row>
    <row r="13" spans="1:17" x14ac:dyDescent="0.2">
      <c r="A13" s="127" t="s">
        <v>367</v>
      </c>
    </row>
    <row r="14" spans="1:17" x14ac:dyDescent="0.2">
      <c r="A14" s="158"/>
      <c r="B14" s="157">
        <v>42156</v>
      </c>
      <c r="C14" s="157">
        <v>42248</v>
      </c>
      <c r="D14" s="157">
        <v>42339</v>
      </c>
      <c r="E14" s="157">
        <v>42430</v>
      </c>
      <c r="F14" s="157">
        <v>42522</v>
      </c>
      <c r="G14" s="157">
        <v>42614</v>
      </c>
      <c r="H14" s="157">
        <v>42705</v>
      </c>
      <c r="I14" s="157">
        <v>42795</v>
      </c>
      <c r="J14" s="597">
        <v>42887</v>
      </c>
      <c r="K14" s="597">
        <v>42979</v>
      </c>
      <c r="L14" s="157"/>
      <c r="M14" s="157"/>
      <c r="N14" s="157"/>
      <c r="O14" s="157"/>
      <c r="P14" s="157"/>
      <c r="Q14" s="157"/>
    </row>
    <row r="15" spans="1:17" x14ac:dyDescent="0.2">
      <c r="A15" s="158" t="s">
        <v>369</v>
      </c>
      <c r="B15" s="159">
        <v>0.92100000000000004</v>
      </c>
      <c r="C15" s="159">
        <v>0.90200000000000002</v>
      </c>
      <c r="D15" s="159">
        <v>0.90800000000000003</v>
      </c>
      <c r="E15" s="159">
        <v>0.90200000000000002</v>
      </c>
      <c r="F15" s="159">
        <v>0.89800000000000002</v>
      </c>
      <c r="G15" s="159">
        <v>0.871</v>
      </c>
      <c r="H15" s="159">
        <v>0.875</v>
      </c>
      <c r="I15" s="159">
        <v>0.88100000000000001</v>
      </c>
      <c r="J15" s="159">
        <v>0.86899999999999999</v>
      </c>
      <c r="K15" s="159">
        <v>0.872</v>
      </c>
      <c r="L15" s="159"/>
      <c r="M15" s="159"/>
      <c r="N15" s="159"/>
      <c r="O15" s="159"/>
      <c r="P15" s="159"/>
      <c r="Q15" s="159"/>
    </row>
    <row r="16" spans="1:17" x14ac:dyDescent="0.2">
      <c r="A16" s="158" t="s">
        <v>370</v>
      </c>
      <c r="B16" s="159">
        <v>0.93899999999999995</v>
      </c>
      <c r="C16" s="159">
        <v>0.94199999999999995</v>
      </c>
      <c r="D16" s="159">
        <v>0.93300000000000005</v>
      </c>
      <c r="E16" s="159">
        <v>0.92</v>
      </c>
      <c r="F16" s="159">
        <v>0.93</v>
      </c>
      <c r="G16" s="159">
        <v>0.88200000000000001</v>
      </c>
      <c r="H16" s="159">
        <v>0.83799999999999997</v>
      </c>
      <c r="I16" s="159">
        <v>0.90600000000000003</v>
      </c>
      <c r="J16" s="159">
        <v>0.88300000000000001</v>
      </c>
      <c r="K16" s="159">
        <v>0.877</v>
      </c>
      <c r="L16" s="159"/>
      <c r="M16" s="159"/>
      <c r="N16" s="159"/>
      <c r="O16" s="159"/>
      <c r="P16" s="159"/>
      <c r="Q16" s="159"/>
    </row>
    <row r="17" spans="1:11" x14ac:dyDescent="0.2">
      <c r="A17" s="145"/>
      <c r="B17" s="145"/>
      <c r="C17" s="145"/>
      <c r="D17" s="145"/>
      <c r="E17" s="145"/>
      <c r="F17" s="145"/>
      <c r="G17" s="145"/>
      <c r="H17" s="145"/>
      <c r="I17" s="145"/>
      <c r="J17" s="145"/>
      <c r="K17" s="145"/>
    </row>
    <row r="36" spans="15:15" x14ac:dyDescent="0.2">
      <c r="O36"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T134"/>
  <sheetViews>
    <sheetView zoomScaleNormal="100" workbookViewId="0"/>
  </sheetViews>
  <sheetFormatPr defaultColWidth="9.140625" defaultRowHeight="12.75" x14ac:dyDescent="0.2"/>
  <cols>
    <col min="1" max="1" width="19.5703125" style="107" bestFit="1" customWidth="1"/>
    <col min="2" max="2" width="10.7109375" style="107" customWidth="1"/>
    <col min="3" max="3" width="12.7109375" style="147" customWidth="1"/>
    <col min="4" max="4" width="12.85546875" style="107" bestFit="1" customWidth="1"/>
    <col min="5" max="5" width="12.28515625" style="107" bestFit="1" customWidth="1"/>
    <col min="6" max="6" width="9.5703125" style="107" bestFit="1" customWidth="1"/>
    <col min="7" max="7" width="7.7109375" style="107" bestFit="1" customWidth="1"/>
    <col min="8" max="8" width="9.5703125" style="107" bestFit="1" customWidth="1"/>
    <col min="9" max="9" width="9.28515625" style="107" bestFit="1" customWidth="1"/>
    <col min="10" max="10" width="9.5703125" style="107" customWidth="1"/>
    <col min="11" max="11" width="12.5703125" style="107" bestFit="1" customWidth="1"/>
    <col min="12" max="16384" width="9.140625" style="107"/>
  </cols>
  <sheetData>
    <row r="1" spans="1:20" x14ac:dyDescent="0.2">
      <c r="A1" s="283" t="s">
        <v>345</v>
      </c>
    </row>
    <row r="2" spans="1:20" x14ac:dyDescent="0.2">
      <c r="A2" s="106"/>
    </row>
    <row r="3" spans="1:20" x14ac:dyDescent="0.2">
      <c r="A3" s="108" t="s">
        <v>436</v>
      </c>
      <c r="B3" s="145" t="s">
        <v>690</v>
      </c>
    </row>
    <row r="4" spans="1:20" x14ac:dyDescent="0.2">
      <c r="A4" s="108" t="s">
        <v>143</v>
      </c>
      <c r="B4" s="175">
        <f>VLOOKUP(MAX(A12:A134),A12:K134,10,0)</f>
        <v>1.7571831579921873</v>
      </c>
      <c r="D4" s="374"/>
    </row>
    <row r="5" spans="1:20" x14ac:dyDescent="0.2">
      <c r="A5" s="108" t="s">
        <v>118</v>
      </c>
      <c r="B5" s="128">
        <f>MAX(A12:A134)</f>
        <v>43070</v>
      </c>
    </row>
    <row r="6" spans="1:20" x14ac:dyDescent="0.2">
      <c r="A6" s="108" t="s">
        <v>195</v>
      </c>
      <c r="B6" s="428" t="s">
        <v>180</v>
      </c>
    </row>
    <row r="7" spans="1:20" x14ac:dyDescent="0.2">
      <c r="A7" s="108" t="s">
        <v>438</v>
      </c>
      <c r="B7" s="162" t="s">
        <v>135</v>
      </c>
    </row>
    <row r="8" spans="1:20" x14ac:dyDescent="0.2">
      <c r="A8" s="127" t="s">
        <v>710</v>
      </c>
      <c r="B8" s="129" t="s">
        <v>77</v>
      </c>
    </row>
    <row r="9" spans="1:20" x14ac:dyDescent="0.2">
      <c r="A9" s="127" t="s">
        <v>144</v>
      </c>
      <c r="B9" s="129" t="s">
        <v>77</v>
      </c>
      <c r="M9" s="291" t="s">
        <v>187</v>
      </c>
    </row>
    <row r="10" spans="1:20" x14ac:dyDescent="0.2">
      <c r="A10" s="124"/>
    </row>
    <row r="11" spans="1:20" ht="51" x14ac:dyDescent="0.2">
      <c r="A11" s="125"/>
      <c r="B11" s="173" t="s">
        <v>769</v>
      </c>
      <c r="C11" s="525" t="s">
        <v>770</v>
      </c>
      <c r="D11" s="173" t="s">
        <v>307</v>
      </c>
      <c r="E11" s="173" t="s">
        <v>24</v>
      </c>
      <c r="F11" s="173" t="s">
        <v>178</v>
      </c>
      <c r="G11" s="173" t="s">
        <v>179</v>
      </c>
      <c r="H11" s="173" t="s">
        <v>25</v>
      </c>
      <c r="I11" s="173" t="s">
        <v>305</v>
      </c>
      <c r="J11" s="173" t="s">
        <v>306</v>
      </c>
      <c r="K11" s="173" t="s">
        <v>26</v>
      </c>
    </row>
    <row r="12" spans="1:20" s="180" customFormat="1" x14ac:dyDescent="0.2">
      <c r="A12" s="174">
        <v>39814</v>
      </c>
      <c r="B12" s="20">
        <v>19</v>
      </c>
      <c r="C12" s="526">
        <v>9381</v>
      </c>
      <c r="D12" s="176">
        <f t="shared" ref="D12:D75" si="0">IF(B12="",#N/A,B12/C12*1000)</f>
        <v>2.0253704295917281</v>
      </c>
      <c r="E12" s="176">
        <f>MEDIAN($D$12:$D$23)</f>
        <v>1.907061376715308</v>
      </c>
      <c r="F12" s="177"/>
      <c r="G12" s="177"/>
      <c r="H12" s="177"/>
      <c r="I12" s="177"/>
      <c r="J12" s="177"/>
      <c r="K12" s="177"/>
      <c r="L12" s="178"/>
      <c r="M12" s="179"/>
      <c r="N12" s="179"/>
      <c r="O12" s="179"/>
      <c r="P12" s="179"/>
      <c r="Q12" s="179"/>
      <c r="R12" s="179"/>
      <c r="S12" s="179"/>
      <c r="T12" s="179"/>
    </row>
    <row r="13" spans="1:20" s="180" customFormat="1" x14ac:dyDescent="0.2">
      <c r="A13" s="174">
        <v>39845</v>
      </c>
      <c r="B13" s="20">
        <v>13</v>
      </c>
      <c r="C13" s="526">
        <v>8781</v>
      </c>
      <c r="D13" s="176">
        <f t="shared" si="0"/>
        <v>1.4804691948525224</v>
      </c>
      <c r="E13" s="176">
        <f t="shared" ref="E13:E23" si="1">MEDIAN($D$12:$D$23)</f>
        <v>1.907061376715308</v>
      </c>
      <c r="F13" s="177"/>
      <c r="G13" s="177"/>
      <c r="H13" s="177"/>
      <c r="I13" s="177"/>
      <c r="J13" s="177"/>
      <c r="K13" s="177"/>
      <c r="L13" s="178"/>
      <c r="M13" s="179"/>
      <c r="N13" s="179"/>
      <c r="O13" s="179"/>
      <c r="P13" s="179"/>
      <c r="Q13" s="179"/>
      <c r="R13" s="179"/>
      <c r="S13" s="179"/>
      <c r="T13" s="179"/>
    </row>
    <row r="14" spans="1:20" s="180" customFormat="1" x14ac:dyDescent="0.2">
      <c r="A14" s="174">
        <v>39873</v>
      </c>
      <c r="B14" s="20">
        <v>24</v>
      </c>
      <c r="C14" s="526">
        <v>9704</v>
      </c>
      <c r="D14" s="176">
        <f t="shared" si="0"/>
        <v>2.4732069249793898</v>
      </c>
      <c r="E14" s="176">
        <f t="shared" si="1"/>
        <v>1.907061376715308</v>
      </c>
      <c r="F14" s="177"/>
      <c r="G14" s="177"/>
      <c r="H14" s="177"/>
      <c r="I14" s="177"/>
      <c r="J14" s="177"/>
      <c r="K14" s="177"/>
      <c r="L14" s="178"/>
      <c r="M14" s="179"/>
      <c r="N14" s="179"/>
      <c r="O14" s="179"/>
      <c r="P14" s="179"/>
      <c r="Q14" s="179"/>
      <c r="R14" s="179"/>
      <c r="S14" s="179"/>
      <c r="T14" s="179"/>
    </row>
    <row r="15" spans="1:20" s="180" customFormat="1" x14ac:dyDescent="0.2">
      <c r="A15" s="174">
        <v>39904</v>
      </c>
      <c r="B15" s="20">
        <v>11</v>
      </c>
      <c r="C15" s="526">
        <v>9357</v>
      </c>
      <c r="D15" s="176">
        <f t="shared" si="0"/>
        <v>1.175590467030031</v>
      </c>
      <c r="E15" s="176">
        <f t="shared" si="1"/>
        <v>1.907061376715308</v>
      </c>
      <c r="F15" s="177"/>
      <c r="G15" s="177"/>
      <c r="H15" s="177"/>
      <c r="I15" s="177"/>
      <c r="J15" s="177"/>
      <c r="K15" s="177"/>
      <c r="L15" s="178"/>
      <c r="M15" s="179"/>
      <c r="N15" s="179"/>
      <c r="O15" s="179"/>
      <c r="P15" s="179"/>
      <c r="Q15" s="179"/>
      <c r="R15" s="179"/>
      <c r="S15" s="179"/>
      <c r="T15" s="179"/>
    </row>
    <row r="16" spans="1:20" s="180" customFormat="1" x14ac:dyDescent="0.2">
      <c r="A16" s="174">
        <v>39934</v>
      </c>
      <c r="B16" s="20">
        <v>13</v>
      </c>
      <c r="C16" s="526">
        <v>9331</v>
      </c>
      <c r="D16" s="176">
        <f t="shared" si="0"/>
        <v>1.3932054442181974</v>
      </c>
      <c r="E16" s="176">
        <f t="shared" si="1"/>
        <v>1.907061376715308</v>
      </c>
      <c r="F16" s="177"/>
      <c r="G16" s="177"/>
      <c r="H16" s="177"/>
      <c r="I16" s="177"/>
      <c r="J16" s="177"/>
      <c r="K16" s="177"/>
      <c r="M16" s="179"/>
      <c r="N16" s="179"/>
      <c r="O16" s="179"/>
      <c r="P16" s="179"/>
      <c r="Q16" s="179"/>
      <c r="R16" s="179"/>
      <c r="S16" s="179"/>
      <c r="T16" s="179"/>
    </row>
    <row r="17" spans="1:20" s="180" customFormat="1" x14ac:dyDescent="0.2">
      <c r="A17" s="174">
        <v>39965</v>
      </c>
      <c r="B17" s="20">
        <v>18</v>
      </c>
      <c r="C17" s="526">
        <v>9242</v>
      </c>
      <c r="D17" s="176">
        <f t="shared" si="0"/>
        <v>1.9476303830339754</v>
      </c>
      <c r="E17" s="176">
        <f t="shared" si="1"/>
        <v>1.907061376715308</v>
      </c>
      <c r="F17" s="176"/>
      <c r="G17" s="177"/>
      <c r="H17" s="177"/>
      <c r="I17" s="177"/>
      <c r="J17" s="177"/>
      <c r="K17" s="177"/>
      <c r="L17" s="178"/>
      <c r="M17" s="179"/>
      <c r="N17" s="179"/>
      <c r="O17" s="179"/>
      <c r="P17" s="179"/>
      <c r="Q17" s="179"/>
      <c r="R17" s="179"/>
      <c r="S17" s="179"/>
      <c r="T17" s="179"/>
    </row>
    <row r="18" spans="1:20" s="180" customFormat="1" x14ac:dyDescent="0.2">
      <c r="A18" s="174">
        <v>39995</v>
      </c>
      <c r="B18" s="20">
        <v>12</v>
      </c>
      <c r="C18" s="526">
        <v>9293</v>
      </c>
      <c r="D18" s="176">
        <f t="shared" si="0"/>
        <v>1.291294522759066</v>
      </c>
      <c r="E18" s="176">
        <f t="shared" si="1"/>
        <v>1.907061376715308</v>
      </c>
      <c r="F18" s="176"/>
      <c r="G18" s="177"/>
      <c r="H18" s="177"/>
      <c r="I18" s="177"/>
      <c r="J18" s="177"/>
      <c r="K18" s="177"/>
      <c r="M18" s="179"/>
      <c r="N18" s="179"/>
      <c r="O18" s="179"/>
      <c r="P18" s="179"/>
      <c r="Q18" s="179"/>
      <c r="R18" s="179"/>
      <c r="S18" s="179"/>
      <c r="T18" s="179"/>
    </row>
    <row r="19" spans="1:20" s="180" customFormat="1" x14ac:dyDescent="0.2">
      <c r="A19" s="174">
        <v>40026</v>
      </c>
      <c r="B19" s="20">
        <v>14</v>
      </c>
      <c r="C19" s="526">
        <v>8896</v>
      </c>
      <c r="D19" s="176">
        <f t="shared" si="0"/>
        <v>1.5737410071942446</v>
      </c>
      <c r="E19" s="176">
        <f t="shared" si="1"/>
        <v>1.907061376715308</v>
      </c>
      <c r="F19" s="176"/>
      <c r="G19" s="177"/>
      <c r="H19" s="177"/>
      <c r="I19" s="177"/>
      <c r="J19" s="177"/>
      <c r="K19" s="177"/>
      <c r="L19" s="178"/>
      <c r="M19" s="179"/>
      <c r="N19" s="179"/>
      <c r="O19" s="179"/>
      <c r="P19" s="179"/>
      <c r="Q19" s="179"/>
      <c r="R19" s="179"/>
      <c r="S19" s="179"/>
      <c r="T19" s="179"/>
    </row>
    <row r="20" spans="1:20" s="180" customFormat="1" x14ac:dyDescent="0.2">
      <c r="A20" s="174">
        <v>40057</v>
      </c>
      <c r="B20" s="20">
        <v>17</v>
      </c>
      <c r="C20" s="526">
        <v>8951</v>
      </c>
      <c r="D20" s="176">
        <f t="shared" si="0"/>
        <v>1.8992291364093397</v>
      </c>
      <c r="E20" s="176">
        <f t="shared" si="1"/>
        <v>1.907061376715308</v>
      </c>
      <c r="F20" s="176"/>
      <c r="G20" s="177"/>
      <c r="H20" s="177"/>
      <c r="I20" s="177"/>
      <c r="J20" s="177"/>
      <c r="K20" s="177"/>
      <c r="L20" s="178"/>
      <c r="M20" s="179"/>
      <c r="N20" s="179"/>
      <c r="O20" s="179"/>
      <c r="P20" s="179"/>
      <c r="Q20" s="179"/>
      <c r="R20" s="179"/>
      <c r="S20" s="179"/>
      <c r="T20" s="179"/>
    </row>
    <row r="21" spans="1:20" s="180" customFormat="1" x14ac:dyDescent="0.2">
      <c r="A21" s="174">
        <v>40087</v>
      </c>
      <c r="B21" s="20">
        <v>18</v>
      </c>
      <c r="C21" s="526">
        <v>9400</v>
      </c>
      <c r="D21" s="176">
        <f t="shared" si="0"/>
        <v>1.9148936170212765</v>
      </c>
      <c r="E21" s="176">
        <f t="shared" si="1"/>
        <v>1.907061376715308</v>
      </c>
      <c r="F21" s="176"/>
      <c r="G21" s="177"/>
      <c r="H21" s="177"/>
      <c r="I21" s="177"/>
      <c r="J21" s="177"/>
      <c r="K21" s="177"/>
      <c r="L21" s="178"/>
      <c r="M21" s="179"/>
      <c r="N21" s="179"/>
      <c r="O21" s="179"/>
      <c r="P21" s="179"/>
      <c r="Q21" s="179"/>
      <c r="R21" s="179"/>
      <c r="S21" s="179"/>
      <c r="T21" s="179"/>
    </row>
    <row r="22" spans="1:20" s="180" customFormat="1" x14ac:dyDescent="0.2">
      <c r="A22" s="174">
        <v>40118</v>
      </c>
      <c r="B22" s="20">
        <v>23</v>
      </c>
      <c r="C22" s="526">
        <v>8756</v>
      </c>
      <c r="D22" s="176">
        <f t="shared" si="0"/>
        <v>2.626770214709913</v>
      </c>
      <c r="E22" s="176">
        <f t="shared" si="1"/>
        <v>1.907061376715308</v>
      </c>
      <c r="F22" s="176"/>
      <c r="G22" s="177"/>
      <c r="H22" s="177"/>
      <c r="I22" s="177"/>
      <c r="J22" s="177"/>
      <c r="K22" s="177"/>
      <c r="L22" s="178"/>
      <c r="N22" s="179"/>
      <c r="O22" s="179"/>
      <c r="P22" s="179"/>
      <c r="Q22" s="179"/>
      <c r="R22" s="179"/>
      <c r="S22" s="179"/>
      <c r="T22" s="179"/>
    </row>
    <row r="23" spans="1:20" s="180" customFormat="1" x14ac:dyDescent="0.2">
      <c r="A23" s="174">
        <v>40148</v>
      </c>
      <c r="B23" s="20">
        <v>23</v>
      </c>
      <c r="C23" s="526">
        <v>9135</v>
      </c>
      <c r="D23" s="176">
        <f t="shared" si="0"/>
        <v>2.5177887246852766</v>
      </c>
      <c r="E23" s="176">
        <f t="shared" si="1"/>
        <v>1.907061376715308</v>
      </c>
      <c r="F23" s="176"/>
      <c r="G23" s="177"/>
      <c r="H23" s="177"/>
      <c r="I23" s="177"/>
      <c r="J23" s="177"/>
      <c r="K23" s="177"/>
      <c r="L23" s="178"/>
      <c r="M23" s="743"/>
      <c r="N23" s="179"/>
      <c r="O23" s="179"/>
      <c r="P23" s="179"/>
      <c r="Q23" s="179"/>
      <c r="R23" s="179"/>
      <c r="S23" s="179"/>
      <c r="T23" s="179"/>
    </row>
    <row r="24" spans="1:20" s="180" customFormat="1" x14ac:dyDescent="0.2">
      <c r="A24" s="174">
        <v>40179</v>
      </c>
      <c r="B24" s="20">
        <v>20</v>
      </c>
      <c r="C24" s="526">
        <v>8601</v>
      </c>
      <c r="D24" s="176">
        <f t="shared" si="0"/>
        <v>2.325311010347634</v>
      </c>
      <c r="E24" s="176"/>
      <c r="F24" s="176">
        <f t="shared" ref="F24:F59" si="2">MEDIAN($D$12:$D$23)</f>
        <v>1.907061376715308</v>
      </c>
      <c r="G24" s="176"/>
      <c r="H24" s="176"/>
      <c r="I24" s="176"/>
      <c r="J24" s="176"/>
      <c r="K24" s="177">
        <f>(0.5*$E$12)</f>
        <v>0.95353068835765398</v>
      </c>
      <c r="M24" s="179"/>
      <c r="N24" s="179"/>
      <c r="O24" s="179"/>
      <c r="P24" s="179"/>
      <c r="Q24" s="179"/>
      <c r="R24" s="179"/>
      <c r="S24" s="179"/>
      <c r="T24" s="179"/>
    </row>
    <row r="25" spans="1:20" x14ac:dyDescent="0.2">
      <c r="A25" s="174">
        <v>40210</v>
      </c>
      <c r="B25" s="20">
        <v>22</v>
      </c>
      <c r="C25" s="526">
        <v>8365</v>
      </c>
      <c r="D25" s="176">
        <f t="shared" si="0"/>
        <v>2.630005977286312</v>
      </c>
      <c r="E25" s="176"/>
      <c r="F25" s="176">
        <f t="shared" si="2"/>
        <v>1.907061376715308</v>
      </c>
      <c r="G25" s="176"/>
      <c r="H25" s="176"/>
      <c r="I25" s="176"/>
      <c r="J25" s="176"/>
      <c r="K25" s="177">
        <f t="shared" ref="K25:K88" si="3">(0.5*$E$12)</f>
        <v>0.95353068835765398</v>
      </c>
    </row>
    <row r="26" spans="1:20" x14ac:dyDescent="0.2">
      <c r="A26" s="174">
        <v>40238</v>
      </c>
      <c r="B26" s="20">
        <v>9</v>
      </c>
      <c r="C26" s="526">
        <v>9335</v>
      </c>
      <c r="D26" s="176">
        <f t="shared" si="0"/>
        <v>0.96411355115158004</v>
      </c>
      <c r="E26" s="176"/>
      <c r="F26" s="176">
        <f t="shared" si="2"/>
        <v>1.907061376715308</v>
      </c>
      <c r="G26" s="176"/>
      <c r="H26" s="176"/>
      <c r="I26" s="176"/>
      <c r="J26" s="176"/>
      <c r="K26" s="177">
        <f t="shared" si="3"/>
        <v>0.95353068835765398</v>
      </c>
    </row>
    <row r="27" spans="1:20" x14ac:dyDescent="0.2">
      <c r="A27" s="174">
        <v>40269</v>
      </c>
      <c r="B27" s="20">
        <v>17</v>
      </c>
      <c r="C27" s="526">
        <v>8786</v>
      </c>
      <c r="D27" s="176">
        <f t="shared" si="0"/>
        <v>1.9348964261324835</v>
      </c>
      <c r="E27" s="176"/>
      <c r="F27" s="176">
        <f t="shared" si="2"/>
        <v>1.907061376715308</v>
      </c>
      <c r="G27" s="176"/>
      <c r="H27" s="176"/>
      <c r="I27" s="176"/>
      <c r="J27" s="176"/>
      <c r="K27" s="177">
        <f t="shared" si="3"/>
        <v>0.95353068835765398</v>
      </c>
    </row>
    <row r="28" spans="1:20" x14ac:dyDescent="0.2">
      <c r="A28" s="174">
        <v>40299</v>
      </c>
      <c r="B28" s="20">
        <v>27</v>
      </c>
      <c r="C28" s="526">
        <v>9013</v>
      </c>
      <c r="D28" s="176">
        <f t="shared" si="0"/>
        <v>2.995672916897814</v>
      </c>
      <c r="E28" s="176"/>
      <c r="F28" s="176">
        <f t="shared" si="2"/>
        <v>1.907061376715308</v>
      </c>
      <c r="G28" s="176"/>
      <c r="H28" s="176"/>
      <c r="I28" s="176"/>
      <c r="J28" s="176"/>
      <c r="K28" s="177">
        <f t="shared" si="3"/>
        <v>0.95353068835765398</v>
      </c>
    </row>
    <row r="29" spans="1:20" x14ac:dyDescent="0.2">
      <c r="A29" s="174">
        <v>40330</v>
      </c>
      <c r="B29" s="20">
        <v>14</v>
      </c>
      <c r="C29" s="526">
        <v>8895</v>
      </c>
      <c r="D29" s="176">
        <f t="shared" si="0"/>
        <v>1.5739179314221472</v>
      </c>
      <c r="E29" s="176"/>
      <c r="F29" s="176">
        <f t="shared" si="2"/>
        <v>1.907061376715308</v>
      </c>
      <c r="G29" s="176"/>
      <c r="H29" s="176"/>
      <c r="I29" s="176"/>
      <c r="J29" s="176"/>
      <c r="K29" s="177">
        <f t="shared" si="3"/>
        <v>0.95353068835765398</v>
      </c>
    </row>
    <row r="30" spans="1:20" x14ac:dyDescent="0.2">
      <c r="A30" s="174">
        <v>40360</v>
      </c>
      <c r="B30" s="20">
        <v>19</v>
      </c>
      <c r="C30" s="526">
        <v>8865</v>
      </c>
      <c r="D30" s="176">
        <f t="shared" si="0"/>
        <v>2.143260011280316</v>
      </c>
      <c r="E30" s="176"/>
      <c r="F30" s="176">
        <f t="shared" si="2"/>
        <v>1.907061376715308</v>
      </c>
      <c r="G30" s="176"/>
      <c r="H30" s="176"/>
      <c r="I30" s="176"/>
      <c r="J30" s="176"/>
      <c r="K30" s="177">
        <f t="shared" si="3"/>
        <v>0.95353068835765398</v>
      </c>
    </row>
    <row r="31" spans="1:20" x14ac:dyDescent="0.2">
      <c r="A31" s="174">
        <v>40391</v>
      </c>
      <c r="B31" s="20">
        <v>23</v>
      </c>
      <c r="C31" s="526">
        <v>9152</v>
      </c>
      <c r="D31" s="176">
        <f t="shared" si="0"/>
        <v>2.5131118881118879</v>
      </c>
      <c r="E31" s="176"/>
      <c r="F31" s="176">
        <f t="shared" si="2"/>
        <v>1.907061376715308</v>
      </c>
      <c r="G31" s="176"/>
      <c r="H31" s="176"/>
      <c r="I31" s="176"/>
      <c r="J31" s="176"/>
      <c r="K31" s="177">
        <f t="shared" si="3"/>
        <v>0.95353068835765398</v>
      </c>
    </row>
    <row r="32" spans="1:20" x14ac:dyDescent="0.2">
      <c r="A32" s="174">
        <v>40422</v>
      </c>
      <c r="B32" s="20">
        <v>15</v>
      </c>
      <c r="C32" s="526">
        <v>8901</v>
      </c>
      <c r="D32" s="176">
        <f t="shared" si="0"/>
        <v>1.6852039096730704</v>
      </c>
      <c r="E32" s="176"/>
      <c r="F32" s="176">
        <f t="shared" si="2"/>
        <v>1.907061376715308</v>
      </c>
      <c r="G32" s="176"/>
      <c r="H32" s="176"/>
      <c r="I32" s="176"/>
      <c r="J32" s="176"/>
      <c r="K32" s="177">
        <f t="shared" si="3"/>
        <v>0.95353068835765398</v>
      </c>
    </row>
    <row r="33" spans="1:11" x14ac:dyDescent="0.2">
      <c r="A33" s="174">
        <v>40452</v>
      </c>
      <c r="B33" s="20">
        <v>13</v>
      </c>
      <c r="C33" s="526">
        <v>9302</v>
      </c>
      <c r="D33" s="176">
        <f t="shared" si="0"/>
        <v>1.3975489142119972</v>
      </c>
      <c r="E33" s="176"/>
      <c r="F33" s="176">
        <f t="shared" si="2"/>
        <v>1.907061376715308</v>
      </c>
      <c r="G33" s="176"/>
      <c r="H33" s="176"/>
      <c r="I33" s="176"/>
      <c r="J33" s="176"/>
      <c r="K33" s="177">
        <f t="shared" si="3"/>
        <v>0.95353068835765398</v>
      </c>
    </row>
    <row r="34" spans="1:11" x14ac:dyDescent="0.2">
      <c r="A34" s="174">
        <v>40483</v>
      </c>
      <c r="B34" s="20">
        <v>12</v>
      </c>
      <c r="C34" s="526">
        <v>8885</v>
      </c>
      <c r="D34" s="176">
        <f t="shared" si="0"/>
        <v>1.3505908835115363</v>
      </c>
      <c r="E34" s="176"/>
      <c r="F34" s="176">
        <f t="shared" si="2"/>
        <v>1.907061376715308</v>
      </c>
      <c r="G34" s="176"/>
      <c r="H34" s="176"/>
      <c r="I34" s="176"/>
      <c r="J34" s="176"/>
      <c r="K34" s="177">
        <f t="shared" si="3"/>
        <v>0.95353068835765398</v>
      </c>
    </row>
    <row r="35" spans="1:11" x14ac:dyDescent="0.2">
      <c r="A35" s="174">
        <v>40513</v>
      </c>
      <c r="B35" s="20">
        <v>15</v>
      </c>
      <c r="C35" s="526">
        <v>8743</v>
      </c>
      <c r="D35" s="176">
        <f t="shared" si="0"/>
        <v>1.7156582408784169</v>
      </c>
      <c r="E35" s="176"/>
      <c r="F35" s="176">
        <f t="shared" si="2"/>
        <v>1.907061376715308</v>
      </c>
      <c r="G35" s="176"/>
      <c r="H35" s="176"/>
      <c r="I35" s="176"/>
      <c r="J35" s="176"/>
      <c r="K35" s="177">
        <f t="shared" si="3"/>
        <v>0.95353068835765398</v>
      </c>
    </row>
    <row r="36" spans="1:11" x14ac:dyDescent="0.2">
      <c r="A36" s="174">
        <v>40544</v>
      </c>
      <c r="B36" s="181">
        <v>13</v>
      </c>
      <c r="C36" s="527">
        <v>8965</v>
      </c>
      <c r="D36" s="176">
        <f t="shared" si="0"/>
        <v>1.4500836586726158</v>
      </c>
      <c r="E36" s="176"/>
      <c r="F36" s="176">
        <f t="shared" si="2"/>
        <v>1.907061376715308</v>
      </c>
      <c r="G36" s="176"/>
      <c r="H36" s="176"/>
      <c r="I36" s="176"/>
      <c r="J36" s="176"/>
      <c r="K36" s="177">
        <f t="shared" si="3"/>
        <v>0.95353068835765398</v>
      </c>
    </row>
    <row r="37" spans="1:11" x14ac:dyDescent="0.2">
      <c r="A37" s="174">
        <v>40575</v>
      </c>
      <c r="B37" s="181">
        <v>13</v>
      </c>
      <c r="C37" s="527">
        <v>8671</v>
      </c>
      <c r="D37" s="176">
        <f t="shared" si="0"/>
        <v>1.4992503748125936</v>
      </c>
      <c r="E37" s="176"/>
      <c r="F37" s="176">
        <f t="shared" si="2"/>
        <v>1.907061376715308</v>
      </c>
      <c r="G37" s="176"/>
      <c r="H37" s="176"/>
      <c r="I37" s="176"/>
      <c r="J37" s="176"/>
      <c r="K37" s="177">
        <f t="shared" si="3"/>
        <v>0.95353068835765398</v>
      </c>
    </row>
    <row r="38" spans="1:11" x14ac:dyDescent="0.2">
      <c r="A38" s="174">
        <v>40603</v>
      </c>
      <c r="B38" s="181">
        <v>16</v>
      </c>
      <c r="C38" s="527">
        <v>9634</v>
      </c>
      <c r="D38" s="176">
        <f t="shared" si="0"/>
        <v>1.6607847207805688</v>
      </c>
      <c r="E38" s="176"/>
      <c r="F38" s="176">
        <f t="shared" si="2"/>
        <v>1.907061376715308</v>
      </c>
      <c r="G38" s="176"/>
      <c r="H38" s="176"/>
      <c r="I38" s="176"/>
      <c r="J38" s="176"/>
      <c r="K38" s="177">
        <f t="shared" si="3"/>
        <v>0.95353068835765398</v>
      </c>
    </row>
    <row r="39" spans="1:11" x14ac:dyDescent="0.2">
      <c r="A39" s="174">
        <v>40634</v>
      </c>
      <c r="B39" s="181">
        <v>13</v>
      </c>
      <c r="C39" s="527">
        <v>8997</v>
      </c>
      <c r="D39" s="176">
        <f t="shared" si="0"/>
        <v>1.4449260864732689</v>
      </c>
      <c r="E39" s="176"/>
      <c r="F39" s="176">
        <f t="shared" si="2"/>
        <v>1.907061376715308</v>
      </c>
      <c r="G39" s="176"/>
      <c r="H39" s="176"/>
      <c r="I39" s="176"/>
      <c r="J39" s="176"/>
      <c r="K39" s="177">
        <f t="shared" si="3"/>
        <v>0.95353068835765398</v>
      </c>
    </row>
    <row r="40" spans="1:11" x14ac:dyDescent="0.2">
      <c r="A40" s="174">
        <v>40664</v>
      </c>
      <c r="B40" s="181">
        <v>22</v>
      </c>
      <c r="C40" s="527">
        <v>9253</v>
      </c>
      <c r="D40" s="176">
        <f t="shared" si="0"/>
        <v>2.3776072625094562</v>
      </c>
      <c r="E40" s="176"/>
      <c r="F40" s="176">
        <f t="shared" si="2"/>
        <v>1.907061376715308</v>
      </c>
      <c r="G40" s="176"/>
      <c r="H40" s="176"/>
      <c r="I40" s="176"/>
      <c r="J40" s="176"/>
      <c r="K40" s="177">
        <f t="shared" si="3"/>
        <v>0.95353068835765398</v>
      </c>
    </row>
    <row r="41" spans="1:11" x14ac:dyDescent="0.2">
      <c r="A41" s="174">
        <v>40695</v>
      </c>
      <c r="B41" s="181">
        <v>16</v>
      </c>
      <c r="C41" s="527">
        <v>9171</v>
      </c>
      <c r="D41" s="176">
        <f t="shared" si="0"/>
        <v>1.7446298113619017</v>
      </c>
      <c r="E41" s="176"/>
      <c r="F41" s="176">
        <f t="shared" si="2"/>
        <v>1.907061376715308</v>
      </c>
      <c r="G41" s="176"/>
      <c r="H41" s="176"/>
      <c r="I41" s="176"/>
      <c r="J41" s="176"/>
      <c r="K41" s="177">
        <f t="shared" si="3"/>
        <v>0.95353068835765398</v>
      </c>
    </row>
    <row r="42" spans="1:11" x14ac:dyDescent="0.2">
      <c r="A42" s="174">
        <v>40725</v>
      </c>
      <c r="B42" s="181">
        <v>7</v>
      </c>
      <c r="C42" s="527">
        <v>8965</v>
      </c>
      <c r="D42" s="176">
        <f t="shared" si="0"/>
        <v>0.78081427774679313</v>
      </c>
      <c r="E42" s="176"/>
      <c r="F42" s="176">
        <f t="shared" si="2"/>
        <v>1.907061376715308</v>
      </c>
      <c r="G42" s="176"/>
      <c r="H42" s="176"/>
      <c r="I42" s="176"/>
      <c r="J42" s="176"/>
      <c r="K42" s="177">
        <f t="shared" si="3"/>
        <v>0.95353068835765398</v>
      </c>
    </row>
    <row r="43" spans="1:11" x14ac:dyDescent="0.2">
      <c r="A43" s="174">
        <v>40756</v>
      </c>
      <c r="B43" s="181">
        <v>20</v>
      </c>
      <c r="C43" s="527">
        <v>9248</v>
      </c>
      <c r="D43" s="176">
        <f t="shared" si="0"/>
        <v>2.1626297577854672</v>
      </c>
      <c r="E43" s="176"/>
      <c r="F43" s="176">
        <f t="shared" si="2"/>
        <v>1.907061376715308</v>
      </c>
      <c r="G43" s="176"/>
      <c r="H43" s="176"/>
      <c r="I43" s="176"/>
      <c r="J43" s="176"/>
      <c r="K43" s="177">
        <f t="shared" si="3"/>
        <v>0.95353068835765398</v>
      </c>
    </row>
    <row r="44" spans="1:11" x14ac:dyDescent="0.2">
      <c r="A44" s="174">
        <v>40787</v>
      </c>
      <c r="B44" s="181">
        <v>15</v>
      </c>
      <c r="C44" s="527">
        <v>9139</v>
      </c>
      <c r="D44" s="176">
        <f t="shared" si="0"/>
        <v>1.6413174307911149</v>
      </c>
      <c r="E44" s="176"/>
      <c r="F44" s="176">
        <f t="shared" si="2"/>
        <v>1.907061376715308</v>
      </c>
      <c r="G44" s="176"/>
      <c r="H44" s="176"/>
      <c r="I44" s="176"/>
      <c r="J44" s="176"/>
      <c r="K44" s="177">
        <f t="shared" si="3"/>
        <v>0.95353068835765398</v>
      </c>
    </row>
    <row r="45" spans="1:11" x14ac:dyDescent="0.2">
      <c r="A45" s="174">
        <v>40817</v>
      </c>
      <c r="B45" s="181">
        <v>15</v>
      </c>
      <c r="C45" s="527">
        <v>9272</v>
      </c>
      <c r="D45" s="176">
        <f t="shared" si="0"/>
        <v>1.6177739430543572</v>
      </c>
      <c r="E45" s="176"/>
      <c r="F45" s="176">
        <f t="shared" si="2"/>
        <v>1.907061376715308</v>
      </c>
      <c r="G45" s="176"/>
      <c r="H45" s="176"/>
      <c r="I45" s="176"/>
      <c r="J45" s="176"/>
      <c r="K45" s="177">
        <f t="shared" si="3"/>
        <v>0.95353068835765398</v>
      </c>
    </row>
    <row r="46" spans="1:11" x14ac:dyDescent="0.2">
      <c r="A46" s="174">
        <v>40848</v>
      </c>
      <c r="B46" s="181">
        <v>7</v>
      </c>
      <c r="C46" s="527">
        <v>9306</v>
      </c>
      <c r="D46" s="176">
        <f t="shared" si="0"/>
        <v>0.75220287986245438</v>
      </c>
      <c r="E46" s="176"/>
      <c r="F46" s="176">
        <f t="shared" si="2"/>
        <v>1.907061376715308</v>
      </c>
      <c r="G46" s="176"/>
      <c r="H46" s="176"/>
      <c r="I46" s="176"/>
      <c r="J46" s="176"/>
      <c r="K46" s="177">
        <f t="shared" si="3"/>
        <v>0.95353068835765398</v>
      </c>
    </row>
    <row r="47" spans="1:11" x14ac:dyDescent="0.2">
      <c r="A47" s="174">
        <v>40878</v>
      </c>
      <c r="B47" s="181">
        <v>20</v>
      </c>
      <c r="C47" s="527">
        <v>9240</v>
      </c>
      <c r="D47" s="176">
        <f t="shared" si="0"/>
        <v>2.1645021645021645</v>
      </c>
      <c r="E47" s="176"/>
      <c r="F47" s="176">
        <f t="shared" si="2"/>
        <v>1.907061376715308</v>
      </c>
      <c r="G47" s="176"/>
      <c r="H47" s="176"/>
      <c r="I47" s="176"/>
      <c r="J47" s="176"/>
      <c r="K47" s="177">
        <f t="shared" si="3"/>
        <v>0.95353068835765398</v>
      </c>
    </row>
    <row r="48" spans="1:11" x14ac:dyDescent="0.2">
      <c r="A48" s="174">
        <v>40909</v>
      </c>
      <c r="B48" s="181">
        <v>10</v>
      </c>
      <c r="C48" s="527">
        <v>8915</v>
      </c>
      <c r="D48" s="176">
        <f t="shared" si="0"/>
        <v>1.1217049915872126</v>
      </c>
      <c r="E48" s="176"/>
      <c r="F48" s="176">
        <f t="shared" si="2"/>
        <v>1.907061376715308</v>
      </c>
      <c r="G48" s="176"/>
      <c r="H48" s="176"/>
      <c r="I48" s="176"/>
      <c r="J48" s="176"/>
      <c r="K48" s="177">
        <f t="shared" si="3"/>
        <v>0.95353068835765398</v>
      </c>
    </row>
    <row r="49" spans="1:14" x14ac:dyDescent="0.2">
      <c r="A49" s="174">
        <v>40940</v>
      </c>
      <c r="B49" s="181">
        <v>18</v>
      </c>
      <c r="C49" s="527">
        <v>8722</v>
      </c>
      <c r="D49" s="176">
        <f t="shared" si="0"/>
        <v>2.0637468470534284</v>
      </c>
      <c r="E49" s="176"/>
      <c r="F49" s="176">
        <f t="shared" si="2"/>
        <v>1.907061376715308</v>
      </c>
      <c r="G49" s="176"/>
      <c r="H49" s="176"/>
      <c r="I49" s="176"/>
      <c r="J49" s="176"/>
      <c r="K49" s="177">
        <f t="shared" si="3"/>
        <v>0.95353068835765398</v>
      </c>
    </row>
    <row r="50" spans="1:14" x14ac:dyDescent="0.2">
      <c r="A50" s="174">
        <v>40969</v>
      </c>
      <c r="B50" s="181">
        <v>11</v>
      </c>
      <c r="C50" s="527">
        <v>9506</v>
      </c>
      <c r="D50" s="176">
        <f t="shared" si="0"/>
        <v>1.1571638964864297</v>
      </c>
      <c r="E50" s="176"/>
      <c r="F50" s="176">
        <f t="shared" si="2"/>
        <v>1.907061376715308</v>
      </c>
      <c r="G50" s="176"/>
      <c r="H50" s="176"/>
      <c r="I50" s="176"/>
      <c r="J50" s="176"/>
      <c r="K50" s="177">
        <f t="shared" si="3"/>
        <v>0.95353068835765398</v>
      </c>
    </row>
    <row r="51" spans="1:14" x14ac:dyDescent="0.2">
      <c r="A51" s="174">
        <v>41000</v>
      </c>
      <c r="B51" s="181">
        <v>12</v>
      </c>
      <c r="C51" s="527">
        <v>8618</v>
      </c>
      <c r="D51" s="176">
        <f t="shared" si="0"/>
        <v>1.392434439545138</v>
      </c>
      <c r="E51" s="176"/>
      <c r="F51" s="176">
        <f t="shared" si="2"/>
        <v>1.907061376715308</v>
      </c>
      <c r="G51" s="176"/>
      <c r="H51" s="176"/>
      <c r="I51" s="176"/>
      <c r="J51" s="176"/>
      <c r="K51" s="177">
        <f t="shared" si="3"/>
        <v>0.95353068835765398</v>
      </c>
    </row>
    <row r="52" spans="1:14" x14ac:dyDescent="0.2">
      <c r="A52" s="174">
        <v>41030</v>
      </c>
      <c r="B52" s="181">
        <v>11</v>
      </c>
      <c r="C52" s="527">
        <v>9463</v>
      </c>
      <c r="D52" s="176">
        <f t="shared" si="0"/>
        <v>1.162422064884286</v>
      </c>
      <c r="E52" s="176"/>
      <c r="F52" s="176">
        <f t="shared" si="2"/>
        <v>1.907061376715308</v>
      </c>
      <c r="G52" s="176"/>
      <c r="H52" s="176"/>
      <c r="I52" s="176"/>
      <c r="J52" s="176"/>
      <c r="K52" s="177">
        <f t="shared" si="3"/>
        <v>0.95353068835765398</v>
      </c>
    </row>
    <row r="53" spans="1:14" x14ac:dyDescent="0.2">
      <c r="A53" s="174">
        <v>41061</v>
      </c>
      <c r="B53" s="181">
        <v>16</v>
      </c>
      <c r="C53" s="527">
        <v>9236</v>
      </c>
      <c r="D53" s="176">
        <f t="shared" si="0"/>
        <v>1.7323516673884798</v>
      </c>
      <c r="E53" s="176"/>
      <c r="F53" s="176">
        <f t="shared" si="2"/>
        <v>1.907061376715308</v>
      </c>
      <c r="G53" s="176"/>
      <c r="H53" s="176"/>
      <c r="I53" s="176"/>
      <c r="J53" s="176"/>
      <c r="K53" s="177">
        <f t="shared" si="3"/>
        <v>0.95353068835765398</v>
      </c>
    </row>
    <row r="54" spans="1:14" x14ac:dyDescent="0.2">
      <c r="A54" s="174">
        <v>41091</v>
      </c>
      <c r="B54" s="181">
        <v>16</v>
      </c>
      <c r="C54" s="527">
        <v>9219</v>
      </c>
      <c r="D54" s="176">
        <f t="shared" si="0"/>
        <v>1.7355461546805511</v>
      </c>
      <c r="E54" s="176"/>
      <c r="F54" s="176">
        <f t="shared" si="2"/>
        <v>1.907061376715308</v>
      </c>
      <c r="G54" s="176"/>
      <c r="H54" s="176"/>
      <c r="I54" s="176"/>
      <c r="J54" s="176"/>
      <c r="K54" s="177">
        <f t="shared" si="3"/>
        <v>0.95353068835765398</v>
      </c>
    </row>
    <row r="55" spans="1:14" x14ac:dyDescent="0.2">
      <c r="A55" s="174">
        <v>41122</v>
      </c>
      <c r="B55" s="181">
        <v>11</v>
      </c>
      <c r="C55" s="527">
        <v>9565</v>
      </c>
      <c r="D55" s="176">
        <f t="shared" si="0"/>
        <v>1.1500261369576581</v>
      </c>
      <c r="E55" s="176"/>
      <c r="F55" s="176">
        <f t="shared" si="2"/>
        <v>1.907061376715308</v>
      </c>
      <c r="G55" s="176"/>
      <c r="H55" s="176"/>
      <c r="I55" s="176"/>
      <c r="J55" s="176"/>
      <c r="K55" s="177">
        <f t="shared" si="3"/>
        <v>0.95353068835765398</v>
      </c>
    </row>
    <row r="56" spans="1:14" x14ac:dyDescent="0.2">
      <c r="A56" s="174">
        <v>41153</v>
      </c>
      <c r="B56" s="181">
        <v>7</v>
      </c>
      <c r="C56" s="527">
        <v>9052</v>
      </c>
      <c r="D56" s="176">
        <f t="shared" si="0"/>
        <v>0.77330976579761379</v>
      </c>
      <c r="E56" s="176"/>
      <c r="F56" s="176">
        <f t="shared" si="2"/>
        <v>1.907061376715308</v>
      </c>
      <c r="G56" s="176"/>
      <c r="H56" s="176"/>
      <c r="I56" s="176"/>
      <c r="J56" s="176"/>
      <c r="K56" s="177">
        <f t="shared" si="3"/>
        <v>0.95353068835765398</v>
      </c>
    </row>
    <row r="57" spans="1:14" x14ac:dyDescent="0.2">
      <c r="A57" s="174">
        <v>41183</v>
      </c>
      <c r="B57" s="181">
        <v>11</v>
      </c>
      <c r="C57" s="527">
        <v>9797</v>
      </c>
      <c r="D57" s="176">
        <f t="shared" si="0"/>
        <v>1.1227926916402979</v>
      </c>
      <c r="E57" s="176"/>
      <c r="F57" s="176">
        <f t="shared" si="2"/>
        <v>1.907061376715308</v>
      </c>
      <c r="G57" s="176"/>
      <c r="H57" s="176"/>
      <c r="I57" s="176"/>
      <c r="J57" s="176"/>
      <c r="K57" s="177">
        <f t="shared" si="3"/>
        <v>0.95353068835765398</v>
      </c>
    </row>
    <row r="58" spans="1:14" x14ac:dyDescent="0.2">
      <c r="A58" s="174">
        <v>41214</v>
      </c>
      <c r="B58" s="181">
        <v>20</v>
      </c>
      <c r="C58" s="527">
        <v>9404</v>
      </c>
      <c r="D58" s="176">
        <f t="shared" si="0"/>
        <v>2.1267545725223309</v>
      </c>
      <c r="E58" s="176"/>
      <c r="F58" s="176">
        <f t="shared" si="2"/>
        <v>1.907061376715308</v>
      </c>
      <c r="G58" s="176"/>
      <c r="H58" s="176"/>
      <c r="I58" s="176"/>
      <c r="J58" s="176"/>
      <c r="K58" s="177">
        <f t="shared" si="3"/>
        <v>0.95353068835765398</v>
      </c>
    </row>
    <row r="59" spans="1:14" x14ac:dyDescent="0.2">
      <c r="A59" s="174">
        <v>41244</v>
      </c>
      <c r="B59" s="181">
        <v>22</v>
      </c>
      <c r="C59" s="527">
        <v>9270</v>
      </c>
      <c r="D59" s="176">
        <f t="shared" si="0"/>
        <v>2.3732470334412081</v>
      </c>
      <c r="E59" s="176"/>
      <c r="F59" s="176">
        <f t="shared" si="2"/>
        <v>1.907061376715308</v>
      </c>
      <c r="G59" s="176"/>
      <c r="H59" s="176"/>
      <c r="I59" s="176"/>
      <c r="J59" s="176"/>
      <c r="K59" s="177">
        <f t="shared" si="3"/>
        <v>0.95353068835765398</v>
      </c>
    </row>
    <row r="60" spans="1:14" x14ac:dyDescent="0.2">
      <c r="A60" s="174">
        <v>41275</v>
      </c>
      <c r="B60" s="181">
        <v>17</v>
      </c>
      <c r="C60" s="527">
        <v>9314</v>
      </c>
      <c r="D60" s="176">
        <f t="shared" si="0"/>
        <v>1.8252093622503758</v>
      </c>
      <c r="E60" s="176"/>
      <c r="F60" s="176"/>
      <c r="G60" s="176">
        <f>MEDIAN($D$60:$D$71)</f>
        <v>1.5818746277819389</v>
      </c>
      <c r="H60" s="176"/>
      <c r="I60" s="176"/>
      <c r="J60" s="176"/>
      <c r="K60" s="177">
        <f t="shared" si="3"/>
        <v>0.95353068835765398</v>
      </c>
    </row>
    <row r="61" spans="1:14" x14ac:dyDescent="0.2">
      <c r="A61" s="174">
        <v>41306</v>
      </c>
      <c r="B61" s="181">
        <v>14</v>
      </c>
      <c r="C61" s="527">
        <v>8614</v>
      </c>
      <c r="D61" s="176">
        <f t="shared" si="0"/>
        <v>1.62526120269329</v>
      </c>
      <c r="E61" s="176"/>
      <c r="F61" s="176"/>
      <c r="G61" s="176">
        <f t="shared" ref="G61:G70" si="4">MEDIAN($D$60:$D$71)</f>
        <v>1.5818746277819389</v>
      </c>
      <c r="H61" s="176"/>
      <c r="I61" s="176"/>
      <c r="J61" s="176"/>
      <c r="K61" s="177">
        <f t="shared" si="3"/>
        <v>0.95353068835765398</v>
      </c>
      <c r="N61" s="182"/>
    </row>
    <row r="62" spans="1:14" x14ac:dyDescent="0.2">
      <c r="A62" s="174">
        <v>41334</v>
      </c>
      <c r="B62" s="181">
        <v>17</v>
      </c>
      <c r="C62" s="527">
        <v>9231</v>
      </c>
      <c r="D62" s="176">
        <f t="shared" si="0"/>
        <v>1.8416206261510129</v>
      </c>
      <c r="E62" s="176"/>
      <c r="F62" s="176"/>
      <c r="G62" s="176">
        <f t="shared" si="4"/>
        <v>1.5818746277819389</v>
      </c>
      <c r="H62" s="176"/>
      <c r="I62" s="176"/>
      <c r="J62" s="176"/>
      <c r="K62" s="177">
        <f t="shared" si="3"/>
        <v>0.95353068835765398</v>
      </c>
    </row>
    <row r="63" spans="1:14" x14ac:dyDescent="0.2">
      <c r="A63" s="174">
        <v>41365</v>
      </c>
      <c r="B63" s="181">
        <v>13</v>
      </c>
      <c r="C63" s="527">
        <v>9041</v>
      </c>
      <c r="D63" s="176">
        <f t="shared" si="0"/>
        <v>1.4378940382701029</v>
      </c>
      <c r="E63" s="176"/>
      <c r="F63" s="176"/>
      <c r="G63" s="176">
        <f t="shared" si="4"/>
        <v>1.5818746277819389</v>
      </c>
      <c r="H63" s="176"/>
      <c r="I63" s="176"/>
      <c r="J63" s="176"/>
      <c r="K63" s="177">
        <f t="shared" si="3"/>
        <v>0.95353068835765398</v>
      </c>
    </row>
    <row r="64" spans="1:14" x14ac:dyDescent="0.2">
      <c r="A64" s="174">
        <v>41395</v>
      </c>
      <c r="B64" s="181">
        <v>13</v>
      </c>
      <c r="C64" s="527">
        <v>9655</v>
      </c>
      <c r="D64" s="176">
        <f t="shared" si="0"/>
        <v>1.3464526152252718</v>
      </c>
      <c r="E64" s="176"/>
      <c r="F64" s="176"/>
      <c r="G64" s="176">
        <f t="shared" si="4"/>
        <v>1.5818746277819389</v>
      </c>
      <c r="H64" s="176"/>
      <c r="I64" s="176"/>
      <c r="J64" s="176"/>
      <c r="K64" s="177">
        <f t="shared" si="3"/>
        <v>0.95353068835765398</v>
      </c>
    </row>
    <row r="65" spans="1:11" x14ac:dyDescent="0.2">
      <c r="A65" s="174">
        <v>41426</v>
      </c>
      <c r="B65" s="181">
        <v>10</v>
      </c>
      <c r="C65" s="527">
        <v>9274</v>
      </c>
      <c r="D65" s="176">
        <f t="shared" si="0"/>
        <v>1.0782833728703904</v>
      </c>
      <c r="E65" s="176"/>
      <c r="F65" s="176"/>
      <c r="G65" s="176">
        <f t="shared" si="4"/>
        <v>1.5818746277819389</v>
      </c>
      <c r="H65" s="176"/>
      <c r="I65" s="176"/>
      <c r="J65" s="176"/>
      <c r="K65" s="177">
        <f t="shared" si="3"/>
        <v>0.95353068835765398</v>
      </c>
    </row>
    <row r="66" spans="1:11" x14ac:dyDescent="0.2">
      <c r="A66" s="174">
        <v>41456</v>
      </c>
      <c r="B66" s="181">
        <v>15</v>
      </c>
      <c r="C66" s="527">
        <v>9455</v>
      </c>
      <c r="D66" s="176">
        <f t="shared" si="0"/>
        <v>1.5864621893178212</v>
      </c>
      <c r="E66" s="176"/>
      <c r="F66" s="176"/>
      <c r="G66" s="176">
        <f t="shared" si="4"/>
        <v>1.5818746277819389</v>
      </c>
      <c r="H66" s="176"/>
      <c r="I66" s="176"/>
      <c r="J66" s="176"/>
      <c r="K66" s="177">
        <f t="shared" si="3"/>
        <v>0.95353068835765398</v>
      </c>
    </row>
    <row r="67" spans="1:11" x14ac:dyDescent="0.2">
      <c r="A67" s="174">
        <v>41487</v>
      </c>
      <c r="B67" s="181">
        <v>14</v>
      </c>
      <c r="C67" s="527">
        <v>9533</v>
      </c>
      <c r="D67" s="176">
        <f t="shared" si="0"/>
        <v>1.4685828175810343</v>
      </c>
      <c r="E67" s="176"/>
      <c r="F67" s="176"/>
      <c r="G67" s="176">
        <f t="shared" si="4"/>
        <v>1.5818746277819389</v>
      </c>
      <c r="H67" s="176"/>
      <c r="I67" s="176"/>
      <c r="J67" s="176"/>
      <c r="K67" s="177">
        <f t="shared" si="3"/>
        <v>0.95353068835765398</v>
      </c>
    </row>
    <row r="68" spans="1:11" x14ac:dyDescent="0.2">
      <c r="A68" s="174">
        <v>41518</v>
      </c>
      <c r="B68" s="181">
        <v>12</v>
      </c>
      <c r="C68" s="527">
        <v>8912</v>
      </c>
      <c r="D68" s="176">
        <f t="shared" si="0"/>
        <v>1.3464991023339319</v>
      </c>
      <c r="E68" s="176"/>
      <c r="F68" s="176"/>
      <c r="G68" s="176">
        <f t="shared" si="4"/>
        <v>1.5818746277819389</v>
      </c>
      <c r="H68" s="176"/>
      <c r="I68" s="176"/>
      <c r="J68" s="176"/>
      <c r="K68" s="177">
        <f t="shared" si="3"/>
        <v>0.95353068835765398</v>
      </c>
    </row>
    <row r="69" spans="1:11" x14ac:dyDescent="0.2">
      <c r="A69" s="174">
        <v>41548</v>
      </c>
      <c r="B69" s="181">
        <v>15</v>
      </c>
      <c r="C69" s="527">
        <v>9510</v>
      </c>
      <c r="D69" s="176">
        <f t="shared" si="0"/>
        <v>1.5772870662460567</v>
      </c>
      <c r="E69" s="176"/>
      <c r="F69" s="176"/>
      <c r="G69" s="176">
        <f t="shared" si="4"/>
        <v>1.5818746277819389</v>
      </c>
      <c r="H69" s="176"/>
      <c r="I69" s="176"/>
      <c r="J69" s="176"/>
      <c r="K69" s="177">
        <f t="shared" si="3"/>
        <v>0.95353068835765398</v>
      </c>
    </row>
    <row r="70" spans="1:11" x14ac:dyDescent="0.2">
      <c r="A70" s="174">
        <v>41579</v>
      </c>
      <c r="B70" s="181">
        <v>15</v>
      </c>
      <c r="C70" s="527">
        <v>9239</v>
      </c>
      <c r="D70" s="176">
        <f t="shared" si="0"/>
        <v>1.6235523325035177</v>
      </c>
      <c r="E70" s="176"/>
      <c r="F70" s="177"/>
      <c r="G70" s="176">
        <f t="shared" si="4"/>
        <v>1.5818746277819389</v>
      </c>
      <c r="H70" s="176"/>
      <c r="I70" s="176"/>
      <c r="J70" s="176"/>
      <c r="K70" s="177">
        <f t="shared" si="3"/>
        <v>0.95353068835765398</v>
      </c>
    </row>
    <row r="71" spans="1:11" x14ac:dyDescent="0.2">
      <c r="A71" s="174">
        <v>41609</v>
      </c>
      <c r="B71" s="181">
        <v>19</v>
      </c>
      <c r="C71" s="527">
        <v>9366</v>
      </c>
      <c r="D71" s="176">
        <f t="shared" si="0"/>
        <v>2.0286141362374548</v>
      </c>
      <c r="E71" s="176"/>
      <c r="F71" s="177"/>
      <c r="G71" s="176">
        <f>MEDIAN($D$60:$D$71)</f>
        <v>1.5818746277819389</v>
      </c>
      <c r="H71" s="176"/>
      <c r="I71" s="176"/>
      <c r="J71" s="176"/>
      <c r="K71" s="177">
        <f t="shared" si="3"/>
        <v>0.95353068835765398</v>
      </c>
    </row>
    <row r="72" spans="1:11" x14ac:dyDescent="0.2">
      <c r="A72" s="174">
        <v>41640</v>
      </c>
      <c r="B72" s="181">
        <v>23</v>
      </c>
      <c r="C72" s="527">
        <v>9547</v>
      </c>
      <c r="D72" s="176">
        <f t="shared" si="0"/>
        <v>2.4091337592961137</v>
      </c>
      <c r="E72" s="176"/>
      <c r="F72" s="177"/>
      <c r="G72" s="183"/>
      <c r="H72" s="176">
        <f>MEDIAN($D$60:$D$71)</f>
        <v>1.5818746277819389</v>
      </c>
      <c r="I72" s="176"/>
      <c r="J72" s="176"/>
      <c r="K72" s="177">
        <f t="shared" si="3"/>
        <v>0.95353068835765398</v>
      </c>
    </row>
    <row r="73" spans="1:11" x14ac:dyDescent="0.2">
      <c r="A73" s="174">
        <v>41671</v>
      </c>
      <c r="B73" s="181">
        <v>15</v>
      </c>
      <c r="C73" s="527">
        <v>9034</v>
      </c>
      <c r="D73" s="176">
        <f t="shared" si="0"/>
        <v>1.6603940668585344</v>
      </c>
      <c r="E73" s="176"/>
      <c r="F73" s="177"/>
      <c r="G73" s="176"/>
      <c r="H73" s="176">
        <f t="shared" ref="H73:H100" si="5">MEDIAN($D$60:$D$71)</f>
        <v>1.5818746277819389</v>
      </c>
      <c r="I73" s="176"/>
      <c r="J73" s="176"/>
      <c r="K73" s="177">
        <f t="shared" si="3"/>
        <v>0.95353068835765398</v>
      </c>
    </row>
    <row r="74" spans="1:11" x14ac:dyDescent="0.2">
      <c r="A74" s="174">
        <v>41699</v>
      </c>
      <c r="B74" s="181">
        <v>16</v>
      </c>
      <c r="C74" s="527">
        <v>9771</v>
      </c>
      <c r="D74" s="176">
        <f t="shared" si="0"/>
        <v>1.6374987207041245</v>
      </c>
      <c r="E74" s="176"/>
      <c r="F74" s="177"/>
      <c r="G74" s="176"/>
      <c r="H74" s="176">
        <f t="shared" si="5"/>
        <v>1.5818746277819389</v>
      </c>
      <c r="I74" s="176"/>
      <c r="J74" s="176"/>
      <c r="K74" s="177">
        <f t="shared" si="3"/>
        <v>0.95353068835765398</v>
      </c>
    </row>
    <row r="75" spans="1:11" x14ac:dyDescent="0.2">
      <c r="A75" s="174">
        <v>41730</v>
      </c>
      <c r="B75" s="181">
        <v>17</v>
      </c>
      <c r="C75" s="527">
        <v>9546</v>
      </c>
      <c r="D75" s="176">
        <f t="shared" si="0"/>
        <v>1.7808506180599204</v>
      </c>
      <c r="E75" s="176"/>
      <c r="F75" s="177"/>
      <c r="G75" s="176"/>
      <c r="H75" s="176">
        <f t="shared" si="5"/>
        <v>1.5818746277819389</v>
      </c>
      <c r="I75" s="176"/>
      <c r="J75" s="176"/>
      <c r="K75" s="177">
        <f t="shared" si="3"/>
        <v>0.95353068835765398</v>
      </c>
    </row>
    <row r="76" spans="1:11" x14ac:dyDescent="0.2">
      <c r="A76" s="174">
        <v>41760</v>
      </c>
      <c r="B76" s="181">
        <v>9</v>
      </c>
      <c r="C76" s="527">
        <v>10425</v>
      </c>
      <c r="D76" s="176">
        <f t="shared" ref="D76:D115" si="6">IF(B76="",#N/A,B76/C76*1000)</f>
        <v>0.86330935251798568</v>
      </c>
      <c r="E76" s="176"/>
      <c r="F76" s="177"/>
      <c r="G76" s="176"/>
      <c r="H76" s="176">
        <f t="shared" si="5"/>
        <v>1.5818746277819389</v>
      </c>
      <c r="I76" s="176"/>
      <c r="J76" s="176"/>
      <c r="K76" s="177">
        <f t="shared" si="3"/>
        <v>0.95353068835765398</v>
      </c>
    </row>
    <row r="77" spans="1:11" x14ac:dyDescent="0.2">
      <c r="A77" s="174">
        <v>41791</v>
      </c>
      <c r="B77" s="181">
        <v>16</v>
      </c>
      <c r="C77" s="527">
        <v>9924</v>
      </c>
      <c r="D77" s="176">
        <f t="shared" si="6"/>
        <v>1.6122531237404274</v>
      </c>
      <c r="E77" s="176"/>
      <c r="F77" s="177"/>
      <c r="G77" s="176"/>
      <c r="H77" s="176">
        <f t="shared" si="5"/>
        <v>1.5818746277819389</v>
      </c>
      <c r="I77" s="176"/>
      <c r="J77" s="176"/>
      <c r="K77" s="177">
        <f t="shared" si="3"/>
        <v>0.95353068835765398</v>
      </c>
    </row>
    <row r="78" spans="1:11" x14ac:dyDescent="0.2">
      <c r="A78" s="174">
        <v>41821</v>
      </c>
      <c r="B78" s="181">
        <v>11</v>
      </c>
      <c r="C78" s="527">
        <v>9996</v>
      </c>
      <c r="D78" s="176">
        <f t="shared" si="6"/>
        <v>1.1004401760704283</v>
      </c>
      <c r="E78" s="176"/>
      <c r="F78" s="177"/>
      <c r="G78" s="176"/>
      <c r="H78" s="176">
        <f t="shared" si="5"/>
        <v>1.5818746277819389</v>
      </c>
      <c r="I78" s="176"/>
      <c r="J78" s="176"/>
      <c r="K78" s="177">
        <f t="shared" si="3"/>
        <v>0.95353068835765398</v>
      </c>
    </row>
    <row r="79" spans="1:11" x14ac:dyDescent="0.2">
      <c r="A79" s="174">
        <v>41852</v>
      </c>
      <c r="B79" s="181">
        <v>17</v>
      </c>
      <c r="C79" s="527">
        <v>9896</v>
      </c>
      <c r="D79" s="176">
        <f t="shared" si="6"/>
        <v>1.7178658043654</v>
      </c>
      <c r="E79" s="176"/>
      <c r="F79" s="177"/>
      <c r="G79" s="176"/>
      <c r="H79" s="176">
        <f t="shared" si="5"/>
        <v>1.5818746277819389</v>
      </c>
      <c r="I79" s="176"/>
      <c r="J79" s="176"/>
      <c r="K79" s="177">
        <f t="shared" si="3"/>
        <v>0.95353068835765398</v>
      </c>
    </row>
    <row r="80" spans="1:11" x14ac:dyDescent="0.2">
      <c r="A80" s="174">
        <v>41883</v>
      </c>
      <c r="B80" s="181">
        <v>18</v>
      </c>
      <c r="C80" s="527">
        <v>9802</v>
      </c>
      <c r="D80" s="176">
        <f t="shared" si="6"/>
        <v>1.836359926545603</v>
      </c>
      <c r="E80" s="176"/>
      <c r="F80" s="177"/>
      <c r="G80" s="176"/>
      <c r="H80" s="176">
        <f t="shared" si="5"/>
        <v>1.5818746277819389</v>
      </c>
      <c r="I80" s="176"/>
      <c r="J80" s="176"/>
      <c r="K80" s="177">
        <f t="shared" si="3"/>
        <v>0.95353068835765398</v>
      </c>
    </row>
    <row r="81" spans="1:11" x14ac:dyDescent="0.2">
      <c r="A81" s="174">
        <v>41913</v>
      </c>
      <c r="B81" s="181">
        <v>11</v>
      </c>
      <c r="C81" s="527">
        <v>10394</v>
      </c>
      <c r="D81" s="176">
        <f t="shared" si="6"/>
        <v>1.0583028670386763</v>
      </c>
      <c r="E81" s="176"/>
      <c r="F81" s="177"/>
      <c r="G81" s="176"/>
      <c r="H81" s="176">
        <f t="shared" si="5"/>
        <v>1.5818746277819389</v>
      </c>
      <c r="I81" s="176"/>
      <c r="J81" s="176"/>
      <c r="K81" s="177">
        <f t="shared" si="3"/>
        <v>0.95353068835765398</v>
      </c>
    </row>
    <row r="82" spans="1:11" x14ac:dyDescent="0.2">
      <c r="A82" s="174">
        <v>41944</v>
      </c>
      <c r="B82" s="181">
        <v>13</v>
      </c>
      <c r="C82" s="527">
        <v>9975</v>
      </c>
      <c r="D82" s="176">
        <f t="shared" si="6"/>
        <v>1.3032581453634084</v>
      </c>
      <c r="E82" s="176"/>
      <c r="F82" s="177"/>
      <c r="G82" s="176"/>
      <c r="H82" s="176">
        <f t="shared" si="5"/>
        <v>1.5818746277819389</v>
      </c>
      <c r="I82" s="176"/>
      <c r="J82" s="176"/>
      <c r="K82" s="177">
        <f t="shared" si="3"/>
        <v>0.95353068835765398</v>
      </c>
    </row>
    <row r="83" spans="1:11" x14ac:dyDescent="0.2">
      <c r="A83" s="174">
        <v>41974</v>
      </c>
      <c r="B83" s="181">
        <v>23</v>
      </c>
      <c r="C83" s="527">
        <v>10452</v>
      </c>
      <c r="D83" s="176">
        <f t="shared" si="6"/>
        <v>2.2005357826253347</v>
      </c>
      <c r="E83" s="176"/>
      <c r="F83" s="177"/>
      <c r="G83" s="176"/>
      <c r="H83" s="176">
        <f t="shared" si="5"/>
        <v>1.5818746277819389</v>
      </c>
      <c r="I83" s="176"/>
      <c r="J83" s="176"/>
      <c r="K83" s="177">
        <f t="shared" si="3"/>
        <v>0.95353068835765398</v>
      </c>
    </row>
    <row r="84" spans="1:11" x14ac:dyDescent="0.2">
      <c r="A84" s="174">
        <v>42005</v>
      </c>
      <c r="B84" s="181">
        <v>24</v>
      </c>
      <c r="C84" s="527">
        <v>10136</v>
      </c>
      <c r="D84" s="176">
        <f t="shared" si="6"/>
        <v>2.3677979479084454</v>
      </c>
      <c r="E84" s="176"/>
      <c r="F84" s="177"/>
      <c r="G84" s="176"/>
      <c r="H84" s="176">
        <f t="shared" si="5"/>
        <v>1.5818746277819389</v>
      </c>
      <c r="I84" s="176"/>
      <c r="J84" s="176"/>
      <c r="K84" s="177">
        <f t="shared" si="3"/>
        <v>0.95353068835765398</v>
      </c>
    </row>
    <row r="85" spans="1:11" x14ac:dyDescent="0.2">
      <c r="A85" s="174">
        <v>42036</v>
      </c>
      <c r="B85" s="181">
        <v>19</v>
      </c>
      <c r="C85" s="527">
        <v>9544</v>
      </c>
      <c r="D85" s="176">
        <f t="shared" si="6"/>
        <v>1.9907795473595975</v>
      </c>
      <c r="E85" s="176"/>
      <c r="F85" s="177"/>
      <c r="G85" s="176"/>
      <c r="H85" s="176">
        <f t="shared" si="5"/>
        <v>1.5818746277819389</v>
      </c>
      <c r="I85" s="176"/>
      <c r="J85" s="176"/>
      <c r="K85" s="177">
        <f t="shared" si="3"/>
        <v>0.95353068835765398</v>
      </c>
    </row>
    <row r="86" spans="1:11" x14ac:dyDescent="0.2">
      <c r="A86" s="174">
        <v>42064</v>
      </c>
      <c r="B86" s="181">
        <v>20</v>
      </c>
      <c r="C86" s="527">
        <v>10425</v>
      </c>
      <c r="D86" s="176">
        <f t="shared" si="6"/>
        <v>1.9184652278177459</v>
      </c>
      <c r="E86" s="176"/>
      <c r="F86" s="177"/>
      <c r="G86" s="176"/>
      <c r="H86" s="176">
        <f t="shared" si="5"/>
        <v>1.5818746277819389</v>
      </c>
      <c r="I86" s="176"/>
      <c r="J86" s="176"/>
      <c r="K86" s="177">
        <f t="shared" si="3"/>
        <v>0.95353068835765398</v>
      </c>
    </row>
    <row r="87" spans="1:11" x14ac:dyDescent="0.2">
      <c r="A87" s="174">
        <v>42095</v>
      </c>
      <c r="B87" s="181">
        <v>19</v>
      </c>
      <c r="C87" s="527">
        <v>9960</v>
      </c>
      <c r="D87" s="176">
        <f t="shared" si="6"/>
        <v>1.9076305220883534</v>
      </c>
      <c r="E87" s="176"/>
      <c r="F87" s="177"/>
      <c r="G87" s="176"/>
      <c r="H87" s="176">
        <f t="shared" si="5"/>
        <v>1.5818746277819389</v>
      </c>
      <c r="I87" s="176"/>
      <c r="J87" s="176"/>
      <c r="K87" s="177">
        <f t="shared" si="3"/>
        <v>0.95353068835765398</v>
      </c>
    </row>
    <row r="88" spans="1:11" x14ac:dyDescent="0.2">
      <c r="A88" s="174">
        <v>42125</v>
      </c>
      <c r="B88" s="181">
        <v>14</v>
      </c>
      <c r="C88" s="527">
        <v>9954</v>
      </c>
      <c r="D88" s="176">
        <f t="shared" si="6"/>
        <v>1.4064697609001406</v>
      </c>
      <c r="E88" s="176"/>
      <c r="F88" s="177"/>
      <c r="G88" s="176"/>
      <c r="H88" s="176">
        <f t="shared" si="5"/>
        <v>1.5818746277819389</v>
      </c>
      <c r="I88" s="176"/>
      <c r="J88" s="176"/>
      <c r="K88" s="177">
        <f t="shared" si="3"/>
        <v>0.95353068835765398</v>
      </c>
    </row>
    <row r="89" spans="1:11" x14ac:dyDescent="0.2">
      <c r="A89" s="174">
        <v>42156</v>
      </c>
      <c r="B89" s="181">
        <v>17</v>
      </c>
      <c r="C89" s="527">
        <v>10050</v>
      </c>
      <c r="D89" s="176">
        <f t="shared" si="6"/>
        <v>1.691542288557214</v>
      </c>
      <c r="E89" s="176"/>
      <c r="F89" s="177"/>
      <c r="G89" s="176"/>
      <c r="H89" s="176">
        <f t="shared" si="5"/>
        <v>1.5818746277819389</v>
      </c>
      <c r="I89" s="176"/>
      <c r="J89" s="176"/>
      <c r="K89" s="177">
        <f t="shared" ref="K89:K134" si="7">(0.5*$E$12)</f>
        <v>0.95353068835765398</v>
      </c>
    </row>
    <row r="90" spans="1:11" x14ac:dyDescent="0.2">
      <c r="A90" s="174">
        <v>42186</v>
      </c>
      <c r="B90" s="181">
        <v>18</v>
      </c>
      <c r="C90" s="527">
        <v>9838</v>
      </c>
      <c r="D90" s="176">
        <f t="shared" si="6"/>
        <v>1.8296401707664161</v>
      </c>
      <c r="E90" s="176"/>
      <c r="F90" s="177"/>
      <c r="G90" s="176"/>
      <c r="H90" s="176">
        <f t="shared" si="5"/>
        <v>1.5818746277819389</v>
      </c>
      <c r="I90" s="176"/>
      <c r="J90" s="176"/>
      <c r="K90" s="177">
        <f t="shared" si="7"/>
        <v>0.95353068835765398</v>
      </c>
    </row>
    <row r="91" spans="1:11" x14ac:dyDescent="0.2">
      <c r="A91" s="174">
        <v>42217</v>
      </c>
      <c r="B91" s="181">
        <v>13</v>
      </c>
      <c r="C91" s="527">
        <v>9648</v>
      </c>
      <c r="D91" s="176">
        <f t="shared" si="6"/>
        <v>1.3474295190713101</v>
      </c>
      <c r="E91" s="176"/>
      <c r="F91" s="177"/>
      <c r="G91" s="176"/>
      <c r="H91" s="176">
        <f t="shared" si="5"/>
        <v>1.5818746277819389</v>
      </c>
      <c r="I91" s="176"/>
      <c r="J91" s="176"/>
      <c r="K91" s="177">
        <f t="shared" si="7"/>
        <v>0.95353068835765398</v>
      </c>
    </row>
    <row r="92" spans="1:11" x14ac:dyDescent="0.2">
      <c r="A92" s="174">
        <v>42248</v>
      </c>
      <c r="B92" s="181">
        <v>19</v>
      </c>
      <c r="C92" s="527">
        <v>9545</v>
      </c>
      <c r="D92" s="176">
        <f t="shared" si="6"/>
        <v>1.9905709795704556</v>
      </c>
      <c r="E92" s="176"/>
      <c r="F92" s="177"/>
      <c r="G92" s="176"/>
      <c r="H92" s="176">
        <f t="shared" si="5"/>
        <v>1.5818746277819389</v>
      </c>
      <c r="I92" s="176"/>
      <c r="J92" s="176"/>
      <c r="K92" s="177">
        <f t="shared" si="7"/>
        <v>0.95353068835765398</v>
      </c>
    </row>
    <row r="93" spans="1:11" x14ac:dyDescent="0.2">
      <c r="A93" s="174">
        <v>42278</v>
      </c>
      <c r="B93" s="181">
        <v>11</v>
      </c>
      <c r="C93" s="527">
        <v>10093</v>
      </c>
      <c r="D93" s="176">
        <f t="shared" si="6"/>
        <v>1.0898642623600514</v>
      </c>
      <c r="E93" s="176"/>
      <c r="F93" s="177"/>
      <c r="G93" s="176"/>
      <c r="H93" s="176">
        <f t="shared" si="5"/>
        <v>1.5818746277819389</v>
      </c>
      <c r="I93" s="176"/>
      <c r="J93" s="176"/>
      <c r="K93" s="177">
        <f t="shared" si="7"/>
        <v>0.95353068835765398</v>
      </c>
    </row>
    <row r="94" spans="1:11" x14ac:dyDescent="0.2">
      <c r="A94" s="174">
        <v>42309</v>
      </c>
      <c r="B94" s="181">
        <v>11</v>
      </c>
      <c r="C94" s="527">
        <v>9633</v>
      </c>
      <c r="D94" s="176">
        <f t="shared" si="6"/>
        <v>1.1419080244991175</v>
      </c>
      <c r="E94" s="176"/>
      <c r="F94" s="177"/>
      <c r="G94" s="176"/>
      <c r="H94" s="176">
        <f t="shared" si="5"/>
        <v>1.5818746277819389</v>
      </c>
      <c r="I94" s="176"/>
      <c r="J94" s="176"/>
      <c r="K94" s="177">
        <f t="shared" si="7"/>
        <v>0.95353068835765398</v>
      </c>
    </row>
    <row r="95" spans="1:11" x14ac:dyDescent="0.2">
      <c r="A95" s="174">
        <v>42339</v>
      </c>
      <c r="B95" s="181">
        <v>13</v>
      </c>
      <c r="C95" s="527">
        <v>9858</v>
      </c>
      <c r="D95" s="176">
        <f t="shared" si="6"/>
        <v>1.3187259078920672</v>
      </c>
      <c r="E95" s="176"/>
      <c r="F95" s="177"/>
      <c r="G95" s="176"/>
      <c r="H95" s="176">
        <f t="shared" si="5"/>
        <v>1.5818746277819389</v>
      </c>
      <c r="I95" s="176"/>
      <c r="J95" s="176"/>
      <c r="K95" s="177">
        <f t="shared" si="7"/>
        <v>0.95353068835765398</v>
      </c>
    </row>
    <row r="96" spans="1:11" x14ac:dyDescent="0.2">
      <c r="A96" s="174">
        <v>42370</v>
      </c>
      <c r="B96" s="181">
        <v>19</v>
      </c>
      <c r="C96" s="527">
        <v>8861</v>
      </c>
      <c r="D96" s="176">
        <f t="shared" si="6"/>
        <v>2.1442275138246245</v>
      </c>
      <c r="E96" s="176"/>
      <c r="F96" s="177"/>
      <c r="G96" s="176"/>
      <c r="H96" s="176">
        <f t="shared" si="5"/>
        <v>1.5818746277819389</v>
      </c>
      <c r="I96" s="176"/>
      <c r="J96" s="176"/>
      <c r="K96" s="177">
        <f t="shared" si="7"/>
        <v>0.95353068835765398</v>
      </c>
    </row>
    <row r="97" spans="1:11" x14ac:dyDescent="0.2">
      <c r="A97" s="174">
        <v>42401</v>
      </c>
      <c r="B97" s="181">
        <v>25</v>
      </c>
      <c r="C97" s="527">
        <v>8903</v>
      </c>
      <c r="D97" s="176">
        <f t="shared" si="6"/>
        <v>2.8080422329551835</v>
      </c>
      <c r="E97" s="176"/>
      <c r="F97" s="177"/>
      <c r="G97" s="176"/>
      <c r="H97" s="176">
        <f t="shared" si="5"/>
        <v>1.5818746277819389</v>
      </c>
      <c r="I97" s="176"/>
      <c r="J97" s="176"/>
      <c r="K97" s="177">
        <f t="shared" si="7"/>
        <v>0.95353068835765398</v>
      </c>
    </row>
    <row r="98" spans="1:11" x14ac:dyDescent="0.2">
      <c r="A98" s="174">
        <v>42430</v>
      </c>
      <c r="B98" s="181">
        <v>21</v>
      </c>
      <c r="C98" s="527">
        <v>9886</v>
      </c>
      <c r="D98" s="176">
        <f t="shared" si="6"/>
        <v>2.124216063119563</v>
      </c>
      <c r="E98" s="176"/>
      <c r="F98" s="177"/>
      <c r="G98" s="177"/>
      <c r="H98" s="176">
        <f t="shared" si="5"/>
        <v>1.5818746277819389</v>
      </c>
      <c r="I98" s="176"/>
      <c r="J98" s="176"/>
      <c r="K98" s="177">
        <f t="shared" si="7"/>
        <v>0.95353068835765398</v>
      </c>
    </row>
    <row r="99" spans="1:11" x14ac:dyDescent="0.2">
      <c r="A99" s="174">
        <v>42461</v>
      </c>
      <c r="B99" s="181">
        <v>11</v>
      </c>
      <c r="C99" s="527">
        <v>9144</v>
      </c>
      <c r="D99" s="176">
        <f t="shared" si="6"/>
        <v>1.2029746281714784</v>
      </c>
      <c r="E99" s="176"/>
      <c r="F99" s="177"/>
      <c r="G99" s="177"/>
      <c r="H99" s="176">
        <f t="shared" si="5"/>
        <v>1.5818746277819389</v>
      </c>
      <c r="I99" s="176"/>
      <c r="J99" s="176"/>
      <c r="K99" s="177">
        <f t="shared" si="7"/>
        <v>0.95353068835765398</v>
      </c>
    </row>
    <row r="100" spans="1:11" s="186" customFormat="1" x14ac:dyDescent="0.2">
      <c r="A100" s="174">
        <v>42491</v>
      </c>
      <c r="B100" s="366">
        <v>25</v>
      </c>
      <c r="C100" s="528">
        <v>9773</v>
      </c>
      <c r="D100" s="176">
        <f t="shared" si="6"/>
        <v>2.5580681469354345</v>
      </c>
      <c r="E100" s="176"/>
      <c r="F100" s="177"/>
      <c r="G100" s="177"/>
      <c r="H100" s="176">
        <f t="shared" si="5"/>
        <v>1.5818746277819389</v>
      </c>
      <c r="I100" s="176">
        <f>MEDIAN($D$100:$D$111)</f>
        <v>1.7571831579921873</v>
      </c>
      <c r="J100" s="176"/>
      <c r="K100" s="177">
        <f t="shared" si="7"/>
        <v>0.95353068835765398</v>
      </c>
    </row>
    <row r="101" spans="1:11" x14ac:dyDescent="0.2">
      <c r="A101" s="174">
        <v>42522</v>
      </c>
      <c r="B101" s="181">
        <v>15</v>
      </c>
      <c r="C101" s="527">
        <v>9398</v>
      </c>
      <c r="D101" s="176">
        <f t="shared" si="6"/>
        <v>1.5960842732496276</v>
      </c>
      <c r="E101" s="176"/>
      <c r="F101" s="177"/>
      <c r="G101" s="177"/>
      <c r="H101" s="176" t="s">
        <v>368</v>
      </c>
      <c r="I101" s="176">
        <f t="shared" ref="I101:I108" si="8">MEDIAN($D$100:$D$111)</f>
        <v>1.7571831579921873</v>
      </c>
      <c r="J101" s="176"/>
      <c r="K101" s="177">
        <f t="shared" si="7"/>
        <v>0.95353068835765398</v>
      </c>
    </row>
    <row r="102" spans="1:11" x14ac:dyDescent="0.2">
      <c r="A102" s="174">
        <v>42552</v>
      </c>
      <c r="B102" s="181">
        <v>16</v>
      </c>
      <c r="C102" s="527">
        <v>10049</v>
      </c>
      <c r="D102" s="176">
        <f t="shared" si="6"/>
        <v>1.5921982286794705</v>
      </c>
      <c r="E102" s="176"/>
      <c r="F102" s="177"/>
      <c r="G102" s="177"/>
      <c r="H102" s="176" t="s">
        <v>368</v>
      </c>
      <c r="I102" s="176">
        <f t="shared" si="8"/>
        <v>1.7571831579921873</v>
      </c>
      <c r="J102" s="176"/>
      <c r="K102" s="177">
        <f t="shared" si="7"/>
        <v>0.95353068835765398</v>
      </c>
    </row>
    <row r="103" spans="1:11" x14ac:dyDescent="0.2">
      <c r="A103" s="174">
        <v>42583</v>
      </c>
      <c r="B103" s="181">
        <v>19</v>
      </c>
      <c r="C103" s="527">
        <v>10003</v>
      </c>
      <c r="D103" s="176">
        <f t="shared" si="6"/>
        <v>1.8994301709487154</v>
      </c>
      <c r="E103" s="184"/>
      <c r="F103" s="184"/>
      <c r="G103" s="184"/>
      <c r="H103" s="176" t="s">
        <v>368</v>
      </c>
      <c r="I103" s="176">
        <f t="shared" si="8"/>
        <v>1.7571831579921873</v>
      </c>
      <c r="J103" s="176"/>
      <c r="K103" s="177">
        <f t="shared" si="7"/>
        <v>0.95353068835765398</v>
      </c>
    </row>
    <row r="104" spans="1:11" x14ac:dyDescent="0.2">
      <c r="A104" s="174">
        <v>42614</v>
      </c>
      <c r="B104" s="181">
        <v>16</v>
      </c>
      <c r="C104" s="527">
        <v>9793</v>
      </c>
      <c r="D104" s="176">
        <f t="shared" si="6"/>
        <v>1.6338200755641785</v>
      </c>
      <c r="E104" s="184"/>
      <c r="F104" s="184"/>
      <c r="G104" s="184"/>
      <c r="H104" s="176" t="s">
        <v>368</v>
      </c>
      <c r="I104" s="176">
        <f t="shared" si="8"/>
        <v>1.7571831579921873</v>
      </c>
      <c r="J104" s="176"/>
      <c r="K104" s="177">
        <f t="shared" si="7"/>
        <v>0.95353068835765398</v>
      </c>
    </row>
    <row r="105" spans="1:11" x14ac:dyDescent="0.2">
      <c r="A105" s="174">
        <v>42644</v>
      </c>
      <c r="B105" s="181">
        <v>18</v>
      </c>
      <c r="C105" s="527">
        <v>10005</v>
      </c>
      <c r="D105" s="176">
        <f t="shared" si="6"/>
        <v>1.7991004497751124</v>
      </c>
      <c r="E105" s="184"/>
      <c r="F105" s="184"/>
      <c r="G105" s="184"/>
      <c r="H105" s="176" t="s">
        <v>368</v>
      </c>
      <c r="I105" s="176">
        <f t="shared" si="8"/>
        <v>1.7571831579921873</v>
      </c>
      <c r="J105" s="176"/>
      <c r="K105" s="177">
        <f t="shared" si="7"/>
        <v>0.95353068835765398</v>
      </c>
    </row>
    <row r="106" spans="1:11" x14ac:dyDescent="0.2">
      <c r="A106" s="174">
        <v>42675</v>
      </c>
      <c r="B106" s="181">
        <v>17</v>
      </c>
      <c r="C106" s="527">
        <v>9911</v>
      </c>
      <c r="D106" s="176">
        <f t="shared" si="6"/>
        <v>1.7152658662092624</v>
      </c>
      <c r="E106" s="184"/>
      <c r="F106" s="184"/>
      <c r="G106" s="184"/>
      <c r="H106" s="176" t="s">
        <v>368</v>
      </c>
      <c r="I106" s="176">
        <f t="shared" si="8"/>
        <v>1.7571831579921873</v>
      </c>
      <c r="J106" s="176"/>
      <c r="K106" s="177">
        <f t="shared" si="7"/>
        <v>0.95353068835765398</v>
      </c>
    </row>
    <row r="107" spans="1:11" x14ac:dyDescent="0.2">
      <c r="A107" s="114">
        <v>42705</v>
      </c>
      <c r="B107" s="181">
        <v>23</v>
      </c>
      <c r="C107" s="527">
        <v>9846</v>
      </c>
      <c r="D107" s="176">
        <f t="shared" si="6"/>
        <v>2.3359739995937434</v>
      </c>
      <c r="E107" s="184"/>
      <c r="F107" s="184"/>
      <c r="G107" s="184"/>
      <c r="H107" s="176" t="s">
        <v>368</v>
      </c>
      <c r="I107" s="176">
        <f t="shared" si="8"/>
        <v>1.7571831579921873</v>
      </c>
      <c r="J107" s="176"/>
      <c r="K107" s="177">
        <f t="shared" si="7"/>
        <v>0.95353068835765398</v>
      </c>
    </row>
    <row r="108" spans="1:11" x14ac:dyDescent="0.2">
      <c r="A108" s="174">
        <v>42736</v>
      </c>
      <c r="B108" s="181">
        <v>19</v>
      </c>
      <c r="C108" s="527">
        <v>9435</v>
      </c>
      <c r="D108" s="176">
        <f t="shared" si="6"/>
        <v>2.0137784843667199</v>
      </c>
      <c r="E108" s="184"/>
      <c r="F108" s="184"/>
      <c r="G108" s="184"/>
      <c r="H108" s="176" t="s">
        <v>368</v>
      </c>
      <c r="I108" s="176">
        <f t="shared" si="8"/>
        <v>1.7571831579921873</v>
      </c>
      <c r="J108" s="176"/>
      <c r="K108" s="177">
        <f t="shared" si="7"/>
        <v>0.95353068835765398</v>
      </c>
    </row>
    <row r="109" spans="1:11" x14ac:dyDescent="0.2">
      <c r="A109" s="114">
        <v>42767</v>
      </c>
      <c r="B109" s="181">
        <v>27</v>
      </c>
      <c r="C109" s="527">
        <v>9061</v>
      </c>
      <c r="D109" s="176">
        <f t="shared" si="6"/>
        <v>2.9798035536916454</v>
      </c>
      <c r="E109" s="184"/>
      <c r="F109" s="184"/>
      <c r="G109" s="184"/>
      <c r="H109" s="176" t="s">
        <v>368</v>
      </c>
      <c r="I109" s="176">
        <f>MEDIAN($D$100:$D$111)</f>
        <v>1.7571831579921873</v>
      </c>
      <c r="J109" s="176"/>
      <c r="K109" s="177">
        <f t="shared" si="7"/>
        <v>0.95353068835765398</v>
      </c>
    </row>
    <row r="110" spans="1:11" x14ac:dyDescent="0.2">
      <c r="A110" s="447">
        <v>42795</v>
      </c>
      <c r="B110" s="20">
        <v>15</v>
      </c>
      <c r="C110" s="529">
        <v>10294</v>
      </c>
      <c r="D110" s="448">
        <f t="shared" si="6"/>
        <v>1.4571595103944044</v>
      </c>
      <c r="E110" s="184"/>
      <c r="F110" s="184"/>
      <c r="G110" s="184"/>
      <c r="H110" s="176" t="s">
        <v>368</v>
      </c>
      <c r="I110" s="176">
        <f>MEDIAN($D$100:$D$111)</f>
        <v>1.7571831579921873</v>
      </c>
      <c r="J110" s="176"/>
      <c r="K110" s="177">
        <f>(0.5*$E$12)</f>
        <v>0.95353068835765398</v>
      </c>
    </row>
    <row r="111" spans="1:11" x14ac:dyDescent="0.2">
      <c r="A111" s="447">
        <v>42826</v>
      </c>
      <c r="B111" s="20">
        <v>13</v>
      </c>
      <c r="C111" s="529">
        <v>9562</v>
      </c>
      <c r="D111" s="448">
        <f t="shared" si="6"/>
        <v>1.3595482116711985</v>
      </c>
      <c r="E111" s="184"/>
      <c r="F111" s="184"/>
      <c r="G111" s="184"/>
      <c r="H111" s="176" t="s">
        <v>368</v>
      </c>
      <c r="I111" s="176">
        <f>MEDIAN($D$100:$D$111)</f>
        <v>1.7571831579921873</v>
      </c>
      <c r="J111" s="176">
        <f>MEDIAN($D$100:$D$111)</f>
        <v>1.7571831579921873</v>
      </c>
      <c r="K111" s="177">
        <f>(0.5*$E$12)</f>
        <v>0.95353068835765398</v>
      </c>
    </row>
    <row r="112" spans="1:11" x14ac:dyDescent="0.2">
      <c r="A112" s="174">
        <v>42856</v>
      </c>
      <c r="B112" s="181">
        <v>18</v>
      </c>
      <c r="C112" s="527">
        <v>10480</v>
      </c>
      <c r="D112" s="176">
        <f t="shared" si="6"/>
        <v>1.7175572519083968</v>
      </c>
      <c r="E112" s="184"/>
      <c r="F112" s="184"/>
      <c r="G112" s="184"/>
      <c r="H112" s="176" t="s">
        <v>368</v>
      </c>
      <c r="I112" s="240" t="s">
        <v>368</v>
      </c>
      <c r="J112" s="176">
        <f t="shared" ref="J112:J117" si="9">MEDIAN($D$100:$D$111)</f>
        <v>1.7571831579921873</v>
      </c>
      <c r="K112" s="177">
        <f t="shared" si="7"/>
        <v>0.95353068835765398</v>
      </c>
    </row>
    <row r="113" spans="1:11" x14ac:dyDescent="0.2">
      <c r="A113" s="447">
        <v>42887</v>
      </c>
      <c r="B113" s="181">
        <v>13</v>
      </c>
      <c r="C113" s="527">
        <v>10100</v>
      </c>
      <c r="D113" s="176">
        <f t="shared" si="6"/>
        <v>1.2871287128712872</v>
      </c>
      <c r="E113" s="184"/>
      <c r="F113" s="184"/>
      <c r="G113" s="184"/>
      <c r="H113" s="176" t="s">
        <v>368</v>
      </c>
      <c r="I113" s="176"/>
      <c r="J113" s="176">
        <f t="shared" si="9"/>
        <v>1.7571831579921873</v>
      </c>
      <c r="K113" s="177">
        <f t="shared" si="7"/>
        <v>0.95353068835765398</v>
      </c>
    </row>
    <row r="114" spans="1:11" x14ac:dyDescent="0.2">
      <c r="A114" s="174">
        <v>42917</v>
      </c>
      <c r="B114" s="181">
        <v>16</v>
      </c>
      <c r="C114" s="527">
        <v>9698</v>
      </c>
      <c r="D114" s="176">
        <f t="shared" si="6"/>
        <v>1.6498247061249742</v>
      </c>
      <c r="E114" s="184"/>
      <c r="F114" s="184"/>
      <c r="G114" s="184"/>
      <c r="H114" s="176" t="s">
        <v>368</v>
      </c>
      <c r="I114" s="176"/>
      <c r="J114" s="176">
        <f t="shared" si="9"/>
        <v>1.7571831579921873</v>
      </c>
      <c r="K114" s="177">
        <f t="shared" si="7"/>
        <v>0.95353068835765398</v>
      </c>
    </row>
    <row r="115" spans="1:11" x14ac:dyDescent="0.2">
      <c r="A115" s="447">
        <v>42948</v>
      </c>
      <c r="B115" s="181">
        <v>12</v>
      </c>
      <c r="C115" s="527">
        <v>10275</v>
      </c>
      <c r="D115" s="176">
        <f t="shared" si="6"/>
        <v>1.1678832116788322</v>
      </c>
      <c r="E115" s="184"/>
      <c r="F115" s="184"/>
      <c r="G115" s="184"/>
      <c r="H115" s="176" t="s">
        <v>368</v>
      </c>
      <c r="I115" s="176"/>
      <c r="J115" s="176">
        <f t="shared" si="9"/>
        <v>1.7571831579921873</v>
      </c>
      <c r="K115" s="177">
        <f t="shared" si="7"/>
        <v>0.95353068835765398</v>
      </c>
    </row>
    <row r="116" spans="1:11" x14ac:dyDescent="0.2">
      <c r="A116" s="174">
        <v>42979</v>
      </c>
      <c r="B116" s="181">
        <v>15</v>
      </c>
      <c r="C116" s="527">
        <v>9642</v>
      </c>
      <c r="D116" s="176">
        <f>IF(B116="",#N/A,B116/C116*1000)</f>
        <v>1.5556938394523958</v>
      </c>
      <c r="E116" s="184"/>
      <c r="F116" s="184"/>
      <c r="G116" s="184"/>
      <c r="H116" s="176" t="s">
        <v>368</v>
      </c>
      <c r="I116" s="176"/>
      <c r="J116" s="176">
        <f t="shared" si="9"/>
        <v>1.7571831579921873</v>
      </c>
      <c r="K116" s="177">
        <f t="shared" si="7"/>
        <v>0.95353068835765398</v>
      </c>
    </row>
    <row r="117" spans="1:11" x14ac:dyDescent="0.2">
      <c r="A117" s="447">
        <v>43009</v>
      </c>
      <c r="B117" s="181">
        <v>7</v>
      </c>
      <c r="C117" s="527">
        <v>10287</v>
      </c>
      <c r="D117" s="176">
        <f>IF(B117="",#N/A,B117/C117*1000)</f>
        <v>0.68047049674346261</v>
      </c>
      <c r="E117" s="184"/>
      <c r="F117" s="184"/>
      <c r="G117" s="184"/>
      <c r="H117" s="176" t="s">
        <v>368</v>
      </c>
      <c r="I117" s="176"/>
      <c r="J117" s="176">
        <f t="shared" si="9"/>
        <v>1.7571831579921873</v>
      </c>
      <c r="K117" s="177">
        <f t="shared" si="7"/>
        <v>0.95353068835765398</v>
      </c>
    </row>
    <row r="118" spans="1:11" x14ac:dyDescent="0.2">
      <c r="A118" s="174">
        <v>43040</v>
      </c>
      <c r="B118" s="181">
        <v>10</v>
      </c>
      <c r="C118" s="527">
        <v>10201</v>
      </c>
      <c r="D118" s="176">
        <f>IF(B118="",#N/A,B118/C118*1000)</f>
        <v>0.98029604940692094</v>
      </c>
      <c r="E118" s="184"/>
      <c r="F118" s="184"/>
      <c r="G118" s="184"/>
      <c r="H118" s="176" t="s">
        <v>368</v>
      </c>
      <c r="I118" s="176"/>
      <c r="J118" s="176">
        <f>MEDIAN($D$100:$D$111)</f>
        <v>1.7571831579921873</v>
      </c>
      <c r="K118" s="177">
        <f t="shared" si="7"/>
        <v>0.95353068835765398</v>
      </c>
    </row>
    <row r="119" spans="1:11" x14ac:dyDescent="0.2">
      <c r="A119" s="447">
        <v>43070</v>
      </c>
      <c r="B119" s="181">
        <v>26</v>
      </c>
      <c r="C119" s="527">
        <v>10079</v>
      </c>
      <c r="D119" s="176">
        <f>IF(B119="",#N/A,B119/C119*1000)</f>
        <v>2.5796209941462447</v>
      </c>
      <c r="E119" s="184"/>
      <c r="F119" s="184"/>
      <c r="G119" s="184"/>
      <c r="H119" s="176" t="s">
        <v>368</v>
      </c>
      <c r="I119" s="176"/>
      <c r="J119" s="176">
        <f>MEDIAN($D$100:$D$111)</f>
        <v>1.7571831579921873</v>
      </c>
      <c r="K119" s="177">
        <f t="shared" si="7"/>
        <v>0.95353068835765398</v>
      </c>
    </row>
    <row r="120" spans="1:11" x14ac:dyDescent="0.2">
      <c r="A120" s="114"/>
      <c r="B120" s="181"/>
      <c r="C120" s="527" t="s">
        <v>177</v>
      </c>
      <c r="D120" s="176"/>
      <c r="E120" s="184"/>
      <c r="F120" s="184"/>
      <c r="G120" s="184"/>
      <c r="H120" s="176" t="s">
        <v>368</v>
      </c>
      <c r="I120" s="176"/>
      <c r="J120" s="176"/>
      <c r="K120" s="177">
        <f t="shared" si="7"/>
        <v>0.95353068835765398</v>
      </c>
    </row>
    <row r="121" spans="1:11" x14ac:dyDescent="0.2">
      <c r="A121" s="174"/>
      <c r="B121" s="181"/>
      <c r="C121" s="527" t="s">
        <v>177</v>
      </c>
      <c r="D121" s="176"/>
      <c r="E121" s="184"/>
      <c r="F121" s="184"/>
      <c r="G121" s="184"/>
      <c r="H121" s="176" t="s">
        <v>368</v>
      </c>
      <c r="I121" s="176"/>
      <c r="J121" s="176"/>
      <c r="K121" s="177">
        <f t="shared" si="7"/>
        <v>0.95353068835765398</v>
      </c>
    </row>
    <row r="122" spans="1:11" x14ac:dyDescent="0.2">
      <c r="A122" s="174"/>
      <c r="B122" s="181"/>
      <c r="C122" s="527" t="s">
        <v>177</v>
      </c>
      <c r="D122" s="176"/>
      <c r="E122" s="184"/>
      <c r="F122" s="184"/>
      <c r="G122" s="184"/>
      <c r="H122" s="176" t="s">
        <v>368</v>
      </c>
      <c r="I122" s="176"/>
      <c r="J122" s="176"/>
      <c r="K122" s="177">
        <f t="shared" si="7"/>
        <v>0.95353068835765398</v>
      </c>
    </row>
    <row r="123" spans="1:11" x14ac:dyDescent="0.2">
      <c r="A123" s="174"/>
      <c r="B123" s="181"/>
      <c r="C123" s="527" t="s">
        <v>177</v>
      </c>
      <c r="D123" s="176"/>
      <c r="E123" s="184"/>
      <c r="F123" s="184"/>
      <c r="G123" s="184"/>
      <c r="H123" s="176" t="s">
        <v>368</v>
      </c>
      <c r="I123" s="176"/>
      <c r="J123" s="176"/>
      <c r="K123" s="177">
        <f t="shared" si="7"/>
        <v>0.95353068835765398</v>
      </c>
    </row>
    <row r="124" spans="1:11" x14ac:dyDescent="0.2">
      <c r="A124" s="114"/>
      <c r="B124" s="181"/>
      <c r="C124" s="527" t="s">
        <v>177</v>
      </c>
      <c r="D124" s="176"/>
      <c r="E124" s="184"/>
      <c r="F124" s="184"/>
      <c r="G124" s="184"/>
      <c r="H124" s="176" t="s">
        <v>368</v>
      </c>
      <c r="I124" s="176"/>
      <c r="J124" s="176"/>
      <c r="K124" s="177">
        <f t="shared" si="7"/>
        <v>0.95353068835765398</v>
      </c>
    </row>
    <row r="125" spans="1:11" x14ac:dyDescent="0.2">
      <c r="A125" s="174"/>
      <c r="B125" s="181"/>
      <c r="C125" s="527" t="s">
        <v>177</v>
      </c>
      <c r="D125" s="176"/>
      <c r="E125" s="184"/>
      <c r="F125" s="184"/>
      <c r="G125" s="184"/>
      <c r="H125" s="176" t="s">
        <v>368</v>
      </c>
      <c r="I125" s="176"/>
      <c r="J125" s="176"/>
      <c r="K125" s="177">
        <f t="shared" si="7"/>
        <v>0.95353068835765398</v>
      </c>
    </row>
    <row r="126" spans="1:11" x14ac:dyDescent="0.2">
      <c r="A126" s="114"/>
      <c r="B126" s="181"/>
      <c r="C126" s="527" t="s">
        <v>177</v>
      </c>
      <c r="D126" s="176"/>
      <c r="E126" s="184"/>
      <c r="F126" s="184"/>
      <c r="G126" s="184"/>
      <c r="H126" s="176" t="s">
        <v>368</v>
      </c>
      <c r="I126" s="176"/>
      <c r="J126" s="176"/>
      <c r="K126" s="177">
        <f t="shared" si="7"/>
        <v>0.95353068835765398</v>
      </c>
    </row>
    <row r="127" spans="1:11" x14ac:dyDescent="0.2">
      <c r="A127" s="174"/>
      <c r="B127" s="181"/>
      <c r="C127" s="527" t="s">
        <v>177</v>
      </c>
      <c r="D127" s="176"/>
      <c r="E127" s="184"/>
      <c r="F127" s="184"/>
      <c r="G127" s="184"/>
      <c r="H127" s="176" t="s">
        <v>368</v>
      </c>
      <c r="I127" s="176"/>
      <c r="J127" s="176"/>
      <c r="K127" s="177">
        <f t="shared" si="7"/>
        <v>0.95353068835765398</v>
      </c>
    </row>
    <row r="128" spans="1:11" x14ac:dyDescent="0.2">
      <c r="A128" s="114"/>
      <c r="B128" s="181"/>
      <c r="C128" s="527" t="s">
        <v>177</v>
      </c>
      <c r="D128" s="176"/>
      <c r="E128" s="184"/>
      <c r="F128" s="184"/>
      <c r="G128" s="184"/>
      <c r="H128" s="176" t="s">
        <v>368</v>
      </c>
      <c r="I128" s="176"/>
      <c r="J128" s="176"/>
      <c r="K128" s="177">
        <f t="shared" si="7"/>
        <v>0.95353068835765398</v>
      </c>
    </row>
    <row r="129" spans="1:11" x14ac:dyDescent="0.2">
      <c r="A129" s="174"/>
      <c r="B129" s="181"/>
      <c r="C129" s="527" t="s">
        <v>177</v>
      </c>
      <c r="D129" s="176"/>
      <c r="E129" s="184"/>
      <c r="F129" s="184"/>
      <c r="G129" s="184"/>
      <c r="H129" s="176" t="s">
        <v>368</v>
      </c>
      <c r="I129" s="176"/>
      <c r="J129" s="176"/>
      <c r="K129" s="177">
        <f t="shared" si="7"/>
        <v>0.95353068835765398</v>
      </c>
    </row>
    <row r="130" spans="1:11" x14ac:dyDescent="0.2">
      <c r="A130" s="114"/>
      <c r="B130" s="181"/>
      <c r="C130" s="527" t="s">
        <v>177</v>
      </c>
      <c r="D130" s="176"/>
      <c r="E130" s="184"/>
      <c r="F130" s="184"/>
      <c r="G130" s="184"/>
      <c r="H130" s="176" t="s">
        <v>368</v>
      </c>
      <c r="I130" s="176"/>
      <c r="J130" s="176"/>
      <c r="K130" s="177">
        <f t="shared" si="7"/>
        <v>0.95353068835765398</v>
      </c>
    </row>
    <row r="131" spans="1:11" x14ac:dyDescent="0.2">
      <c r="A131" s="174"/>
      <c r="B131" s="181"/>
      <c r="C131" s="527" t="s">
        <v>177</v>
      </c>
      <c r="D131" s="176"/>
      <c r="E131" s="184"/>
      <c r="F131" s="184"/>
      <c r="G131" s="184"/>
      <c r="H131" s="176" t="s">
        <v>368</v>
      </c>
      <c r="I131" s="176"/>
      <c r="J131" s="176"/>
      <c r="K131" s="177">
        <f t="shared" si="7"/>
        <v>0.95353068835765398</v>
      </c>
    </row>
    <row r="132" spans="1:11" x14ac:dyDescent="0.2">
      <c r="A132" s="114"/>
      <c r="B132" s="181"/>
      <c r="C132" s="527" t="s">
        <v>177</v>
      </c>
      <c r="D132" s="176"/>
      <c r="E132" s="184"/>
      <c r="F132" s="184"/>
      <c r="G132" s="184"/>
      <c r="H132" s="176" t="s">
        <v>368</v>
      </c>
      <c r="I132" s="176"/>
      <c r="J132" s="176"/>
      <c r="K132" s="177">
        <f t="shared" si="7"/>
        <v>0.95353068835765398</v>
      </c>
    </row>
    <row r="133" spans="1:11" x14ac:dyDescent="0.2">
      <c r="A133" s="174"/>
      <c r="B133" s="181"/>
      <c r="C133" s="527" t="s">
        <v>177</v>
      </c>
      <c r="D133" s="176"/>
      <c r="E133" s="184"/>
      <c r="F133" s="184"/>
      <c r="G133" s="184"/>
      <c r="H133" s="176" t="s">
        <v>368</v>
      </c>
      <c r="I133" s="176"/>
      <c r="J133" s="176"/>
      <c r="K133" s="177">
        <f t="shared" si="7"/>
        <v>0.95353068835765398</v>
      </c>
    </row>
    <row r="134" spans="1:11" x14ac:dyDescent="0.2">
      <c r="A134" s="174"/>
      <c r="B134" s="181"/>
      <c r="C134" s="527" t="s">
        <v>177</v>
      </c>
      <c r="D134" s="176"/>
      <c r="E134" s="184"/>
      <c r="F134" s="184"/>
      <c r="G134" s="184"/>
      <c r="H134" s="176" t="s">
        <v>368</v>
      </c>
      <c r="I134" s="176"/>
      <c r="J134" s="176"/>
      <c r="K134" s="177">
        <f t="shared" si="7"/>
        <v>0.95353068835765398</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106 A129 A127 A125 A133:A134 A131 A108 A121:A123 A110:A119">
      <formula1>37622</formula1>
      <formula2>NOW()</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28" fitToHeight="3" orientation="portrait" r:id="rId1"/>
  <ignoredErrors>
    <ignoredError sqref="K24:K109 K110:K134"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63"/>
  <sheetViews>
    <sheetView workbookViewId="0"/>
  </sheetViews>
  <sheetFormatPr defaultColWidth="9.140625" defaultRowHeight="12.75" x14ac:dyDescent="0.2"/>
  <cols>
    <col min="1" max="1" width="36.42578125" style="107" bestFit="1" customWidth="1"/>
    <col min="2" max="2" width="19.42578125" style="107" customWidth="1"/>
    <col min="3" max="3" width="18.85546875" style="107" bestFit="1" customWidth="1"/>
    <col min="4" max="4" width="15.5703125" style="107" bestFit="1" customWidth="1"/>
    <col min="5" max="5" width="12" style="107" bestFit="1" customWidth="1"/>
    <col min="6" max="6" width="19" style="107" customWidth="1"/>
    <col min="7" max="7" width="18.85546875" style="107" bestFit="1" customWidth="1"/>
    <col min="8" max="8" width="16.5703125" style="107" bestFit="1" customWidth="1"/>
    <col min="9" max="9" width="12" style="107" bestFit="1" customWidth="1"/>
    <col min="10" max="16384" width="9.140625" style="107"/>
  </cols>
  <sheetData>
    <row r="1" spans="1:9" x14ac:dyDescent="0.2">
      <c r="A1" s="106" t="s">
        <v>345</v>
      </c>
      <c r="B1" s="106"/>
      <c r="C1" s="106"/>
      <c r="D1" s="145"/>
    </row>
    <row r="2" spans="1:9" x14ac:dyDescent="0.2">
      <c r="A2" s="106"/>
      <c r="B2" s="106"/>
      <c r="C2" s="106"/>
      <c r="D2" s="570"/>
    </row>
    <row r="3" spans="1:9" x14ac:dyDescent="0.2">
      <c r="A3" s="106"/>
      <c r="B3" s="106"/>
      <c r="C3" s="106"/>
    </row>
    <row r="4" spans="1:9" x14ac:dyDescent="0.2">
      <c r="A4" s="108" t="s">
        <v>436</v>
      </c>
      <c r="B4" s="145" t="s">
        <v>740</v>
      </c>
    </row>
    <row r="5" spans="1:9" x14ac:dyDescent="0.2">
      <c r="A5" s="108"/>
      <c r="B5" s="316" t="s">
        <v>741</v>
      </c>
    </row>
    <row r="6" spans="1:9" x14ac:dyDescent="0.2">
      <c r="A6" s="108" t="s">
        <v>531</v>
      </c>
      <c r="B6" s="126">
        <f>VLOOKUP(MAX(A14:A61),A14:I61,4,0)</f>
        <v>0.70796460176991149</v>
      </c>
      <c r="C6" s="126"/>
    </row>
    <row r="7" spans="1:9" x14ac:dyDescent="0.2">
      <c r="A7" s="108" t="s">
        <v>532</v>
      </c>
      <c r="B7" s="110">
        <f>VLOOKUP(MAX(A14:A61),A14:I61,8,0)</f>
        <v>0.84541062801932365</v>
      </c>
      <c r="C7" s="110"/>
    </row>
    <row r="8" spans="1:9" x14ac:dyDescent="0.2">
      <c r="A8" s="108" t="s">
        <v>118</v>
      </c>
      <c r="B8" s="128">
        <f>MAX(A14:A61)</f>
        <v>43040</v>
      </c>
      <c r="C8" s="128"/>
    </row>
    <row r="9" spans="1:9" x14ac:dyDescent="0.2">
      <c r="A9" s="108" t="s">
        <v>553</v>
      </c>
      <c r="B9" s="409" t="s">
        <v>176</v>
      </c>
      <c r="C9" s="128"/>
    </row>
    <row r="10" spans="1:9" x14ac:dyDescent="0.2">
      <c r="A10" s="108" t="s">
        <v>554</v>
      </c>
      <c r="B10" s="409" t="s">
        <v>175</v>
      </c>
      <c r="C10" s="128"/>
    </row>
    <row r="11" spans="1:9" x14ac:dyDescent="0.2">
      <c r="A11" s="108" t="s">
        <v>438</v>
      </c>
      <c r="B11" s="550" t="s">
        <v>746</v>
      </c>
      <c r="C11" s="186"/>
    </row>
    <row r="12" spans="1:9" x14ac:dyDescent="0.2">
      <c r="A12" s="124"/>
      <c r="B12" s="124"/>
      <c r="C12" s="124"/>
    </row>
    <row r="13" spans="1:9" ht="25.5" x14ac:dyDescent="0.2">
      <c r="A13" s="125"/>
      <c r="B13" s="828" t="s">
        <v>764</v>
      </c>
      <c r="C13" s="173" t="s">
        <v>765</v>
      </c>
      <c r="D13" s="185" t="s">
        <v>529</v>
      </c>
      <c r="E13" s="750" t="s">
        <v>15</v>
      </c>
      <c r="F13" s="750" t="s">
        <v>766</v>
      </c>
      <c r="G13" s="750" t="s">
        <v>767</v>
      </c>
      <c r="H13" s="4" t="s">
        <v>530</v>
      </c>
      <c r="I13" s="750" t="s">
        <v>15</v>
      </c>
    </row>
    <row r="14" spans="1:9" x14ac:dyDescent="0.2">
      <c r="A14" s="174">
        <v>42826</v>
      </c>
      <c r="B14" s="98">
        <v>120</v>
      </c>
      <c r="C14" s="98">
        <v>70</v>
      </c>
      <c r="D14" s="88">
        <f>C14/B14</f>
        <v>0.58333333333333337</v>
      </c>
      <c r="E14" s="87"/>
      <c r="F14" s="143">
        <v>155</v>
      </c>
      <c r="G14" s="143">
        <v>81</v>
      </c>
      <c r="H14" s="88">
        <f>G14/F14</f>
        <v>0.52258064516129032</v>
      </c>
      <c r="I14" s="87"/>
    </row>
    <row r="15" spans="1:9" x14ac:dyDescent="0.2">
      <c r="A15" s="174">
        <v>42856</v>
      </c>
      <c r="B15" s="98">
        <v>126</v>
      </c>
      <c r="C15" s="98">
        <v>85</v>
      </c>
      <c r="D15" s="88">
        <f t="shared" ref="D15:D21" si="0">C15/B15</f>
        <v>0.67460317460317465</v>
      </c>
      <c r="E15" s="87"/>
      <c r="F15" s="143">
        <v>174</v>
      </c>
      <c r="G15" s="143">
        <v>109</v>
      </c>
      <c r="H15" s="88">
        <f t="shared" ref="H15:H21" si="1">G15/F15</f>
        <v>0.62643678160919536</v>
      </c>
      <c r="I15" s="87"/>
    </row>
    <row r="16" spans="1:9" x14ac:dyDescent="0.2">
      <c r="A16" s="174">
        <v>42887</v>
      </c>
      <c r="B16" s="98">
        <v>141</v>
      </c>
      <c r="C16" s="98">
        <v>83</v>
      </c>
      <c r="D16" s="88">
        <f t="shared" si="0"/>
        <v>0.58865248226950351</v>
      </c>
      <c r="E16" s="87"/>
      <c r="F16" s="143">
        <v>192</v>
      </c>
      <c r="G16" s="143">
        <v>133</v>
      </c>
      <c r="H16" s="88">
        <f t="shared" si="1"/>
        <v>0.69270833333333337</v>
      </c>
      <c r="I16" s="87"/>
    </row>
    <row r="17" spans="1:9" x14ac:dyDescent="0.2">
      <c r="A17" s="174">
        <v>42917</v>
      </c>
      <c r="B17" s="98">
        <v>134</v>
      </c>
      <c r="C17" s="98">
        <v>82</v>
      </c>
      <c r="D17" s="88">
        <f t="shared" si="0"/>
        <v>0.61194029850746268</v>
      </c>
      <c r="E17" s="87"/>
      <c r="F17" s="143">
        <v>209</v>
      </c>
      <c r="G17" s="143">
        <v>148</v>
      </c>
      <c r="H17" s="88">
        <f t="shared" si="1"/>
        <v>0.70813397129186606</v>
      </c>
      <c r="I17" s="87"/>
    </row>
    <row r="18" spans="1:9" x14ac:dyDescent="0.2">
      <c r="A18" s="174">
        <v>42948</v>
      </c>
      <c r="B18" s="98">
        <v>159</v>
      </c>
      <c r="C18" s="98">
        <v>98</v>
      </c>
      <c r="D18" s="88">
        <f t="shared" si="0"/>
        <v>0.61635220125786161</v>
      </c>
      <c r="E18" s="87"/>
      <c r="F18" s="143">
        <v>193</v>
      </c>
      <c r="G18" s="143">
        <v>122</v>
      </c>
      <c r="H18" s="88">
        <f t="shared" si="1"/>
        <v>0.63212435233160624</v>
      </c>
      <c r="I18" s="87"/>
    </row>
    <row r="19" spans="1:9" x14ac:dyDescent="0.2">
      <c r="A19" s="174">
        <v>42979</v>
      </c>
      <c r="B19" s="98">
        <v>142</v>
      </c>
      <c r="C19" s="98">
        <v>116</v>
      </c>
      <c r="D19" s="88">
        <f t="shared" si="0"/>
        <v>0.81690140845070425</v>
      </c>
      <c r="E19" s="87"/>
      <c r="F19" s="143">
        <v>159</v>
      </c>
      <c r="G19" s="143">
        <v>133</v>
      </c>
      <c r="H19" s="88">
        <f t="shared" si="1"/>
        <v>0.83647798742138368</v>
      </c>
      <c r="I19" s="87"/>
    </row>
    <row r="20" spans="1:9" x14ac:dyDescent="0.2">
      <c r="A20" s="174">
        <v>43009</v>
      </c>
      <c r="B20" s="98">
        <v>126</v>
      </c>
      <c r="C20" s="98">
        <v>93</v>
      </c>
      <c r="D20" s="88">
        <f t="shared" si="0"/>
        <v>0.73809523809523814</v>
      </c>
      <c r="E20" s="87"/>
      <c r="F20" s="143">
        <v>217</v>
      </c>
      <c r="G20" s="143">
        <v>162</v>
      </c>
      <c r="H20" s="88">
        <f t="shared" si="1"/>
        <v>0.74654377880184331</v>
      </c>
      <c r="I20" s="87"/>
    </row>
    <row r="21" spans="1:9" x14ac:dyDescent="0.2">
      <c r="A21" s="174">
        <v>43040</v>
      </c>
      <c r="B21" s="98">
        <v>113</v>
      </c>
      <c r="C21" s="98">
        <v>80</v>
      </c>
      <c r="D21" s="88">
        <f t="shared" si="0"/>
        <v>0.70796460176991149</v>
      </c>
      <c r="E21" s="87"/>
      <c r="F21" s="143">
        <v>207</v>
      </c>
      <c r="G21" s="143">
        <v>175</v>
      </c>
      <c r="H21" s="88">
        <f t="shared" si="1"/>
        <v>0.84541062801932365</v>
      </c>
      <c r="I21" s="87"/>
    </row>
    <row r="22" spans="1:9" x14ac:dyDescent="0.2">
      <c r="A22" s="174"/>
      <c r="B22" s="174"/>
      <c r="C22" s="174"/>
      <c r="D22" s="88"/>
      <c r="E22" s="87"/>
      <c r="F22" s="87"/>
      <c r="G22" s="87"/>
      <c r="H22" s="87"/>
      <c r="I22" s="87"/>
    </row>
    <row r="23" spans="1:9" x14ac:dyDescent="0.2">
      <c r="A23" s="174"/>
      <c r="B23" s="174"/>
      <c r="C23" s="174"/>
      <c r="D23" s="88"/>
      <c r="E23" s="87"/>
      <c r="F23" s="87"/>
      <c r="G23" s="87"/>
      <c r="H23" s="87"/>
      <c r="I23" s="87"/>
    </row>
    <row r="24" spans="1:9" x14ac:dyDescent="0.2">
      <c r="A24" s="174"/>
      <c r="B24" s="174"/>
      <c r="C24" s="174"/>
      <c r="D24" s="88"/>
      <c r="E24" s="87"/>
      <c r="F24" s="87"/>
      <c r="G24" s="87"/>
      <c r="H24" s="87"/>
      <c r="I24" s="87"/>
    </row>
    <row r="25" spans="1:9" x14ac:dyDescent="0.2">
      <c r="A25" s="174"/>
      <c r="B25" s="174"/>
      <c r="C25" s="174"/>
      <c r="D25" s="88"/>
      <c r="E25" s="87"/>
      <c r="F25" s="87"/>
      <c r="G25" s="87"/>
      <c r="H25" s="87"/>
      <c r="I25" s="87"/>
    </row>
    <row r="26" spans="1:9" x14ac:dyDescent="0.2">
      <c r="A26" s="174"/>
      <c r="B26" s="174"/>
      <c r="C26" s="174"/>
      <c r="D26" s="88"/>
      <c r="E26" s="87"/>
      <c r="F26" s="87"/>
      <c r="G26" s="87"/>
      <c r="H26" s="87"/>
      <c r="I26" s="87"/>
    </row>
    <row r="27" spans="1:9" x14ac:dyDescent="0.2">
      <c r="A27" s="174"/>
      <c r="B27" s="174"/>
      <c r="C27" s="174"/>
      <c r="D27" s="88"/>
      <c r="E27" s="87"/>
      <c r="F27" s="87"/>
      <c r="G27" s="87"/>
      <c r="H27" s="87"/>
      <c r="I27" s="87"/>
    </row>
    <row r="28" spans="1:9" x14ac:dyDescent="0.2">
      <c r="A28" s="174"/>
      <c r="B28" s="174"/>
      <c r="C28" s="174"/>
      <c r="D28" s="88"/>
      <c r="E28" s="87"/>
      <c r="F28" s="87"/>
      <c r="G28" s="87"/>
      <c r="H28" s="87"/>
      <c r="I28" s="87"/>
    </row>
    <row r="29" spans="1:9" x14ac:dyDescent="0.2">
      <c r="A29" s="174"/>
      <c r="B29" s="174"/>
      <c r="C29" s="174"/>
      <c r="D29" s="88"/>
      <c r="E29" s="87"/>
      <c r="F29" s="87"/>
      <c r="G29" s="87"/>
      <c r="H29" s="87"/>
      <c r="I29" s="87"/>
    </row>
    <row r="30" spans="1:9" x14ac:dyDescent="0.2">
      <c r="A30" s="174"/>
      <c r="B30" s="174"/>
      <c r="C30" s="174"/>
      <c r="D30" s="88"/>
      <c r="E30" s="87"/>
      <c r="F30" s="87"/>
      <c r="G30" s="87"/>
      <c r="H30" s="87"/>
      <c r="I30" s="87"/>
    </row>
    <row r="31" spans="1:9" x14ac:dyDescent="0.2">
      <c r="A31" s="174"/>
      <c r="B31" s="174"/>
      <c r="C31" s="174"/>
      <c r="D31" s="88"/>
      <c r="E31" s="87"/>
      <c r="F31" s="87"/>
      <c r="G31" s="87"/>
      <c r="H31" s="87"/>
      <c r="I31" s="87"/>
    </row>
    <row r="32" spans="1:9" x14ac:dyDescent="0.2">
      <c r="A32" s="174"/>
      <c r="B32" s="174"/>
      <c r="C32" s="174"/>
      <c r="D32" s="88"/>
      <c r="E32" s="87"/>
      <c r="F32" s="87"/>
      <c r="G32" s="87"/>
      <c r="H32" s="87"/>
      <c r="I32" s="87"/>
    </row>
    <row r="33" spans="1:9" x14ac:dyDescent="0.2">
      <c r="A33" s="174"/>
      <c r="B33" s="174"/>
      <c r="C33" s="174"/>
      <c r="D33" s="88"/>
      <c r="E33" s="87"/>
      <c r="F33" s="87"/>
      <c r="G33" s="87"/>
      <c r="H33" s="87"/>
      <c r="I33" s="87"/>
    </row>
    <row r="34" spans="1:9" x14ac:dyDescent="0.2">
      <c r="A34" s="174"/>
      <c r="B34" s="174"/>
      <c r="C34" s="174"/>
      <c r="D34" s="88"/>
      <c r="E34" s="87"/>
      <c r="F34" s="87"/>
      <c r="G34" s="87"/>
      <c r="H34" s="87"/>
      <c r="I34" s="87"/>
    </row>
    <row r="35" spans="1:9" x14ac:dyDescent="0.2">
      <c r="A35" s="174"/>
      <c r="B35" s="174"/>
      <c r="C35" s="174"/>
      <c r="D35" s="88"/>
      <c r="E35" s="87"/>
      <c r="F35" s="87"/>
      <c r="G35" s="87"/>
      <c r="H35" s="87"/>
      <c r="I35" s="87"/>
    </row>
    <row r="36" spans="1:9" x14ac:dyDescent="0.2">
      <c r="A36" s="174"/>
      <c r="B36" s="174"/>
      <c r="C36" s="174"/>
      <c r="D36" s="88"/>
      <c r="E36" s="87"/>
      <c r="F36" s="87"/>
      <c r="G36" s="87"/>
      <c r="H36" s="87"/>
      <c r="I36" s="87"/>
    </row>
    <row r="37" spans="1:9" x14ac:dyDescent="0.2">
      <c r="A37" s="174"/>
      <c r="B37" s="174"/>
      <c r="C37" s="174"/>
      <c r="D37" s="88"/>
      <c r="E37" s="87"/>
      <c r="F37" s="87"/>
      <c r="G37" s="87"/>
      <c r="H37" s="87"/>
      <c r="I37" s="87"/>
    </row>
    <row r="38" spans="1:9" x14ac:dyDescent="0.2">
      <c r="A38" s="174"/>
      <c r="B38" s="174"/>
      <c r="C38" s="174"/>
      <c r="D38" s="88"/>
      <c r="E38" s="87"/>
      <c r="F38" s="87"/>
      <c r="G38" s="87"/>
      <c r="H38" s="88"/>
      <c r="I38" s="87"/>
    </row>
    <row r="39" spans="1:9" x14ac:dyDescent="0.2">
      <c r="A39" s="174"/>
      <c r="B39" s="174"/>
      <c r="C39" s="174"/>
      <c r="D39" s="88"/>
      <c r="E39" s="87"/>
      <c r="F39" s="87"/>
      <c r="G39" s="87"/>
      <c r="H39" s="88"/>
      <c r="I39" s="87"/>
    </row>
    <row r="40" spans="1:9" x14ac:dyDescent="0.2">
      <c r="A40" s="174"/>
      <c r="B40" s="174"/>
      <c r="C40" s="174"/>
      <c r="D40" s="88"/>
      <c r="E40" s="87"/>
      <c r="F40" s="87"/>
      <c r="G40" s="87"/>
      <c r="H40" s="88"/>
      <c r="I40" s="87"/>
    </row>
    <row r="41" spans="1:9" x14ac:dyDescent="0.2">
      <c r="A41" s="174"/>
      <c r="B41" s="174"/>
      <c r="C41" s="174"/>
      <c r="D41" s="88"/>
      <c r="E41" s="87"/>
      <c r="F41" s="87"/>
      <c r="G41" s="87"/>
      <c r="H41" s="88"/>
      <c r="I41" s="87"/>
    </row>
    <row r="42" spans="1:9" x14ac:dyDescent="0.2">
      <c r="A42" s="174"/>
      <c r="B42" s="174"/>
      <c r="C42" s="174"/>
      <c r="D42" s="88"/>
      <c r="E42" s="87"/>
      <c r="F42" s="87"/>
      <c r="G42" s="87"/>
      <c r="H42" s="88"/>
      <c r="I42" s="87"/>
    </row>
    <row r="43" spans="1:9" x14ac:dyDescent="0.2">
      <c r="A43" s="174"/>
      <c r="B43" s="174"/>
      <c r="C43" s="174"/>
      <c r="D43" s="88"/>
      <c r="E43" s="87"/>
      <c r="F43" s="87"/>
      <c r="G43" s="87"/>
      <c r="H43" s="88"/>
      <c r="I43" s="87"/>
    </row>
    <row r="44" spans="1:9" x14ac:dyDescent="0.2">
      <c r="A44" s="174"/>
      <c r="B44" s="174"/>
      <c r="C44" s="174"/>
      <c r="D44" s="88"/>
      <c r="E44" s="87"/>
      <c r="F44" s="87"/>
      <c r="G44" s="87"/>
      <c r="H44" s="88"/>
      <c r="I44" s="87"/>
    </row>
    <row r="45" spans="1:9" x14ac:dyDescent="0.2">
      <c r="A45" s="174"/>
      <c r="B45" s="174"/>
      <c r="C45" s="174"/>
      <c r="D45" s="88"/>
      <c r="E45" s="87"/>
      <c r="F45" s="87"/>
      <c r="G45" s="87"/>
      <c r="H45" s="88"/>
      <c r="I45" s="87"/>
    </row>
    <row r="46" spans="1:9" x14ac:dyDescent="0.2">
      <c r="A46" s="174"/>
      <c r="B46" s="174"/>
      <c r="C46" s="174"/>
      <c r="D46" s="88"/>
      <c r="E46" s="87"/>
      <c r="F46" s="87"/>
      <c r="G46" s="87"/>
      <c r="H46" s="87"/>
      <c r="I46" s="87"/>
    </row>
    <row r="47" spans="1:9" x14ac:dyDescent="0.2">
      <c r="A47" s="174"/>
      <c r="B47" s="174"/>
      <c r="C47" s="174"/>
      <c r="D47" s="88"/>
      <c r="E47" s="87"/>
      <c r="F47" s="87"/>
      <c r="G47" s="87"/>
      <c r="H47" s="87"/>
      <c r="I47" s="87"/>
    </row>
    <row r="48" spans="1:9" x14ac:dyDescent="0.2">
      <c r="A48" s="174"/>
      <c r="B48" s="174"/>
      <c r="C48" s="174"/>
      <c r="D48" s="88"/>
      <c r="E48" s="87"/>
      <c r="F48" s="87"/>
      <c r="G48" s="87"/>
      <c r="H48" s="87"/>
      <c r="I48" s="87"/>
    </row>
    <row r="49" spans="1:9" x14ac:dyDescent="0.2">
      <c r="A49" s="174"/>
      <c r="B49" s="174"/>
      <c r="C49" s="174"/>
      <c r="D49" s="88"/>
      <c r="E49" s="87"/>
      <c r="F49" s="87"/>
      <c r="G49" s="87"/>
      <c r="H49" s="87"/>
      <c r="I49" s="87"/>
    </row>
    <row r="50" spans="1:9" x14ac:dyDescent="0.2">
      <c r="A50" s="174"/>
      <c r="B50" s="174"/>
      <c r="C50" s="174"/>
      <c r="D50" s="88"/>
      <c r="E50" s="87"/>
      <c r="F50" s="87"/>
      <c r="G50" s="87"/>
      <c r="H50" s="87"/>
      <c r="I50" s="87"/>
    </row>
    <row r="51" spans="1:9" x14ac:dyDescent="0.2">
      <c r="A51" s="174"/>
      <c r="B51" s="174"/>
      <c r="C51" s="174"/>
      <c r="D51" s="88"/>
      <c r="E51" s="87"/>
      <c r="F51" s="87"/>
      <c r="G51" s="87"/>
      <c r="H51" s="87"/>
      <c r="I51" s="87"/>
    </row>
    <row r="52" spans="1:9" x14ac:dyDescent="0.2">
      <c r="A52" s="174"/>
      <c r="B52" s="174"/>
      <c r="C52" s="174"/>
      <c r="D52" s="88"/>
      <c r="E52" s="87"/>
      <c r="F52" s="87"/>
      <c r="G52" s="87"/>
      <c r="H52" s="87"/>
      <c r="I52" s="87"/>
    </row>
    <row r="53" spans="1:9" x14ac:dyDescent="0.2">
      <c r="A53" s="174"/>
      <c r="B53" s="174"/>
      <c r="C53" s="174"/>
      <c r="D53" s="88"/>
      <c r="E53" s="87"/>
      <c r="F53" s="87"/>
      <c r="G53" s="87"/>
      <c r="H53" s="87"/>
      <c r="I53" s="87"/>
    </row>
    <row r="54" spans="1:9" x14ac:dyDescent="0.2">
      <c r="A54" s="174"/>
      <c r="B54" s="174"/>
      <c r="C54" s="174"/>
      <c r="D54" s="88"/>
      <c r="E54" s="87"/>
      <c r="F54" s="87"/>
      <c r="G54" s="87"/>
      <c r="H54" s="87"/>
      <c r="I54" s="87"/>
    </row>
    <row r="55" spans="1:9" x14ac:dyDescent="0.2">
      <c r="A55" s="174"/>
      <c r="B55" s="174"/>
      <c r="C55" s="174"/>
      <c r="D55" s="88"/>
      <c r="E55" s="87"/>
      <c r="F55" s="87"/>
      <c r="G55" s="87"/>
      <c r="H55" s="87"/>
      <c r="I55" s="87"/>
    </row>
    <row r="56" spans="1:9" x14ac:dyDescent="0.2">
      <c r="A56" s="174"/>
      <c r="B56" s="174"/>
      <c r="C56" s="174"/>
      <c r="D56" s="88"/>
      <c r="E56" s="87"/>
      <c r="F56" s="87"/>
      <c r="G56" s="87"/>
      <c r="H56" s="87"/>
      <c r="I56" s="87"/>
    </row>
    <row r="57" spans="1:9" x14ac:dyDescent="0.2">
      <c r="A57" s="174"/>
      <c r="B57" s="174"/>
      <c r="C57" s="174"/>
      <c r="D57" s="87"/>
      <c r="E57" s="87"/>
      <c r="F57" s="87"/>
      <c r="G57" s="87"/>
      <c r="H57" s="87"/>
      <c r="I57" s="87"/>
    </row>
    <row r="58" spans="1:9" x14ac:dyDescent="0.2">
      <c r="A58" s="174"/>
      <c r="B58" s="174"/>
      <c r="C58" s="174"/>
      <c r="D58" s="87"/>
      <c r="E58" s="87"/>
      <c r="F58" s="87"/>
      <c r="G58" s="87"/>
      <c r="H58" s="87"/>
      <c r="I58" s="87"/>
    </row>
    <row r="59" spans="1:9" x14ac:dyDescent="0.2">
      <c r="A59" s="174"/>
      <c r="B59" s="174"/>
      <c r="C59" s="174"/>
      <c r="D59" s="87"/>
      <c r="E59" s="87"/>
      <c r="F59" s="87"/>
      <c r="G59" s="87"/>
      <c r="H59" s="87"/>
      <c r="I59" s="87"/>
    </row>
    <row r="60" spans="1:9" x14ac:dyDescent="0.2">
      <c r="A60" s="174"/>
      <c r="B60" s="174"/>
      <c r="C60" s="174"/>
      <c r="D60" s="87"/>
      <c r="E60" s="87"/>
      <c r="F60" s="87"/>
      <c r="G60" s="87"/>
      <c r="H60" s="87"/>
      <c r="I60" s="87"/>
    </row>
    <row r="61" spans="1:9" x14ac:dyDescent="0.2">
      <c r="A61" s="174"/>
      <c r="B61" s="174"/>
      <c r="C61" s="174"/>
      <c r="D61" s="87"/>
      <c r="E61" s="87"/>
      <c r="F61" s="87"/>
      <c r="G61" s="87"/>
      <c r="H61" s="87"/>
      <c r="I61" s="87"/>
    </row>
    <row r="63" spans="1:9" x14ac:dyDescent="0.2">
      <c r="A63" s="127" t="s">
        <v>529</v>
      </c>
      <c r="H63" s="127" t="s">
        <v>530</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4:C61">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F16"/>
  <sheetViews>
    <sheetView workbookViewId="0"/>
  </sheetViews>
  <sheetFormatPr defaultColWidth="9.140625" defaultRowHeight="12.75" x14ac:dyDescent="0.2"/>
  <cols>
    <col min="1" max="1" width="35.7109375" style="107" bestFit="1" customWidth="1"/>
    <col min="2" max="16384" width="9.140625" style="107"/>
  </cols>
  <sheetData>
    <row r="1" spans="1:6" x14ac:dyDescent="0.2">
      <c r="A1" s="106" t="s">
        <v>345</v>
      </c>
    </row>
    <row r="2" spans="1:6" x14ac:dyDescent="0.2">
      <c r="A2" s="106"/>
    </row>
    <row r="3" spans="1:6" x14ac:dyDescent="0.2">
      <c r="A3" s="127" t="s">
        <v>713</v>
      </c>
      <c r="B3" s="428" t="s">
        <v>368</v>
      </c>
      <c r="C3" s="112"/>
    </row>
    <row r="4" spans="1:6" x14ac:dyDescent="0.2">
      <c r="A4" s="127" t="s">
        <v>714</v>
      </c>
      <c r="B4" s="428" t="s">
        <v>368</v>
      </c>
      <c r="C4" s="112"/>
    </row>
    <row r="5" spans="1:6" x14ac:dyDescent="0.2">
      <c r="A5" s="127" t="s">
        <v>144</v>
      </c>
      <c r="B5" s="409" t="s">
        <v>308</v>
      </c>
    </row>
    <row r="6" spans="1:6" x14ac:dyDescent="0.2">
      <c r="A6" s="127" t="s">
        <v>206</v>
      </c>
      <c r="B6" s="409" t="s">
        <v>308</v>
      </c>
    </row>
    <row r="7" spans="1:6" x14ac:dyDescent="0.2">
      <c r="A7" s="127"/>
      <c r="B7" s="128"/>
    </row>
    <row r="8" spans="1:6" x14ac:dyDescent="0.2">
      <c r="A8" s="187" t="s">
        <v>537</v>
      </c>
    </row>
    <row r="9" spans="1:6" x14ac:dyDescent="0.2">
      <c r="A9" s="130"/>
      <c r="B9" s="150" t="s">
        <v>222</v>
      </c>
      <c r="C9" s="150" t="s">
        <v>450</v>
      </c>
      <c r="D9" s="150" t="s">
        <v>451</v>
      </c>
      <c r="E9" s="150" t="s">
        <v>534</v>
      </c>
      <c r="F9" s="150" t="s">
        <v>535</v>
      </c>
    </row>
    <row r="10" spans="1:6" x14ac:dyDescent="0.2">
      <c r="A10" s="134" t="s">
        <v>369</v>
      </c>
      <c r="B10" s="120" t="s">
        <v>368</v>
      </c>
      <c r="C10" s="120" t="s">
        <v>368</v>
      </c>
      <c r="D10" s="135"/>
      <c r="E10" s="135"/>
      <c r="F10" s="135"/>
    </row>
    <row r="11" spans="1:6" x14ac:dyDescent="0.2">
      <c r="A11" s="134" t="s">
        <v>370</v>
      </c>
      <c r="B11" s="120" t="s">
        <v>368</v>
      </c>
      <c r="C11" s="120" t="s">
        <v>368</v>
      </c>
      <c r="D11" s="135"/>
      <c r="E11" s="135"/>
      <c r="F11" s="135"/>
    </row>
    <row r="13" spans="1:6" x14ac:dyDescent="0.2">
      <c r="A13" s="127" t="s">
        <v>536</v>
      </c>
    </row>
    <row r="14" spans="1:6" x14ac:dyDescent="0.2">
      <c r="A14" s="130"/>
      <c r="B14" s="150" t="s">
        <v>222</v>
      </c>
      <c r="C14" s="150" t="s">
        <v>450</v>
      </c>
      <c r="D14" s="150" t="s">
        <v>451</v>
      </c>
      <c r="E14" s="150" t="s">
        <v>534</v>
      </c>
      <c r="F14" s="150" t="s">
        <v>535</v>
      </c>
    </row>
    <row r="15" spans="1:6" x14ac:dyDescent="0.2">
      <c r="A15" s="134" t="s">
        <v>369</v>
      </c>
      <c r="B15" s="120" t="s">
        <v>368</v>
      </c>
      <c r="C15" s="120" t="s">
        <v>368</v>
      </c>
      <c r="D15" s="135"/>
      <c r="E15" s="135"/>
      <c r="F15" s="135"/>
    </row>
    <row r="16" spans="1:6" x14ac:dyDescent="0.2">
      <c r="A16" s="134" t="s">
        <v>370</v>
      </c>
      <c r="B16" s="120" t="s">
        <v>368</v>
      </c>
      <c r="C16" s="120" t="s">
        <v>368</v>
      </c>
      <c r="D16" s="135"/>
      <c r="E16" s="135"/>
      <c r="F16" s="13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Z142"/>
  <sheetViews>
    <sheetView zoomScaleNormal="100" workbookViewId="0">
      <pane xSplit="1" topLeftCell="B1" activePane="topRight" state="frozen"/>
      <selection activeCell="A46" sqref="A46"/>
      <selection pane="topRight"/>
    </sheetView>
  </sheetViews>
  <sheetFormatPr defaultColWidth="9.140625" defaultRowHeight="12.75" x14ac:dyDescent="0.2"/>
  <cols>
    <col min="1" max="1" width="36.85546875" style="107" customWidth="1"/>
    <col min="2" max="2" width="9" style="107" customWidth="1"/>
    <col min="3" max="4" width="9.140625" style="107" customWidth="1"/>
    <col min="5" max="5" width="8.85546875" style="107" customWidth="1"/>
    <col min="6" max="6" width="9.5703125" style="107" customWidth="1"/>
    <col min="7" max="50" width="9" style="107" customWidth="1"/>
    <col min="51" max="16384" width="9.140625" style="107"/>
  </cols>
  <sheetData>
    <row r="1" spans="1:52" x14ac:dyDescent="0.2">
      <c r="A1" s="283" t="s">
        <v>345</v>
      </c>
    </row>
    <row r="2" spans="1:52" x14ac:dyDescent="0.2">
      <c r="A2" s="106"/>
    </row>
    <row r="3" spans="1:52" x14ac:dyDescent="0.2">
      <c r="A3" s="108" t="s">
        <v>436</v>
      </c>
      <c r="B3" s="145" t="s">
        <v>526</v>
      </c>
    </row>
    <row r="4" spans="1:52" x14ac:dyDescent="0.2">
      <c r="A4" s="108" t="s">
        <v>143</v>
      </c>
      <c r="B4" s="112">
        <f>HLOOKUP(MAX(A9:AQ9),A9:AQ21,13,0)</f>
        <v>224</v>
      </c>
    </row>
    <row r="5" spans="1:52" x14ac:dyDescent="0.2">
      <c r="A5" s="108" t="s">
        <v>118</v>
      </c>
      <c r="B5" s="111">
        <f>MAX(A9:AQ9)</f>
        <v>43070</v>
      </c>
    </row>
    <row r="6" spans="1:52" x14ac:dyDescent="0.2">
      <c r="A6" s="108" t="s">
        <v>195</v>
      </c>
      <c r="B6" s="548" t="s">
        <v>175</v>
      </c>
    </row>
    <row r="7" spans="1:52" x14ac:dyDescent="0.2">
      <c r="A7" s="108" t="s">
        <v>438</v>
      </c>
      <c r="B7" s="162" t="s">
        <v>136</v>
      </c>
    </row>
    <row r="8" spans="1:52" x14ac:dyDescent="0.2">
      <c r="A8" s="197"/>
      <c r="B8" s="111"/>
    </row>
    <row r="9" spans="1:52" x14ac:dyDescent="0.2">
      <c r="A9" s="134" t="s">
        <v>368</v>
      </c>
      <c r="B9" s="114">
        <v>42278</v>
      </c>
      <c r="C9" s="114">
        <v>42309</v>
      </c>
      <c r="D9" s="114">
        <v>42339</v>
      </c>
      <c r="E9" s="114">
        <v>42370</v>
      </c>
      <c r="F9" s="114">
        <v>42401</v>
      </c>
      <c r="G9" s="114">
        <v>42430</v>
      </c>
      <c r="H9" s="114">
        <v>42461</v>
      </c>
      <c r="I9" s="114">
        <v>42491</v>
      </c>
      <c r="J9" s="114">
        <v>42522</v>
      </c>
      <c r="K9" s="114">
        <v>42552</v>
      </c>
      <c r="L9" s="114">
        <v>42583</v>
      </c>
      <c r="M9" s="114">
        <v>42614</v>
      </c>
      <c r="N9" s="114">
        <v>42644</v>
      </c>
      <c r="O9" s="114">
        <v>42675</v>
      </c>
      <c r="P9" s="114">
        <v>42705</v>
      </c>
      <c r="Q9" s="114">
        <v>42736</v>
      </c>
      <c r="R9" s="114">
        <v>42767</v>
      </c>
      <c r="S9" s="114">
        <v>42795</v>
      </c>
      <c r="T9" s="114">
        <v>42826</v>
      </c>
      <c r="U9" s="114">
        <v>42856</v>
      </c>
      <c r="V9" s="114">
        <v>42887</v>
      </c>
      <c r="W9" s="114">
        <v>42917</v>
      </c>
      <c r="X9" s="114">
        <v>42948</v>
      </c>
      <c r="Y9" s="114">
        <v>42979</v>
      </c>
      <c r="Z9" s="114">
        <v>43009</v>
      </c>
      <c r="AA9" s="114">
        <v>43040</v>
      </c>
      <c r="AB9" s="114">
        <v>43070</v>
      </c>
      <c r="AC9" s="114"/>
      <c r="AD9" s="114"/>
      <c r="AE9" s="114"/>
      <c r="AF9" s="114"/>
      <c r="AG9" s="114"/>
      <c r="AH9" s="114"/>
      <c r="AI9" s="114"/>
      <c r="AJ9" s="114"/>
      <c r="AK9" s="114"/>
      <c r="AL9" s="114"/>
      <c r="AM9" s="114"/>
      <c r="AN9" s="114"/>
      <c r="AO9" s="114"/>
      <c r="AP9" s="114"/>
      <c r="AQ9" s="114"/>
      <c r="AR9" s="145"/>
      <c r="AS9" s="145"/>
      <c r="AT9" s="145"/>
      <c r="AU9" s="145"/>
      <c r="AV9" s="145"/>
      <c r="AW9" s="145"/>
      <c r="AX9" s="145"/>
      <c r="AY9" s="145"/>
      <c r="AZ9" s="145"/>
    </row>
    <row r="10" spans="1:52" x14ac:dyDescent="0.2">
      <c r="A10" s="198" t="s">
        <v>246</v>
      </c>
      <c r="B10" s="198"/>
      <c r="C10" s="198"/>
      <c r="D10" s="198"/>
      <c r="E10" s="198"/>
      <c r="F10" s="198"/>
      <c r="G10" s="198"/>
      <c r="H10" s="198"/>
      <c r="I10" s="198"/>
      <c r="J10" s="198"/>
      <c r="K10" s="136"/>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45"/>
      <c r="AS10" s="145"/>
      <c r="AT10" s="145"/>
      <c r="AU10" s="145"/>
      <c r="AV10" s="145"/>
      <c r="AW10" s="145"/>
      <c r="AX10" s="145"/>
      <c r="AY10" s="145"/>
      <c r="AZ10" s="145"/>
    </row>
    <row r="11" spans="1:52" x14ac:dyDescent="0.2">
      <c r="A11" s="189" t="s">
        <v>47</v>
      </c>
      <c r="B11" s="189"/>
      <c r="C11" s="189"/>
      <c r="D11" s="189"/>
      <c r="E11" s="189"/>
      <c r="F11" s="189"/>
      <c r="G11" s="189"/>
      <c r="H11" s="189"/>
      <c r="I11" s="189"/>
      <c r="J11" s="189"/>
      <c r="K11" s="95">
        <v>20</v>
      </c>
      <c r="L11" s="95">
        <v>26</v>
      </c>
      <c r="M11" s="95">
        <v>23</v>
      </c>
      <c r="N11" s="95">
        <v>32</v>
      </c>
      <c r="O11" s="95">
        <v>28</v>
      </c>
      <c r="P11" s="95">
        <v>15</v>
      </c>
      <c r="Q11" s="95">
        <v>28</v>
      </c>
      <c r="R11" s="95">
        <v>38</v>
      </c>
      <c r="S11" s="95">
        <v>14</v>
      </c>
      <c r="T11" s="95">
        <v>43</v>
      </c>
      <c r="U11" s="95">
        <v>36</v>
      </c>
      <c r="V11" s="95">
        <v>35</v>
      </c>
      <c r="W11" s="95">
        <v>32</v>
      </c>
      <c r="X11" s="95">
        <v>32</v>
      </c>
      <c r="Y11" s="95">
        <v>29</v>
      </c>
      <c r="Z11" s="95">
        <v>21</v>
      </c>
      <c r="AA11" s="95">
        <v>25</v>
      </c>
      <c r="AB11" s="95">
        <v>8</v>
      </c>
      <c r="AC11" s="95"/>
      <c r="AD11" s="95"/>
      <c r="AE11" s="95"/>
      <c r="AF11" s="95"/>
      <c r="AG11" s="95"/>
      <c r="AH11" s="95"/>
      <c r="AI11" s="95"/>
      <c r="AJ11" s="95"/>
      <c r="AK11" s="95"/>
      <c r="AL11" s="95"/>
      <c r="AM11" s="95"/>
      <c r="AN11" s="95"/>
      <c r="AO11" s="95"/>
      <c r="AP11" s="95"/>
      <c r="AQ11" s="95"/>
      <c r="AR11" s="145"/>
      <c r="AS11" s="145"/>
      <c r="AT11" s="145"/>
      <c r="AU11" s="145"/>
      <c r="AV11" s="145"/>
      <c r="AW11" s="145"/>
      <c r="AX11" s="145"/>
      <c r="AY11" s="145"/>
      <c r="AZ11" s="145"/>
    </row>
    <row r="12" spans="1:52" x14ac:dyDescent="0.2">
      <c r="A12" s="189" t="s">
        <v>390</v>
      </c>
      <c r="B12" s="189"/>
      <c r="C12" s="189"/>
      <c r="D12" s="189"/>
      <c r="E12" s="189"/>
      <c r="F12" s="189"/>
      <c r="G12" s="189"/>
      <c r="H12" s="189"/>
      <c r="I12" s="189"/>
      <c r="J12" s="189"/>
      <c r="K12" s="95">
        <v>2</v>
      </c>
      <c r="L12" s="95">
        <v>11</v>
      </c>
      <c r="M12" s="95">
        <v>14</v>
      </c>
      <c r="N12" s="95">
        <v>9</v>
      </c>
      <c r="O12" s="95">
        <v>4</v>
      </c>
      <c r="P12" s="95">
        <v>11</v>
      </c>
      <c r="Q12" s="95">
        <v>12</v>
      </c>
      <c r="R12" s="95">
        <v>1</v>
      </c>
      <c r="S12" s="95">
        <v>1</v>
      </c>
      <c r="T12" s="95">
        <v>12</v>
      </c>
      <c r="U12" s="95">
        <v>1</v>
      </c>
      <c r="V12" s="95">
        <v>0</v>
      </c>
      <c r="W12" s="95">
        <v>2</v>
      </c>
      <c r="X12" s="95">
        <v>2</v>
      </c>
      <c r="Y12" s="95">
        <v>1</v>
      </c>
      <c r="Z12" s="95">
        <v>4</v>
      </c>
      <c r="AA12" s="95">
        <v>2</v>
      </c>
      <c r="AB12" s="95">
        <v>0</v>
      </c>
      <c r="AC12" s="95"/>
      <c r="AD12" s="95"/>
      <c r="AE12" s="95"/>
      <c r="AF12" s="95"/>
      <c r="AG12" s="95"/>
      <c r="AH12" s="95"/>
      <c r="AI12" s="95"/>
      <c r="AJ12" s="95"/>
      <c r="AK12" s="95"/>
      <c r="AL12" s="95"/>
      <c r="AM12" s="95"/>
      <c r="AN12" s="95"/>
      <c r="AO12" s="95"/>
      <c r="AP12" s="95"/>
      <c r="AQ12" s="95"/>
      <c r="AR12" s="145"/>
      <c r="AS12" s="145"/>
      <c r="AT12" s="145"/>
      <c r="AU12" s="145"/>
      <c r="AV12" s="145"/>
      <c r="AW12" s="145"/>
      <c r="AX12" s="145"/>
      <c r="AY12" s="145"/>
      <c r="AZ12" s="145"/>
    </row>
    <row r="13" spans="1:52" x14ac:dyDescent="0.2">
      <c r="A13" s="189" t="s">
        <v>391</v>
      </c>
      <c r="B13" s="189"/>
      <c r="C13" s="189"/>
      <c r="D13" s="189"/>
      <c r="E13" s="189"/>
      <c r="F13" s="189"/>
      <c r="G13" s="189"/>
      <c r="H13" s="189"/>
      <c r="I13" s="189"/>
      <c r="J13" s="189"/>
      <c r="K13" s="95">
        <v>2</v>
      </c>
      <c r="L13" s="95">
        <v>8</v>
      </c>
      <c r="M13" s="95">
        <v>4</v>
      </c>
      <c r="N13" s="95">
        <v>5</v>
      </c>
      <c r="O13" s="95">
        <v>7</v>
      </c>
      <c r="P13" s="95">
        <v>1</v>
      </c>
      <c r="Q13" s="95">
        <v>4</v>
      </c>
      <c r="R13" s="95">
        <v>2</v>
      </c>
      <c r="S13" s="95">
        <v>6</v>
      </c>
      <c r="T13" s="95">
        <v>8</v>
      </c>
      <c r="U13" s="95">
        <v>5</v>
      </c>
      <c r="V13" s="95">
        <v>13</v>
      </c>
      <c r="W13" s="95">
        <v>1</v>
      </c>
      <c r="X13" s="95">
        <v>2</v>
      </c>
      <c r="Y13" s="95">
        <v>4</v>
      </c>
      <c r="Z13" s="95">
        <v>4</v>
      </c>
      <c r="AA13" s="95">
        <v>7</v>
      </c>
      <c r="AB13" s="95">
        <v>2</v>
      </c>
      <c r="AC13" s="95"/>
      <c r="AD13" s="95"/>
      <c r="AE13" s="95"/>
      <c r="AF13" s="95"/>
      <c r="AG13" s="95"/>
      <c r="AH13" s="95"/>
      <c r="AI13" s="95"/>
      <c r="AJ13" s="95"/>
      <c r="AK13" s="95"/>
      <c r="AL13" s="95"/>
      <c r="AM13" s="95"/>
      <c r="AN13" s="95"/>
      <c r="AO13" s="95"/>
      <c r="AP13" s="95"/>
      <c r="AQ13" s="95"/>
      <c r="AR13" s="145"/>
      <c r="AS13" s="145"/>
      <c r="AT13" s="145"/>
      <c r="AU13" s="145"/>
      <c r="AV13" s="145"/>
      <c r="AW13" s="145"/>
      <c r="AX13" s="145"/>
      <c r="AY13" s="145"/>
      <c r="AZ13" s="145"/>
    </row>
    <row r="14" spans="1:52" x14ac:dyDescent="0.2">
      <c r="A14" s="189" t="s">
        <v>48</v>
      </c>
      <c r="B14" s="189"/>
      <c r="C14" s="189"/>
      <c r="D14" s="189"/>
      <c r="E14" s="189"/>
      <c r="F14" s="189"/>
      <c r="G14" s="189"/>
      <c r="H14" s="189"/>
      <c r="I14" s="189"/>
      <c r="J14" s="189"/>
      <c r="K14" s="95">
        <v>4</v>
      </c>
      <c r="L14" s="95">
        <v>10</v>
      </c>
      <c r="M14" s="95">
        <v>6</v>
      </c>
      <c r="N14" s="95">
        <v>8</v>
      </c>
      <c r="O14" s="95">
        <v>10</v>
      </c>
      <c r="P14" s="95">
        <v>6</v>
      </c>
      <c r="Q14" s="95">
        <v>11</v>
      </c>
      <c r="R14" s="95">
        <v>18</v>
      </c>
      <c r="S14" s="95">
        <v>9</v>
      </c>
      <c r="T14" s="95">
        <v>16</v>
      </c>
      <c r="U14" s="95">
        <v>14</v>
      </c>
      <c r="V14" s="95">
        <v>12</v>
      </c>
      <c r="W14" s="95">
        <v>9</v>
      </c>
      <c r="X14" s="95">
        <v>5</v>
      </c>
      <c r="Y14" s="95">
        <v>9</v>
      </c>
      <c r="Z14" s="95">
        <v>10</v>
      </c>
      <c r="AA14" s="95">
        <v>6</v>
      </c>
      <c r="AB14" s="95">
        <v>4</v>
      </c>
      <c r="AC14" s="95"/>
      <c r="AD14" s="95"/>
      <c r="AE14" s="95"/>
      <c r="AF14" s="95"/>
      <c r="AG14" s="95"/>
      <c r="AH14" s="95"/>
      <c r="AI14" s="95"/>
      <c r="AJ14" s="95"/>
      <c r="AK14" s="95"/>
      <c r="AL14" s="95"/>
      <c r="AM14" s="95"/>
      <c r="AN14" s="95"/>
      <c r="AO14" s="95"/>
      <c r="AP14" s="95"/>
      <c r="AQ14" s="95"/>
      <c r="AR14" s="145"/>
      <c r="AS14" s="145"/>
      <c r="AT14" s="145"/>
      <c r="AU14" s="145"/>
      <c r="AV14" s="145"/>
      <c r="AW14" s="145"/>
      <c r="AX14" s="145"/>
      <c r="AY14" s="145"/>
      <c r="AZ14" s="145"/>
    </row>
    <row r="15" spans="1:52" x14ac:dyDescent="0.2">
      <c r="A15" s="134" t="s">
        <v>233</v>
      </c>
      <c r="B15" s="134"/>
      <c r="C15" s="134"/>
      <c r="D15" s="134"/>
      <c r="E15" s="134"/>
      <c r="F15" s="134"/>
      <c r="G15" s="134"/>
      <c r="H15" s="134"/>
      <c r="I15" s="134"/>
      <c r="J15" s="134"/>
      <c r="K15" s="188">
        <v>29</v>
      </c>
      <c r="L15" s="188">
        <v>55</v>
      </c>
      <c r="M15" s="188">
        <v>47</v>
      </c>
      <c r="N15" s="188">
        <v>55</v>
      </c>
      <c r="O15" s="188">
        <v>49</v>
      </c>
      <c r="P15" s="188">
        <v>33</v>
      </c>
      <c r="Q15" s="188">
        <v>55</v>
      </c>
      <c r="R15" s="188">
        <v>61</v>
      </c>
      <c r="S15" s="188">
        <v>30</v>
      </c>
      <c r="T15" s="188">
        <v>80</v>
      </c>
      <c r="U15" s="188">
        <v>56</v>
      </c>
      <c r="V15" s="188">
        <v>61</v>
      </c>
      <c r="W15" s="188">
        <v>45</v>
      </c>
      <c r="X15" s="188">
        <v>41</v>
      </c>
      <c r="Y15" s="188">
        <v>44</v>
      </c>
      <c r="Z15" s="188">
        <v>39</v>
      </c>
      <c r="AA15" s="188">
        <v>40</v>
      </c>
      <c r="AB15" s="188">
        <v>15</v>
      </c>
      <c r="AC15" s="188"/>
      <c r="AD15" s="188"/>
      <c r="AE15" s="188"/>
      <c r="AF15" s="188"/>
      <c r="AG15" s="188"/>
      <c r="AH15" s="188"/>
      <c r="AI15" s="188"/>
      <c r="AJ15" s="188"/>
      <c r="AK15" s="188"/>
      <c r="AL15" s="188"/>
      <c r="AM15" s="188"/>
      <c r="AN15" s="188"/>
      <c r="AO15" s="188"/>
      <c r="AP15" s="188"/>
      <c r="AQ15" s="188"/>
      <c r="AR15" s="145"/>
      <c r="AS15" s="145"/>
      <c r="AT15" s="145"/>
      <c r="AU15" s="145"/>
      <c r="AV15" s="145"/>
      <c r="AW15" s="145"/>
      <c r="AX15" s="145"/>
      <c r="AY15" s="145"/>
      <c r="AZ15" s="145"/>
    </row>
    <row r="16" spans="1:52" x14ac:dyDescent="0.2">
      <c r="A16" s="134" t="s">
        <v>201</v>
      </c>
      <c r="B16" s="134"/>
      <c r="C16" s="134"/>
      <c r="D16" s="134"/>
      <c r="E16" s="134"/>
      <c r="F16" s="134"/>
      <c r="G16" s="134"/>
      <c r="H16" s="134"/>
      <c r="I16" s="134"/>
      <c r="J16" s="134"/>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145"/>
      <c r="AS16" s="145"/>
      <c r="AT16" s="145"/>
      <c r="AU16" s="145"/>
      <c r="AV16" s="145"/>
      <c r="AW16" s="145"/>
      <c r="AX16" s="145"/>
      <c r="AY16" s="145"/>
      <c r="AZ16" s="145"/>
    </row>
    <row r="17" spans="1:52" x14ac:dyDescent="0.2">
      <c r="A17" s="531" t="s">
        <v>47</v>
      </c>
      <c r="B17" s="531"/>
      <c r="C17" s="531"/>
      <c r="D17" s="531"/>
      <c r="E17" s="531"/>
      <c r="F17" s="531"/>
      <c r="G17" s="531"/>
      <c r="H17" s="531"/>
      <c r="I17" s="531"/>
      <c r="J17" s="531"/>
      <c r="K17" s="531">
        <v>153</v>
      </c>
      <c r="L17" s="531">
        <v>144</v>
      </c>
      <c r="M17" s="531">
        <v>155</v>
      </c>
      <c r="N17" s="531">
        <v>168</v>
      </c>
      <c r="O17" s="531">
        <v>148</v>
      </c>
      <c r="P17" s="531">
        <v>170</v>
      </c>
      <c r="Q17" s="531">
        <v>188</v>
      </c>
      <c r="R17" s="531">
        <v>171</v>
      </c>
      <c r="S17" s="531">
        <v>162</v>
      </c>
      <c r="T17" s="531">
        <v>140</v>
      </c>
      <c r="U17" s="531">
        <v>132</v>
      </c>
      <c r="V17" s="53">
        <v>152</v>
      </c>
      <c r="W17" s="53">
        <v>129</v>
      </c>
      <c r="X17" s="53">
        <v>141</v>
      </c>
      <c r="Y17" s="53">
        <v>146</v>
      </c>
      <c r="Z17" s="53">
        <v>138</v>
      </c>
      <c r="AA17" s="53">
        <v>146</v>
      </c>
      <c r="AB17" s="53">
        <v>150</v>
      </c>
      <c r="AC17" s="53"/>
      <c r="AD17" s="53"/>
      <c r="AE17" s="53"/>
      <c r="AF17" s="53"/>
      <c r="AG17" s="53"/>
      <c r="AH17" s="53"/>
      <c r="AI17" s="53"/>
      <c r="AJ17" s="53"/>
      <c r="AK17" s="53"/>
      <c r="AL17" s="53"/>
      <c r="AM17" s="53"/>
      <c r="AN17" s="53"/>
      <c r="AO17" s="53"/>
      <c r="AP17" s="53"/>
      <c r="AQ17" s="53"/>
      <c r="AR17" s="145"/>
      <c r="AS17" s="145"/>
      <c r="AT17" s="145"/>
      <c r="AU17" s="145"/>
      <c r="AV17" s="145"/>
      <c r="AW17" s="145"/>
      <c r="AX17" s="145"/>
      <c r="AY17" s="145"/>
      <c r="AZ17" s="145"/>
    </row>
    <row r="18" spans="1:52" x14ac:dyDescent="0.2">
      <c r="A18" s="531" t="s">
        <v>390</v>
      </c>
      <c r="B18" s="531"/>
      <c r="C18" s="531"/>
      <c r="D18" s="531"/>
      <c r="E18" s="531"/>
      <c r="F18" s="531"/>
      <c r="G18" s="531"/>
      <c r="H18" s="531"/>
      <c r="I18" s="531"/>
      <c r="J18" s="531"/>
      <c r="K18" s="531">
        <v>35</v>
      </c>
      <c r="L18" s="531">
        <v>47</v>
      </c>
      <c r="M18" s="531">
        <v>44</v>
      </c>
      <c r="N18" s="531">
        <v>31</v>
      </c>
      <c r="O18" s="531">
        <v>21</v>
      </c>
      <c r="P18" s="531">
        <v>35</v>
      </c>
      <c r="Q18" s="531">
        <v>28</v>
      </c>
      <c r="R18" s="531">
        <v>24</v>
      </c>
      <c r="S18" s="531">
        <v>15</v>
      </c>
      <c r="T18" s="531">
        <v>17</v>
      </c>
      <c r="U18" s="531">
        <v>8</v>
      </c>
      <c r="V18" s="53">
        <v>11</v>
      </c>
      <c r="W18" s="53">
        <v>12</v>
      </c>
      <c r="X18" s="53">
        <v>17</v>
      </c>
      <c r="Y18" s="53">
        <v>23</v>
      </c>
      <c r="Z18" s="53">
        <v>24</v>
      </c>
      <c r="AA18" s="53">
        <v>15</v>
      </c>
      <c r="AB18" s="53">
        <v>14</v>
      </c>
      <c r="AC18" s="53"/>
      <c r="AD18" s="53"/>
      <c r="AE18" s="53"/>
      <c r="AF18" s="53"/>
      <c r="AG18" s="53"/>
      <c r="AH18" s="53"/>
      <c r="AI18" s="53"/>
      <c r="AJ18" s="53"/>
      <c r="AK18" s="53"/>
      <c r="AL18" s="53"/>
      <c r="AM18" s="53"/>
      <c r="AN18" s="53"/>
      <c r="AO18" s="53"/>
      <c r="AP18" s="53"/>
      <c r="AQ18" s="53"/>
      <c r="AR18" s="145"/>
      <c r="AS18" s="145"/>
      <c r="AT18" s="145"/>
      <c r="AU18" s="145"/>
      <c r="AV18" s="145"/>
      <c r="AW18" s="145"/>
      <c r="AX18" s="145"/>
      <c r="AY18" s="145"/>
      <c r="AZ18" s="145"/>
    </row>
    <row r="19" spans="1:52" x14ac:dyDescent="0.2">
      <c r="A19" s="531" t="s">
        <v>391</v>
      </c>
      <c r="B19" s="531"/>
      <c r="C19" s="531"/>
      <c r="D19" s="531"/>
      <c r="E19" s="531"/>
      <c r="F19" s="531"/>
      <c r="G19" s="531"/>
      <c r="H19" s="531"/>
      <c r="I19" s="531"/>
      <c r="J19" s="531"/>
      <c r="K19" s="531">
        <v>15</v>
      </c>
      <c r="L19" s="531">
        <v>13</v>
      </c>
      <c r="M19" s="531">
        <v>25</v>
      </c>
      <c r="N19" s="531">
        <v>12</v>
      </c>
      <c r="O19" s="531">
        <v>13</v>
      </c>
      <c r="P19" s="531">
        <v>17</v>
      </c>
      <c r="Q19" s="531">
        <v>9</v>
      </c>
      <c r="R19" s="531">
        <v>10</v>
      </c>
      <c r="S19" s="531">
        <v>20</v>
      </c>
      <c r="T19" s="531">
        <v>22</v>
      </c>
      <c r="U19" s="531">
        <v>29</v>
      </c>
      <c r="V19" s="53">
        <v>24</v>
      </c>
      <c r="W19" s="53">
        <v>24</v>
      </c>
      <c r="X19" s="53">
        <v>17</v>
      </c>
      <c r="Y19" s="53">
        <v>22</v>
      </c>
      <c r="Z19" s="53">
        <v>20</v>
      </c>
      <c r="AA19" s="53">
        <v>27</v>
      </c>
      <c r="AB19" s="53">
        <v>26</v>
      </c>
      <c r="AC19" s="53"/>
      <c r="AD19" s="53"/>
      <c r="AE19" s="53"/>
      <c r="AF19" s="53"/>
      <c r="AG19" s="53"/>
      <c r="AH19" s="53"/>
      <c r="AI19" s="53"/>
      <c r="AJ19" s="53"/>
      <c r="AK19" s="53"/>
      <c r="AL19" s="53"/>
      <c r="AM19" s="53"/>
      <c r="AN19" s="53"/>
      <c r="AO19" s="53"/>
      <c r="AP19" s="53"/>
      <c r="AQ19" s="53"/>
      <c r="AR19" s="145"/>
      <c r="AS19" s="145"/>
      <c r="AT19" s="145"/>
      <c r="AU19" s="145"/>
      <c r="AV19" s="145"/>
      <c r="AW19" s="145"/>
      <c r="AX19" s="145"/>
      <c r="AY19" s="145"/>
      <c r="AZ19" s="145"/>
    </row>
    <row r="20" spans="1:52" x14ac:dyDescent="0.2">
      <c r="A20" s="531" t="s">
        <v>48</v>
      </c>
      <c r="B20" s="531"/>
      <c r="C20" s="531"/>
      <c r="D20" s="531"/>
      <c r="E20" s="531"/>
      <c r="F20" s="531"/>
      <c r="G20" s="531"/>
      <c r="H20" s="531"/>
      <c r="I20" s="531"/>
      <c r="J20" s="531"/>
      <c r="K20" s="53">
        <v>33</v>
      </c>
      <c r="L20" s="53">
        <v>23</v>
      </c>
      <c r="M20" s="53">
        <v>23</v>
      </c>
      <c r="N20" s="53">
        <v>23</v>
      </c>
      <c r="O20" s="53">
        <v>26</v>
      </c>
      <c r="P20" s="53">
        <v>17</v>
      </c>
      <c r="Q20" s="53">
        <v>36</v>
      </c>
      <c r="R20" s="53">
        <v>24</v>
      </c>
      <c r="S20" s="53">
        <v>27</v>
      </c>
      <c r="T20" s="53">
        <v>24</v>
      </c>
      <c r="U20" s="53">
        <v>16</v>
      </c>
      <c r="V20" s="53">
        <v>24</v>
      </c>
      <c r="W20" s="53">
        <v>30</v>
      </c>
      <c r="X20" s="53">
        <v>40</v>
      </c>
      <c r="Y20" s="53">
        <v>36</v>
      </c>
      <c r="Z20" s="53">
        <v>52</v>
      </c>
      <c r="AA20" s="53">
        <v>40</v>
      </c>
      <c r="AB20" s="53">
        <v>30</v>
      </c>
      <c r="AC20" s="53"/>
      <c r="AD20" s="53"/>
      <c r="AE20" s="53"/>
      <c r="AF20" s="53"/>
      <c r="AG20" s="53"/>
      <c r="AH20" s="53"/>
      <c r="AI20" s="53"/>
      <c r="AJ20" s="53"/>
      <c r="AK20" s="53"/>
      <c r="AL20" s="53"/>
      <c r="AM20" s="53"/>
      <c r="AN20" s="53"/>
      <c r="AO20" s="53"/>
      <c r="AP20" s="53"/>
      <c r="AQ20" s="53"/>
      <c r="AR20" s="145"/>
      <c r="AS20" s="145"/>
      <c r="AT20" s="145"/>
      <c r="AU20" s="145"/>
      <c r="AV20" s="145"/>
      <c r="AW20" s="145"/>
      <c r="AX20" s="145"/>
      <c r="AY20" s="145"/>
      <c r="AZ20" s="145"/>
    </row>
    <row r="21" spans="1:52" x14ac:dyDescent="0.2">
      <c r="A21" s="191" t="s">
        <v>233</v>
      </c>
      <c r="B21" s="191"/>
      <c r="C21" s="191"/>
      <c r="D21" s="191"/>
      <c r="E21" s="191"/>
      <c r="F21" s="191"/>
      <c r="G21" s="191"/>
      <c r="H21" s="191"/>
      <c r="I21" s="191"/>
      <c r="J21" s="191"/>
      <c r="K21" s="91">
        <v>241</v>
      </c>
      <c r="L21" s="91">
        <v>232</v>
      </c>
      <c r="M21" s="91">
        <v>249</v>
      </c>
      <c r="N21" s="91">
        <v>236</v>
      </c>
      <c r="O21" s="91">
        <v>208</v>
      </c>
      <c r="P21" s="91">
        <v>240</v>
      </c>
      <c r="Q21" s="91">
        <v>261</v>
      </c>
      <c r="R21" s="91">
        <v>230</v>
      </c>
      <c r="S21" s="91">
        <v>225</v>
      </c>
      <c r="T21" s="91">
        <v>204</v>
      </c>
      <c r="U21" s="91">
        <v>186</v>
      </c>
      <c r="V21" s="91">
        <v>213</v>
      </c>
      <c r="W21" s="91">
        <v>200</v>
      </c>
      <c r="X21" s="91">
        <v>218</v>
      </c>
      <c r="Y21" s="91">
        <v>230</v>
      </c>
      <c r="Z21" s="91">
        <v>239</v>
      </c>
      <c r="AA21" s="91">
        <v>231</v>
      </c>
      <c r="AB21" s="91">
        <v>224</v>
      </c>
      <c r="AC21" s="91"/>
      <c r="AD21" s="91"/>
      <c r="AE21" s="91"/>
      <c r="AF21" s="91"/>
      <c r="AG21" s="91"/>
      <c r="AH21" s="91"/>
      <c r="AI21" s="91"/>
      <c r="AJ21" s="91"/>
      <c r="AK21" s="91"/>
      <c r="AL21" s="91"/>
      <c r="AM21" s="91"/>
      <c r="AN21" s="91"/>
      <c r="AO21" s="91"/>
      <c r="AP21" s="91"/>
      <c r="AQ21" s="91"/>
      <c r="AR21" s="145"/>
      <c r="AS21" s="145"/>
      <c r="AT21" s="145"/>
      <c r="AU21" s="145"/>
      <c r="AV21" s="145"/>
      <c r="AW21" s="145"/>
      <c r="AX21" s="145"/>
      <c r="AY21" s="145"/>
      <c r="AZ21" s="145"/>
    </row>
    <row r="22" spans="1:52" x14ac:dyDescent="0.2">
      <c r="A22" s="134" t="s">
        <v>188</v>
      </c>
      <c r="B22" s="134"/>
      <c r="C22" s="134"/>
      <c r="D22" s="134"/>
      <c r="E22" s="134"/>
      <c r="F22" s="134"/>
      <c r="G22" s="134"/>
      <c r="H22" s="134"/>
      <c r="I22" s="134"/>
      <c r="J22" s="134"/>
      <c r="K22" s="188"/>
      <c r="L22" s="91"/>
      <c r="M22" s="95"/>
      <c r="N22" s="91"/>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145"/>
      <c r="AS22" s="145"/>
      <c r="AT22" s="145"/>
      <c r="AU22" s="145"/>
      <c r="AV22" s="145"/>
      <c r="AW22" s="145"/>
      <c r="AX22" s="145"/>
      <c r="AY22" s="145"/>
      <c r="AZ22" s="145"/>
    </row>
    <row r="23" spans="1:52" x14ac:dyDescent="0.2">
      <c r="A23" s="190" t="s">
        <v>47</v>
      </c>
      <c r="B23" s="190"/>
      <c r="C23" s="190"/>
      <c r="D23" s="190"/>
      <c r="E23" s="190"/>
      <c r="F23" s="190"/>
      <c r="G23" s="190"/>
      <c r="H23" s="190"/>
      <c r="I23" s="190"/>
      <c r="J23" s="190"/>
      <c r="K23" s="95">
        <v>25</v>
      </c>
      <c r="L23" s="96">
        <v>22</v>
      </c>
      <c r="M23" s="95">
        <v>23</v>
      </c>
      <c r="N23" s="96">
        <v>25</v>
      </c>
      <c r="O23" s="95">
        <v>22</v>
      </c>
      <c r="P23" s="95">
        <v>18</v>
      </c>
      <c r="Q23" s="95">
        <v>12</v>
      </c>
      <c r="R23" s="95">
        <v>13</v>
      </c>
      <c r="S23" s="95">
        <v>16</v>
      </c>
      <c r="T23" s="95">
        <v>32</v>
      </c>
      <c r="U23" s="95">
        <v>33</v>
      </c>
      <c r="V23" s="95">
        <v>25</v>
      </c>
      <c r="W23" s="95">
        <v>25</v>
      </c>
      <c r="X23" s="95">
        <v>26</v>
      </c>
      <c r="Y23" s="95">
        <v>25</v>
      </c>
      <c r="Z23" s="95">
        <v>19</v>
      </c>
      <c r="AA23" s="95">
        <v>17</v>
      </c>
      <c r="AB23" s="95">
        <v>15</v>
      </c>
      <c r="AC23" s="95"/>
      <c r="AD23" s="95"/>
      <c r="AE23" s="95"/>
      <c r="AF23" s="95"/>
      <c r="AG23" s="95"/>
      <c r="AH23" s="95"/>
      <c r="AI23" s="95"/>
      <c r="AJ23" s="95"/>
      <c r="AK23" s="95"/>
      <c r="AL23" s="95"/>
      <c r="AM23" s="95"/>
      <c r="AN23" s="95"/>
      <c r="AO23" s="95"/>
      <c r="AP23" s="95"/>
      <c r="AQ23" s="95"/>
      <c r="AR23" s="145"/>
      <c r="AS23" s="145"/>
      <c r="AT23" s="145"/>
      <c r="AU23" s="145"/>
      <c r="AV23" s="145"/>
      <c r="AW23" s="145"/>
      <c r="AX23" s="145"/>
      <c r="AY23" s="145"/>
      <c r="AZ23" s="145"/>
    </row>
    <row r="24" spans="1:52" x14ac:dyDescent="0.2">
      <c r="A24" s="190" t="s">
        <v>390</v>
      </c>
      <c r="B24" s="190"/>
      <c r="C24" s="190"/>
      <c r="D24" s="190"/>
      <c r="E24" s="190"/>
      <c r="F24" s="190"/>
      <c r="G24" s="190"/>
      <c r="H24" s="190"/>
      <c r="I24" s="190"/>
      <c r="J24" s="190"/>
      <c r="K24" s="95">
        <v>3</v>
      </c>
      <c r="L24" s="96">
        <v>3</v>
      </c>
      <c r="M24" s="95">
        <v>2</v>
      </c>
      <c r="N24" s="96">
        <v>1</v>
      </c>
      <c r="O24" s="95">
        <v>1</v>
      </c>
      <c r="P24" s="95">
        <v>1</v>
      </c>
      <c r="Q24" s="95">
        <v>1</v>
      </c>
      <c r="R24" s="95">
        <v>0</v>
      </c>
      <c r="S24" s="95">
        <v>0</v>
      </c>
      <c r="T24" s="95">
        <v>0</v>
      </c>
      <c r="U24" s="95">
        <v>2</v>
      </c>
      <c r="V24" s="95">
        <v>1</v>
      </c>
      <c r="W24" s="95">
        <v>1</v>
      </c>
      <c r="X24" s="95">
        <v>3</v>
      </c>
      <c r="Y24" s="95">
        <v>4</v>
      </c>
      <c r="Z24" s="95">
        <v>5</v>
      </c>
      <c r="AA24" s="95">
        <v>4</v>
      </c>
      <c r="AB24" s="95">
        <v>3</v>
      </c>
      <c r="AC24" s="95"/>
      <c r="AD24" s="95"/>
      <c r="AE24" s="95"/>
      <c r="AF24" s="95"/>
      <c r="AG24" s="95"/>
      <c r="AH24" s="95"/>
      <c r="AI24" s="95"/>
      <c r="AJ24" s="95"/>
      <c r="AK24" s="95"/>
      <c r="AL24" s="95"/>
      <c r="AM24" s="95"/>
      <c r="AN24" s="95"/>
      <c r="AO24" s="95"/>
      <c r="AP24" s="95"/>
      <c r="AQ24" s="95"/>
      <c r="AR24" s="145"/>
      <c r="AS24" s="145"/>
      <c r="AT24" s="145"/>
      <c r="AU24" s="145"/>
      <c r="AV24" s="145"/>
      <c r="AW24" s="145"/>
      <c r="AX24" s="145"/>
      <c r="AY24" s="145"/>
      <c r="AZ24" s="145"/>
    </row>
    <row r="25" spans="1:52" x14ac:dyDescent="0.2">
      <c r="A25" s="190" t="s">
        <v>391</v>
      </c>
      <c r="B25" s="190"/>
      <c r="C25" s="190"/>
      <c r="D25" s="190"/>
      <c r="E25" s="190"/>
      <c r="F25" s="190"/>
      <c r="G25" s="190"/>
      <c r="H25" s="190"/>
      <c r="I25" s="190"/>
      <c r="J25" s="190"/>
      <c r="K25" s="95">
        <v>7</v>
      </c>
      <c r="L25" s="96">
        <v>6</v>
      </c>
      <c r="M25" s="95">
        <v>5</v>
      </c>
      <c r="N25" s="96">
        <v>4</v>
      </c>
      <c r="O25" s="95">
        <v>2</v>
      </c>
      <c r="P25" s="95">
        <v>4</v>
      </c>
      <c r="Q25" s="95">
        <v>3</v>
      </c>
      <c r="R25" s="95">
        <v>6</v>
      </c>
      <c r="S25" s="95">
        <v>4</v>
      </c>
      <c r="T25" s="95">
        <v>4</v>
      </c>
      <c r="U25" s="95">
        <v>4</v>
      </c>
      <c r="V25" s="95">
        <v>8</v>
      </c>
      <c r="W25" s="95">
        <v>6</v>
      </c>
      <c r="X25" s="95">
        <v>5</v>
      </c>
      <c r="Y25" s="95">
        <v>3</v>
      </c>
      <c r="Z25" s="95">
        <v>4</v>
      </c>
      <c r="AA25" s="95">
        <v>3</v>
      </c>
      <c r="AB25" s="95">
        <v>3</v>
      </c>
      <c r="AC25" s="95"/>
      <c r="AD25" s="95"/>
      <c r="AE25" s="95"/>
      <c r="AF25" s="95"/>
      <c r="AG25" s="95"/>
      <c r="AH25" s="95"/>
      <c r="AI25" s="95"/>
      <c r="AJ25" s="95"/>
      <c r="AK25" s="95"/>
      <c r="AL25" s="95"/>
      <c r="AM25" s="95"/>
      <c r="AN25" s="95"/>
      <c r="AO25" s="95"/>
      <c r="AP25" s="95"/>
      <c r="AQ25" s="95"/>
      <c r="AR25" s="145"/>
      <c r="AS25" s="145"/>
      <c r="AT25" s="145"/>
      <c r="AU25" s="145"/>
      <c r="AV25" s="145"/>
      <c r="AW25" s="145"/>
      <c r="AX25" s="145"/>
      <c r="AY25" s="145"/>
      <c r="AZ25" s="145"/>
    </row>
    <row r="26" spans="1:52" x14ac:dyDescent="0.2">
      <c r="A26" s="190" t="s">
        <v>48</v>
      </c>
      <c r="B26" s="190"/>
      <c r="C26" s="190"/>
      <c r="D26" s="190"/>
      <c r="E26" s="190"/>
      <c r="F26" s="190"/>
      <c r="G26" s="190"/>
      <c r="H26" s="190"/>
      <c r="I26" s="190"/>
      <c r="J26" s="190"/>
      <c r="K26" s="95">
        <v>3</v>
      </c>
      <c r="L26" s="96">
        <v>5</v>
      </c>
      <c r="M26" s="95">
        <v>9</v>
      </c>
      <c r="N26" s="96">
        <v>5</v>
      </c>
      <c r="O26" s="95">
        <v>5</v>
      </c>
      <c r="P26" s="95">
        <v>3</v>
      </c>
      <c r="Q26" s="95">
        <v>4</v>
      </c>
      <c r="R26" s="95">
        <v>7</v>
      </c>
      <c r="S26" s="95">
        <v>6</v>
      </c>
      <c r="T26" s="95">
        <v>7</v>
      </c>
      <c r="U26" s="95">
        <v>6</v>
      </c>
      <c r="V26" s="95">
        <v>6</v>
      </c>
      <c r="W26" s="95">
        <v>8</v>
      </c>
      <c r="X26" s="95">
        <v>7</v>
      </c>
      <c r="Y26" s="95">
        <v>8</v>
      </c>
      <c r="Z26" s="95">
        <v>7</v>
      </c>
      <c r="AA26" s="95">
        <v>8</v>
      </c>
      <c r="AB26" s="95">
        <v>8</v>
      </c>
      <c r="AC26" s="95"/>
      <c r="AD26" s="95"/>
      <c r="AE26" s="95"/>
      <c r="AF26" s="95"/>
      <c r="AG26" s="95"/>
      <c r="AH26" s="95"/>
      <c r="AI26" s="95"/>
      <c r="AJ26" s="95"/>
      <c r="AK26" s="95"/>
      <c r="AL26" s="95"/>
      <c r="AM26" s="95"/>
      <c r="AN26" s="95"/>
      <c r="AO26" s="95"/>
      <c r="AP26" s="95"/>
      <c r="AQ26" s="95"/>
      <c r="AR26" s="145"/>
      <c r="AS26" s="145"/>
      <c r="AT26" s="145"/>
      <c r="AU26" s="145"/>
      <c r="AV26" s="145"/>
      <c r="AW26" s="145"/>
      <c r="AX26" s="145"/>
      <c r="AY26" s="145"/>
      <c r="AZ26" s="145"/>
    </row>
    <row r="27" spans="1:52" x14ac:dyDescent="0.2">
      <c r="A27" s="134" t="s">
        <v>233</v>
      </c>
      <c r="B27" s="134"/>
      <c r="C27" s="134"/>
      <c r="D27" s="134"/>
      <c r="E27" s="134"/>
      <c r="F27" s="134"/>
      <c r="G27" s="134"/>
      <c r="H27" s="134"/>
      <c r="I27" s="134"/>
      <c r="J27" s="134"/>
      <c r="K27" s="188">
        <v>38</v>
      </c>
      <c r="L27" s="362">
        <v>36</v>
      </c>
      <c r="M27" s="188">
        <v>39</v>
      </c>
      <c r="N27" s="362">
        <v>35</v>
      </c>
      <c r="O27" s="188">
        <v>30</v>
      </c>
      <c r="P27" s="188">
        <v>26</v>
      </c>
      <c r="Q27" s="188">
        <v>20</v>
      </c>
      <c r="R27" s="188">
        <v>26</v>
      </c>
      <c r="S27" s="188">
        <v>26</v>
      </c>
      <c r="T27" s="188">
        <v>44</v>
      </c>
      <c r="U27" s="188">
        <v>45</v>
      </c>
      <c r="V27" s="188">
        <v>40</v>
      </c>
      <c r="W27" s="188">
        <v>40</v>
      </c>
      <c r="X27" s="188">
        <v>43</v>
      </c>
      <c r="Y27" s="188">
        <v>42</v>
      </c>
      <c r="Z27" s="188">
        <v>37</v>
      </c>
      <c r="AA27" s="188">
        <v>34</v>
      </c>
      <c r="AB27" s="188">
        <v>32</v>
      </c>
      <c r="AC27" s="188"/>
      <c r="AD27" s="188"/>
      <c r="AE27" s="188"/>
      <c r="AF27" s="188"/>
      <c r="AG27" s="188"/>
      <c r="AH27" s="188"/>
      <c r="AI27" s="188"/>
      <c r="AJ27" s="188"/>
      <c r="AK27" s="188"/>
      <c r="AL27" s="188"/>
      <c r="AM27" s="188"/>
      <c r="AN27" s="188"/>
      <c r="AO27" s="188"/>
      <c r="AP27" s="188"/>
      <c r="AQ27" s="188"/>
      <c r="AR27" s="145"/>
      <c r="AS27" s="145"/>
      <c r="AT27" s="145"/>
      <c r="AU27" s="145"/>
      <c r="AV27" s="145"/>
      <c r="AW27" s="145"/>
      <c r="AX27" s="145"/>
      <c r="AY27" s="145"/>
      <c r="AZ27" s="145"/>
    </row>
    <row r="28" spans="1:52" x14ac:dyDescent="0.2">
      <c r="A28" s="134" t="s">
        <v>232</v>
      </c>
      <c r="B28" s="134"/>
      <c r="C28" s="134"/>
      <c r="D28" s="134"/>
      <c r="E28" s="134"/>
      <c r="F28" s="134"/>
      <c r="G28" s="134"/>
      <c r="H28" s="134"/>
      <c r="I28" s="134"/>
      <c r="J28" s="134"/>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145"/>
      <c r="AS28" s="145"/>
      <c r="AT28" s="145"/>
      <c r="AU28" s="145"/>
      <c r="AV28" s="145"/>
      <c r="AW28" s="145"/>
      <c r="AX28" s="145"/>
      <c r="AY28" s="145"/>
      <c r="AZ28" s="145"/>
    </row>
    <row r="29" spans="1:52" x14ac:dyDescent="0.2">
      <c r="A29" s="190" t="s">
        <v>47</v>
      </c>
      <c r="B29" s="190"/>
      <c r="C29" s="190"/>
      <c r="D29" s="190"/>
      <c r="E29" s="190"/>
      <c r="F29" s="190"/>
      <c r="G29" s="190"/>
      <c r="H29" s="190"/>
      <c r="I29" s="190"/>
      <c r="J29" s="190"/>
      <c r="K29" s="95">
        <v>23</v>
      </c>
      <c r="L29" s="95">
        <v>23</v>
      </c>
      <c r="M29" s="95">
        <v>27</v>
      </c>
      <c r="N29" s="95">
        <v>23</v>
      </c>
      <c r="O29" s="95">
        <v>25</v>
      </c>
      <c r="P29" s="95">
        <v>27</v>
      </c>
      <c r="Q29" s="95">
        <v>26</v>
      </c>
      <c r="R29" s="95">
        <v>21</v>
      </c>
      <c r="S29" s="95">
        <v>22</v>
      </c>
      <c r="T29" s="95">
        <v>19</v>
      </c>
      <c r="U29" s="95">
        <v>17</v>
      </c>
      <c r="V29" s="95">
        <v>16</v>
      </c>
      <c r="W29" s="95">
        <v>17</v>
      </c>
      <c r="X29" s="95">
        <v>13</v>
      </c>
      <c r="Y29" s="95">
        <v>14</v>
      </c>
      <c r="Z29" s="95">
        <v>11</v>
      </c>
      <c r="AA29" s="95">
        <v>12</v>
      </c>
      <c r="AB29" s="95">
        <v>14</v>
      </c>
      <c r="AC29" s="95"/>
      <c r="AD29" s="95"/>
      <c r="AE29" s="95"/>
      <c r="AF29" s="95"/>
      <c r="AG29" s="95"/>
      <c r="AH29" s="95"/>
      <c r="AI29" s="95"/>
      <c r="AJ29" s="95"/>
      <c r="AK29" s="95"/>
      <c r="AL29" s="95"/>
      <c r="AM29" s="95"/>
      <c r="AN29" s="95"/>
      <c r="AO29" s="95"/>
      <c r="AP29" s="95"/>
      <c r="AQ29" s="95"/>
      <c r="AR29" s="145"/>
      <c r="AS29" s="145"/>
      <c r="AT29" s="145"/>
      <c r="AU29" s="145"/>
      <c r="AV29" s="145"/>
      <c r="AW29" s="145"/>
      <c r="AX29" s="145"/>
      <c r="AY29" s="145"/>
      <c r="AZ29" s="145"/>
    </row>
    <row r="30" spans="1:52" x14ac:dyDescent="0.2">
      <c r="A30" s="190" t="s">
        <v>390</v>
      </c>
      <c r="B30" s="190"/>
      <c r="C30" s="190"/>
      <c r="D30" s="190"/>
      <c r="E30" s="190"/>
      <c r="F30" s="190"/>
      <c r="G30" s="190"/>
      <c r="H30" s="190"/>
      <c r="I30" s="190"/>
      <c r="J30" s="190"/>
      <c r="K30" s="95">
        <v>3</v>
      </c>
      <c r="L30" s="95">
        <v>5</v>
      </c>
      <c r="M30" s="95">
        <v>4</v>
      </c>
      <c r="N30" s="95">
        <v>2</v>
      </c>
      <c r="O30" s="95">
        <v>2</v>
      </c>
      <c r="P30" s="95">
        <v>1</v>
      </c>
      <c r="Q30" s="95">
        <v>2</v>
      </c>
      <c r="R30" s="95">
        <v>2</v>
      </c>
      <c r="S30" s="95">
        <v>1</v>
      </c>
      <c r="T30" s="95">
        <v>1</v>
      </c>
      <c r="U30" s="95"/>
      <c r="V30" s="95"/>
      <c r="W30" s="95">
        <v>1</v>
      </c>
      <c r="X30" s="95">
        <v>1</v>
      </c>
      <c r="Y30" s="95"/>
      <c r="Z30" s="95">
        <v>1</v>
      </c>
      <c r="AA30" s="95">
        <v>3</v>
      </c>
      <c r="AB30" s="95">
        <v>1</v>
      </c>
      <c r="AC30" s="95"/>
      <c r="AD30" s="95"/>
      <c r="AE30" s="95"/>
      <c r="AF30" s="95"/>
      <c r="AG30" s="95"/>
      <c r="AH30" s="95"/>
      <c r="AI30" s="95"/>
      <c r="AJ30" s="95"/>
      <c r="AK30" s="95"/>
      <c r="AL30" s="95"/>
      <c r="AM30" s="95"/>
      <c r="AN30" s="95"/>
      <c r="AO30" s="95"/>
      <c r="AP30" s="95"/>
      <c r="AQ30" s="95"/>
      <c r="AR30" s="145"/>
      <c r="AS30" s="145"/>
      <c r="AT30" s="145"/>
      <c r="AU30" s="145"/>
      <c r="AV30" s="145"/>
      <c r="AW30" s="145"/>
      <c r="AX30" s="145"/>
      <c r="AY30" s="145"/>
      <c r="AZ30" s="145"/>
    </row>
    <row r="31" spans="1:52" x14ac:dyDescent="0.2">
      <c r="A31" s="190" t="s">
        <v>391</v>
      </c>
      <c r="B31" s="190"/>
      <c r="C31" s="190"/>
      <c r="D31" s="190"/>
      <c r="E31" s="190"/>
      <c r="F31" s="190"/>
      <c r="G31" s="190"/>
      <c r="H31" s="190"/>
      <c r="I31" s="190"/>
      <c r="J31" s="190"/>
      <c r="K31" s="95">
        <v>4</v>
      </c>
      <c r="L31" s="95">
        <v>3</v>
      </c>
      <c r="M31" s="95">
        <v>3</v>
      </c>
      <c r="N31" s="95">
        <v>5</v>
      </c>
      <c r="O31" s="95">
        <v>5</v>
      </c>
      <c r="P31" s="95">
        <v>4</v>
      </c>
      <c r="Q31" s="95">
        <v>3</v>
      </c>
      <c r="R31" s="95">
        <v>3</v>
      </c>
      <c r="S31" s="95">
        <v>4</v>
      </c>
      <c r="T31" s="95">
        <v>5</v>
      </c>
      <c r="U31" s="95">
        <v>5</v>
      </c>
      <c r="V31" s="95">
        <v>4</v>
      </c>
      <c r="W31" s="95">
        <v>4</v>
      </c>
      <c r="X31" s="95">
        <v>2</v>
      </c>
      <c r="Y31" s="95">
        <v>5</v>
      </c>
      <c r="Z31" s="95">
        <v>4</v>
      </c>
      <c r="AA31" s="95">
        <v>4</v>
      </c>
      <c r="AB31" s="95">
        <v>4</v>
      </c>
      <c r="AC31" s="95"/>
      <c r="AD31" s="95"/>
      <c r="AE31" s="95"/>
      <c r="AF31" s="95"/>
      <c r="AG31" s="95"/>
      <c r="AH31" s="95"/>
      <c r="AI31" s="95"/>
      <c r="AJ31" s="95"/>
      <c r="AK31" s="95"/>
      <c r="AL31" s="95"/>
      <c r="AM31" s="95"/>
      <c r="AN31" s="95"/>
      <c r="AO31" s="95"/>
      <c r="AP31" s="95"/>
      <c r="AQ31" s="95"/>
      <c r="AR31" s="145"/>
      <c r="AS31" s="145"/>
      <c r="AT31" s="145"/>
      <c r="AU31" s="145"/>
      <c r="AV31" s="145"/>
      <c r="AW31" s="145"/>
      <c r="AX31" s="145"/>
      <c r="AY31" s="145"/>
      <c r="AZ31" s="145"/>
    </row>
    <row r="32" spans="1:52" x14ac:dyDescent="0.2">
      <c r="A32" s="190" t="s">
        <v>48</v>
      </c>
      <c r="B32" s="190"/>
      <c r="C32" s="190"/>
      <c r="D32" s="190"/>
      <c r="E32" s="190"/>
      <c r="F32" s="190"/>
      <c r="G32" s="190"/>
      <c r="H32" s="190"/>
      <c r="I32" s="190"/>
      <c r="J32" s="190"/>
      <c r="K32" s="95">
        <v>4</v>
      </c>
      <c r="L32" s="95">
        <v>6</v>
      </c>
      <c r="M32" s="95">
        <v>6</v>
      </c>
      <c r="N32" s="95">
        <v>5</v>
      </c>
      <c r="O32" s="95">
        <v>5</v>
      </c>
      <c r="P32" s="95">
        <v>6</v>
      </c>
      <c r="Q32" s="95">
        <v>6</v>
      </c>
      <c r="R32" s="95">
        <v>6</v>
      </c>
      <c r="S32" s="95">
        <v>7</v>
      </c>
      <c r="T32" s="95">
        <v>6</v>
      </c>
      <c r="U32" s="95">
        <v>6</v>
      </c>
      <c r="V32" s="95">
        <v>7</v>
      </c>
      <c r="W32" s="95">
        <v>7</v>
      </c>
      <c r="X32" s="95">
        <v>6</v>
      </c>
      <c r="Y32" s="95">
        <v>5</v>
      </c>
      <c r="Z32" s="95">
        <v>6</v>
      </c>
      <c r="AA32" s="95">
        <v>6</v>
      </c>
      <c r="AB32" s="95">
        <v>5</v>
      </c>
      <c r="AC32" s="95"/>
      <c r="AD32" s="95"/>
      <c r="AE32" s="95"/>
      <c r="AF32" s="95"/>
      <c r="AG32" s="95"/>
      <c r="AH32" s="95"/>
      <c r="AI32" s="95"/>
      <c r="AJ32" s="95"/>
      <c r="AK32" s="95"/>
      <c r="AL32" s="95"/>
      <c r="AM32" s="95"/>
      <c r="AN32" s="95"/>
      <c r="AO32" s="95"/>
      <c r="AP32" s="95"/>
      <c r="AQ32" s="95"/>
      <c r="AR32" s="145"/>
      <c r="AS32" s="145"/>
      <c r="AT32" s="145"/>
      <c r="AU32" s="145"/>
      <c r="AV32" s="145"/>
      <c r="AW32" s="145"/>
      <c r="AX32" s="145"/>
      <c r="AY32" s="145"/>
      <c r="AZ32" s="145"/>
    </row>
    <row r="33" spans="1:52" x14ac:dyDescent="0.2">
      <c r="A33" s="134" t="s">
        <v>233</v>
      </c>
      <c r="B33" s="134"/>
      <c r="C33" s="134"/>
      <c r="D33" s="134"/>
      <c r="E33" s="134"/>
      <c r="F33" s="134"/>
      <c r="G33" s="134"/>
      <c r="H33" s="134"/>
      <c r="I33" s="134"/>
      <c r="J33" s="134"/>
      <c r="K33" s="188">
        <v>34</v>
      </c>
      <c r="L33" s="188">
        <v>37</v>
      </c>
      <c r="M33" s="188">
        <v>40</v>
      </c>
      <c r="N33" s="188">
        <v>35</v>
      </c>
      <c r="O33" s="188">
        <v>37</v>
      </c>
      <c r="P33" s="188">
        <v>38</v>
      </c>
      <c r="Q33" s="188">
        <v>37</v>
      </c>
      <c r="R33" s="188">
        <v>32</v>
      </c>
      <c r="S33" s="188">
        <v>34</v>
      </c>
      <c r="T33" s="188">
        <v>31</v>
      </c>
      <c r="U33" s="188">
        <v>28</v>
      </c>
      <c r="V33" s="188">
        <v>27</v>
      </c>
      <c r="W33" s="188">
        <v>29</v>
      </c>
      <c r="X33" s="188">
        <v>22</v>
      </c>
      <c r="Y33" s="188">
        <v>24</v>
      </c>
      <c r="Z33" s="188">
        <v>22</v>
      </c>
      <c r="AA33" s="188">
        <v>25</v>
      </c>
      <c r="AB33" s="188">
        <v>24</v>
      </c>
      <c r="AC33" s="188"/>
      <c r="AD33" s="188"/>
      <c r="AE33" s="188"/>
      <c r="AF33" s="188"/>
      <c r="AG33" s="188"/>
      <c r="AH33" s="188"/>
      <c r="AI33" s="188"/>
      <c r="AJ33" s="188"/>
      <c r="AK33" s="188"/>
      <c r="AL33" s="188"/>
      <c r="AM33" s="188"/>
      <c r="AN33" s="188"/>
      <c r="AO33" s="188"/>
      <c r="AP33" s="188"/>
      <c r="AQ33" s="188"/>
      <c r="AR33" s="145"/>
      <c r="AS33" s="145"/>
      <c r="AT33" s="145"/>
      <c r="AU33" s="145"/>
      <c r="AV33" s="145"/>
      <c r="AW33" s="145"/>
      <c r="AX33" s="145"/>
      <c r="AY33" s="145"/>
      <c r="AZ33" s="145"/>
    </row>
    <row r="34" spans="1:52" x14ac:dyDescent="0.2">
      <c r="A34" s="187"/>
      <c r="B34" s="187"/>
      <c r="C34" s="187"/>
      <c r="D34" s="187"/>
      <c r="E34" s="187"/>
      <c r="F34" s="187"/>
      <c r="G34" s="187"/>
      <c r="H34" s="187"/>
      <c r="I34" s="187"/>
      <c r="J34" s="187"/>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145"/>
      <c r="AS34" s="145"/>
      <c r="AT34" s="145"/>
      <c r="AU34" s="145"/>
      <c r="AV34" s="145"/>
      <c r="AW34" s="145"/>
      <c r="AX34" s="145"/>
      <c r="AY34" s="145"/>
      <c r="AZ34" s="145"/>
    </row>
    <row r="35" spans="1:52" x14ac:dyDescent="0.2">
      <c r="A35" s="187" t="s">
        <v>2</v>
      </c>
      <c r="B35" s="187"/>
      <c r="C35" s="187"/>
      <c r="D35" s="187"/>
      <c r="E35" s="187"/>
      <c r="F35" s="187"/>
      <c r="G35" s="187"/>
      <c r="H35" s="187"/>
      <c r="I35" s="187"/>
      <c r="J35" s="187"/>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145"/>
      <c r="AS35" s="145"/>
      <c r="AT35" s="145"/>
      <c r="AU35" s="145"/>
      <c r="AV35" s="145"/>
      <c r="AW35" s="145"/>
      <c r="AX35" s="145"/>
      <c r="AY35" s="145"/>
      <c r="AZ35" s="145"/>
    </row>
    <row r="36" spans="1:52" x14ac:dyDescent="0.2">
      <c r="A36" s="190" t="s">
        <v>47</v>
      </c>
      <c r="B36" s="190"/>
      <c r="C36" s="190"/>
      <c r="D36" s="190"/>
      <c r="E36" s="190"/>
      <c r="F36" s="190"/>
      <c r="G36" s="190"/>
      <c r="H36" s="190"/>
      <c r="I36" s="190"/>
      <c r="J36" s="190"/>
      <c r="K36" s="55">
        <f>K17/K21</f>
        <v>0.63485477178423233</v>
      </c>
      <c r="L36" s="55">
        <f t="shared" ref="L36:Q36" si="0">L17/L21</f>
        <v>0.62068965517241381</v>
      </c>
      <c r="M36" s="55">
        <f t="shared" si="0"/>
        <v>0.6224899598393574</v>
      </c>
      <c r="N36" s="55">
        <f t="shared" si="0"/>
        <v>0.71186440677966101</v>
      </c>
      <c r="O36" s="55">
        <f t="shared" si="0"/>
        <v>0.71153846153846156</v>
      </c>
      <c r="P36" s="55">
        <f t="shared" si="0"/>
        <v>0.70833333333333337</v>
      </c>
      <c r="Q36" s="55">
        <f t="shared" si="0"/>
        <v>0.72030651340996166</v>
      </c>
      <c r="R36" s="55">
        <f>R17/R21</f>
        <v>0.74347826086956526</v>
      </c>
      <c r="S36" s="55">
        <f>S17/S21</f>
        <v>0.72</v>
      </c>
      <c r="T36" s="55">
        <f t="shared" ref="T36:AQ36" si="1">T17/T21</f>
        <v>0.68627450980392157</v>
      </c>
      <c r="U36" s="55">
        <f t="shared" si="1"/>
        <v>0.70967741935483875</v>
      </c>
      <c r="V36" s="55">
        <f t="shared" si="1"/>
        <v>0.71361502347417838</v>
      </c>
      <c r="W36" s="55">
        <f t="shared" si="1"/>
        <v>0.64500000000000002</v>
      </c>
      <c r="X36" s="55">
        <f t="shared" si="1"/>
        <v>0.64678899082568808</v>
      </c>
      <c r="Y36" s="55">
        <f t="shared" si="1"/>
        <v>0.63478260869565217</v>
      </c>
      <c r="Z36" s="55">
        <f t="shared" si="1"/>
        <v>0.57740585774058573</v>
      </c>
      <c r="AA36" s="55">
        <f t="shared" si="1"/>
        <v>0.63203463203463206</v>
      </c>
      <c r="AB36" s="55">
        <f t="shared" si="1"/>
        <v>0.6696428571428571</v>
      </c>
      <c r="AC36" s="55" t="e">
        <f t="shared" si="1"/>
        <v>#DIV/0!</v>
      </c>
      <c r="AD36" s="55" t="e">
        <f t="shared" si="1"/>
        <v>#DIV/0!</v>
      </c>
      <c r="AE36" s="55" t="e">
        <f t="shared" si="1"/>
        <v>#DIV/0!</v>
      </c>
      <c r="AF36" s="55" t="e">
        <f t="shared" si="1"/>
        <v>#DIV/0!</v>
      </c>
      <c r="AG36" s="55" t="e">
        <f t="shared" si="1"/>
        <v>#DIV/0!</v>
      </c>
      <c r="AH36" s="55" t="e">
        <f t="shared" si="1"/>
        <v>#DIV/0!</v>
      </c>
      <c r="AI36" s="55" t="e">
        <f t="shared" si="1"/>
        <v>#DIV/0!</v>
      </c>
      <c r="AJ36" s="55" t="e">
        <f t="shared" si="1"/>
        <v>#DIV/0!</v>
      </c>
      <c r="AK36" s="55" t="e">
        <f t="shared" si="1"/>
        <v>#DIV/0!</v>
      </c>
      <c r="AL36" s="55" t="e">
        <f t="shared" si="1"/>
        <v>#DIV/0!</v>
      </c>
      <c r="AM36" s="55" t="e">
        <f t="shared" si="1"/>
        <v>#DIV/0!</v>
      </c>
      <c r="AN36" s="55" t="e">
        <f t="shared" si="1"/>
        <v>#DIV/0!</v>
      </c>
      <c r="AO36" s="55" t="e">
        <f t="shared" si="1"/>
        <v>#DIV/0!</v>
      </c>
      <c r="AP36" s="55" t="e">
        <f t="shared" si="1"/>
        <v>#DIV/0!</v>
      </c>
      <c r="AQ36" s="55" t="e">
        <f t="shared" si="1"/>
        <v>#DIV/0!</v>
      </c>
      <c r="AR36" s="145"/>
      <c r="AS36" s="145"/>
      <c r="AT36" s="145"/>
      <c r="AU36" s="145"/>
      <c r="AV36" s="145"/>
      <c r="AW36" s="145"/>
      <c r="AX36" s="145"/>
      <c r="AY36" s="145"/>
      <c r="AZ36" s="145"/>
    </row>
    <row r="37" spans="1:52" x14ac:dyDescent="0.2">
      <c r="A37" s="190" t="s">
        <v>390</v>
      </c>
      <c r="B37" s="190"/>
      <c r="C37" s="190"/>
      <c r="D37" s="190"/>
      <c r="E37" s="190"/>
      <c r="F37" s="190"/>
      <c r="G37" s="190"/>
      <c r="H37" s="190"/>
      <c r="I37" s="190"/>
      <c r="J37" s="190"/>
      <c r="K37" s="55">
        <f>K18/K21</f>
        <v>0.14522821576763487</v>
      </c>
      <c r="L37" s="55">
        <f t="shared" ref="L37:S37" si="2">L18/L21</f>
        <v>0.20258620689655171</v>
      </c>
      <c r="M37" s="55">
        <f t="shared" si="2"/>
        <v>0.17670682730923695</v>
      </c>
      <c r="N37" s="55">
        <f t="shared" si="2"/>
        <v>0.13135593220338984</v>
      </c>
      <c r="O37" s="55">
        <f t="shared" si="2"/>
        <v>0.10096153846153846</v>
      </c>
      <c r="P37" s="55">
        <f t="shared" si="2"/>
        <v>0.14583333333333334</v>
      </c>
      <c r="Q37" s="55">
        <f t="shared" si="2"/>
        <v>0.10727969348659004</v>
      </c>
      <c r="R37" s="55">
        <f t="shared" si="2"/>
        <v>0.10434782608695652</v>
      </c>
      <c r="S37" s="55">
        <f t="shared" si="2"/>
        <v>6.6666666666666666E-2</v>
      </c>
      <c r="T37" s="55">
        <f t="shared" ref="T37:AQ37" si="3">T18/T21</f>
        <v>8.3333333333333329E-2</v>
      </c>
      <c r="U37" s="55">
        <f t="shared" si="3"/>
        <v>4.3010752688172046E-2</v>
      </c>
      <c r="V37" s="55">
        <f t="shared" si="3"/>
        <v>5.1643192488262914E-2</v>
      </c>
      <c r="W37" s="55">
        <f t="shared" si="3"/>
        <v>0.06</v>
      </c>
      <c r="X37" s="55">
        <f t="shared" si="3"/>
        <v>7.7981651376146793E-2</v>
      </c>
      <c r="Y37" s="55">
        <f t="shared" si="3"/>
        <v>0.1</v>
      </c>
      <c r="Z37" s="55">
        <f t="shared" si="3"/>
        <v>0.100418410041841</v>
      </c>
      <c r="AA37" s="55">
        <f t="shared" si="3"/>
        <v>6.4935064935064929E-2</v>
      </c>
      <c r="AB37" s="55">
        <f t="shared" si="3"/>
        <v>6.25E-2</v>
      </c>
      <c r="AC37" s="55" t="e">
        <f t="shared" si="3"/>
        <v>#DIV/0!</v>
      </c>
      <c r="AD37" s="55" t="e">
        <f t="shared" si="3"/>
        <v>#DIV/0!</v>
      </c>
      <c r="AE37" s="55" t="e">
        <f t="shared" si="3"/>
        <v>#DIV/0!</v>
      </c>
      <c r="AF37" s="55" t="e">
        <f t="shared" si="3"/>
        <v>#DIV/0!</v>
      </c>
      <c r="AG37" s="55" t="e">
        <f t="shared" si="3"/>
        <v>#DIV/0!</v>
      </c>
      <c r="AH37" s="55" t="e">
        <f t="shared" si="3"/>
        <v>#DIV/0!</v>
      </c>
      <c r="AI37" s="55" t="e">
        <f t="shared" si="3"/>
        <v>#DIV/0!</v>
      </c>
      <c r="AJ37" s="55" t="e">
        <f t="shared" si="3"/>
        <v>#DIV/0!</v>
      </c>
      <c r="AK37" s="55" t="e">
        <f t="shared" si="3"/>
        <v>#DIV/0!</v>
      </c>
      <c r="AL37" s="55" t="e">
        <f t="shared" si="3"/>
        <v>#DIV/0!</v>
      </c>
      <c r="AM37" s="55" t="e">
        <f t="shared" si="3"/>
        <v>#DIV/0!</v>
      </c>
      <c r="AN37" s="55" t="e">
        <f t="shared" si="3"/>
        <v>#DIV/0!</v>
      </c>
      <c r="AO37" s="55" t="e">
        <f t="shared" si="3"/>
        <v>#DIV/0!</v>
      </c>
      <c r="AP37" s="55" t="e">
        <f t="shared" si="3"/>
        <v>#DIV/0!</v>
      </c>
      <c r="AQ37" s="55" t="e">
        <f t="shared" si="3"/>
        <v>#DIV/0!</v>
      </c>
      <c r="AR37" s="145"/>
      <c r="AS37" s="145"/>
      <c r="AT37" s="145"/>
      <c r="AU37" s="145"/>
      <c r="AV37" s="145"/>
      <c r="AW37" s="145"/>
      <c r="AX37" s="145"/>
      <c r="AY37" s="145"/>
      <c r="AZ37" s="145"/>
    </row>
    <row r="38" spans="1:52" x14ac:dyDescent="0.2">
      <c r="A38" s="190" t="s">
        <v>391</v>
      </c>
      <c r="B38" s="190"/>
      <c r="C38" s="190"/>
      <c r="D38" s="190"/>
      <c r="E38" s="190"/>
      <c r="F38" s="190"/>
      <c r="G38" s="190"/>
      <c r="H38" s="190"/>
      <c r="I38" s="190"/>
      <c r="J38" s="190"/>
      <c r="K38" s="55">
        <f>K19/K21</f>
        <v>6.2240663900414939E-2</v>
      </c>
      <c r="L38" s="55">
        <f t="shared" ref="L38:S38" si="4">L19/L21</f>
        <v>5.6034482758620691E-2</v>
      </c>
      <c r="M38" s="55">
        <f t="shared" si="4"/>
        <v>0.10040160642570281</v>
      </c>
      <c r="N38" s="55">
        <f t="shared" si="4"/>
        <v>5.0847457627118647E-2</v>
      </c>
      <c r="O38" s="55">
        <f t="shared" si="4"/>
        <v>6.25E-2</v>
      </c>
      <c r="P38" s="55">
        <f t="shared" si="4"/>
        <v>7.0833333333333331E-2</v>
      </c>
      <c r="Q38" s="55">
        <f t="shared" si="4"/>
        <v>3.4482758620689655E-2</v>
      </c>
      <c r="R38" s="55">
        <f t="shared" si="4"/>
        <v>4.3478260869565216E-2</v>
      </c>
      <c r="S38" s="55">
        <f t="shared" si="4"/>
        <v>8.8888888888888892E-2</v>
      </c>
      <c r="T38" s="55">
        <f t="shared" ref="T38:AQ38" si="5">T19/T21</f>
        <v>0.10784313725490197</v>
      </c>
      <c r="U38" s="55">
        <f t="shared" si="5"/>
        <v>0.15591397849462366</v>
      </c>
      <c r="V38" s="55">
        <f t="shared" si="5"/>
        <v>0.11267605633802817</v>
      </c>
      <c r="W38" s="55">
        <f t="shared" si="5"/>
        <v>0.12</v>
      </c>
      <c r="X38" s="55">
        <f t="shared" si="5"/>
        <v>7.7981651376146793E-2</v>
      </c>
      <c r="Y38" s="55">
        <f t="shared" si="5"/>
        <v>9.5652173913043481E-2</v>
      </c>
      <c r="Z38" s="55">
        <f t="shared" si="5"/>
        <v>8.3682008368200833E-2</v>
      </c>
      <c r="AA38" s="55">
        <f t="shared" si="5"/>
        <v>0.11688311688311688</v>
      </c>
      <c r="AB38" s="55">
        <f t="shared" si="5"/>
        <v>0.11607142857142858</v>
      </c>
      <c r="AC38" s="55" t="e">
        <f t="shared" si="5"/>
        <v>#DIV/0!</v>
      </c>
      <c r="AD38" s="55" t="e">
        <f t="shared" si="5"/>
        <v>#DIV/0!</v>
      </c>
      <c r="AE38" s="55" t="e">
        <f t="shared" si="5"/>
        <v>#DIV/0!</v>
      </c>
      <c r="AF38" s="55" t="e">
        <f t="shared" si="5"/>
        <v>#DIV/0!</v>
      </c>
      <c r="AG38" s="55" t="e">
        <f t="shared" si="5"/>
        <v>#DIV/0!</v>
      </c>
      <c r="AH38" s="55" t="e">
        <f t="shared" si="5"/>
        <v>#DIV/0!</v>
      </c>
      <c r="AI38" s="55" t="e">
        <f t="shared" si="5"/>
        <v>#DIV/0!</v>
      </c>
      <c r="AJ38" s="55" t="e">
        <f t="shared" si="5"/>
        <v>#DIV/0!</v>
      </c>
      <c r="AK38" s="55" t="e">
        <f t="shared" si="5"/>
        <v>#DIV/0!</v>
      </c>
      <c r="AL38" s="55" t="e">
        <f t="shared" si="5"/>
        <v>#DIV/0!</v>
      </c>
      <c r="AM38" s="55" t="e">
        <f t="shared" si="5"/>
        <v>#DIV/0!</v>
      </c>
      <c r="AN38" s="55" t="e">
        <f t="shared" si="5"/>
        <v>#DIV/0!</v>
      </c>
      <c r="AO38" s="55" t="e">
        <f t="shared" si="5"/>
        <v>#DIV/0!</v>
      </c>
      <c r="AP38" s="55" t="e">
        <f t="shared" si="5"/>
        <v>#DIV/0!</v>
      </c>
      <c r="AQ38" s="55" t="e">
        <f t="shared" si="5"/>
        <v>#DIV/0!</v>
      </c>
      <c r="AR38" s="145"/>
      <c r="AS38" s="145"/>
      <c r="AT38" s="145"/>
      <c r="AU38" s="145"/>
      <c r="AV38" s="145"/>
      <c r="AW38" s="145"/>
      <c r="AX38" s="145"/>
      <c r="AY38" s="145"/>
      <c r="AZ38" s="145"/>
    </row>
    <row r="39" spans="1:52" x14ac:dyDescent="0.2">
      <c r="A39" s="190" t="s">
        <v>48</v>
      </c>
      <c r="B39" s="190"/>
      <c r="C39" s="190"/>
      <c r="D39" s="190"/>
      <c r="E39" s="190"/>
      <c r="F39" s="190"/>
      <c r="G39" s="190"/>
      <c r="H39" s="190"/>
      <c r="I39" s="190"/>
      <c r="J39" s="190"/>
      <c r="K39" s="55">
        <f>K20/K21</f>
        <v>0.13692946058091288</v>
      </c>
      <c r="L39" s="55">
        <f t="shared" ref="L39:S39" si="6">L20/L21</f>
        <v>9.9137931034482762E-2</v>
      </c>
      <c r="M39" s="55">
        <f t="shared" si="6"/>
        <v>9.2369477911646583E-2</v>
      </c>
      <c r="N39" s="55">
        <f t="shared" si="6"/>
        <v>9.7457627118644072E-2</v>
      </c>
      <c r="O39" s="55">
        <f t="shared" si="6"/>
        <v>0.125</v>
      </c>
      <c r="P39" s="55">
        <f t="shared" si="6"/>
        <v>7.0833333333333331E-2</v>
      </c>
      <c r="Q39" s="55">
        <f t="shared" si="6"/>
        <v>0.13793103448275862</v>
      </c>
      <c r="R39" s="55">
        <f t="shared" si="6"/>
        <v>0.10434782608695652</v>
      </c>
      <c r="S39" s="55">
        <f t="shared" si="6"/>
        <v>0.12</v>
      </c>
      <c r="T39" s="55">
        <f t="shared" ref="T39:AQ39" si="7">T20/T21</f>
        <v>0.11764705882352941</v>
      </c>
      <c r="U39" s="55">
        <f t="shared" si="7"/>
        <v>8.6021505376344093E-2</v>
      </c>
      <c r="V39" s="55">
        <f t="shared" si="7"/>
        <v>0.11267605633802817</v>
      </c>
      <c r="W39" s="55">
        <f t="shared" si="7"/>
        <v>0.15</v>
      </c>
      <c r="X39" s="55">
        <f t="shared" si="7"/>
        <v>0.1834862385321101</v>
      </c>
      <c r="Y39" s="55">
        <f t="shared" si="7"/>
        <v>0.15652173913043479</v>
      </c>
      <c r="Z39" s="55">
        <f t="shared" si="7"/>
        <v>0.21757322175732219</v>
      </c>
      <c r="AA39" s="55">
        <f t="shared" si="7"/>
        <v>0.17316017316017315</v>
      </c>
      <c r="AB39" s="55">
        <f t="shared" si="7"/>
        <v>0.13392857142857142</v>
      </c>
      <c r="AC39" s="55" t="e">
        <f t="shared" si="7"/>
        <v>#DIV/0!</v>
      </c>
      <c r="AD39" s="55" t="e">
        <f t="shared" si="7"/>
        <v>#DIV/0!</v>
      </c>
      <c r="AE39" s="55" t="e">
        <f t="shared" si="7"/>
        <v>#DIV/0!</v>
      </c>
      <c r="AF39" s="55" t="e">
        <f t="shared" si="7"/>
        <v>#DIV/0!</v>
      </c>
      <c r="AG39" s="55" t="e">
        <f t="shared" si="7"/>
        <v>#DIV/0!</v>
      </c>
      <c r="AH39" s="55" t="e">
        <f t="shared" si="7"/>
        <v>#DIV/0!</v>
      </c>
      <c r="AI39" s="55" t="e">
        <f t="shared" si="7"/>
        <v>#DIV/0!</v>
      </c>
      <c r="AJ39" s="55" t="e">
        <f t="shared" si="7"/>
        <v>#DIV/0!</v>
      </c>
      <c r="AK39" s="55" t="e">
        <f t="shared" si="7"/>
        <v>#DIV/0!</v>
      </c>
      <c r="AL39" s="55" t="e">
        <f t="shared" si="7"/>
        <v>#DIV/0!</v>
      </c>
      <c r="AM39" s="55" t="e">
        <f t="shared" si="7"/>
        <v>#DIV/0!</v>
      </c>
      <c r="AN39" s="55" t="e">
        <f t="shared" si="7"/>
        <v>#DIV/0!</v>
      </c>
      <c r="AO39" s="55" t="e">
        <f t="shared" si="7"/>
        <v>#DIV/0!</v>
      </c>
      <c r="AP39" s="55" t="e">
        <f t="shared" si="7"/>
        <v>#DIV/0!</v>
      </c>
      <c r="AQ39" s="55" t="e">
        <f t="shared" si="7"/>
        <v>#DIV/0!</v>
      </c>
      <c r="AR39" s="145"/>
      <c r="AS39" s="145"/>
      <c r="AT39" s="145"/>
      <c r="AU39" s="145"/>
      <c r="AV39" s="145"/>
      <c r="AW39" s="145"/>
      <c r="AX39" s="145"/>
      <c r="AY39" s="145"/>
      <c r="AZ39" s="145"/>
    </row>
    <row r="40" spans="1:52" x14ac:dyDescent="0.2">
      <c r="A40" s="89"/>
      <c r="B40" s="89"/>
      <c r="C40" s="89"/>
      <c r="D40" s="89"/>
      <c r="E40" s="89"/>
      <c r="F40" s="89"/>
      <c r="G40" s="89"/>
      <c r="H40" s="89"/>
      <c r="I40" s="89"/>
      <c r="J40" s="89"/>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744"/>
      <c r="AP40" s="744"/>
      <c r="AQ40" s="744"/>
      <c r="AR40" s="145"/>
      <c r="AS40" s="145"/>
      <c r="AT40" s="145"/>
      <c r="AU40" s="145"/>
      <c r="AV40" s="145"/>
      <c r="AW40" s="145"/>
      <c r="AX40" s="145"/>
      <c r="AY40" s="145"/>
      <c r="AZ40" s="145"/>
    </row>
    <row r="41" spans="1:52" x14ac:dyDescent="0.2">
      <c r="A41" s="187" t="s">
        <v>695</v>
      </c>
      <c r="B41" s="199"/>
      <c r="C41" s="89"/>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row>
    <row r="42" spans="1:52" x14ac:dyDescent="0.2">
      <c r="A42" s="190" t="s">
        <v>47</v>
      </c>
      <c r="B42" s="65"/>
      <c r="C42" s="65"/>
      <c r="D42" s="65"/>
      <c r="E42" s="65"/>
      <c r="F42" s="65"/>
      <c r="G42" s="65"/>
      <c r="H42" s="65"/>
      <c r="I42" s="65"/>
      <c r="J42" s="65"/>
      <c r="K42" s="66">
        <v>198</v>
      </c>
      <c r="L42" s="66">
        <v>192</v>
      </c>
      <c r="M42" s="67">
        <v>201</v>
      </c>
      <c r="N42" s="66">
        <v>225</v>
      </c>
      <c r="O42" s="67">
        <v>198</v>
      </c>
      <c r="P42" s="67">
        <v>203</v>
      </c>
      <c r="Q42" s="67">
        <v>228</v>
      </c>
      <c r="R42" s="67">
        <v>222</v>
      </c>
      <c r="S42" s="67">
        <v>192</v>
      </c>
      <c r="T42" s="481">
        <v>215</v>
      </c>
      <c r="U42" s="519">
        <v>201</v>
      </c>
      <c r="V42" s="519">
        <v>187</v>
      </c>
      <c r="W42" s="519">
        <v>161</v>
      </c>
      <c r="X42" s="520">
        <v>173</v>
      </c>
      <c r="Y42" s="520">
        <v>200</v>
      </c>
      <c r="Z42" s="520">
        <v>178</v>
      </c>
      <c r="AA42" s="520">
        <v>188</v>
      </c>
      <c r="AB42" s="520">
        <v>172</v>
      </c>
      <c r="AC42" s="520"/>
      <c r="AD42" s="520"/>
      <c r="AE42" s="520"/>
      <c r="AF42" s="520"/>
      <c r="AG42" s="520"/>
      <c r="AH42" s="520"/>
      <c r="AI42" s="520"/>
      <c r="AJ42" s="520"/>
      <c r="AK42" s="520"/>
      <c r="AL42" s="520"/>
      <c r="AM42" s="520"/>
      <c r="AN42" s="520"/>
      <c r="AO42" s="520"/>
      <c r="AP42" s="520"/>
      <c r="AQ42" s="520"/>
    </row>
    <row r="43" spans="1:52" x14ac:dyDescent="0.2">
      <c r="A43" s="190" t="s">
        <v>390</v>
      </c>
      <c r="B43" s="65"/>
      <c r="C43" s="65"/>
      <c r="D43" s="65"/>
      <c r="E43" s="65"/>
      <c r="F43" s="65"/>
      <c r="G43" s="65"/>
      <c r="H43" s="65"/>
      <c r="I43" s="65"/>
      <c r="J43" s="65"/>
      <c r="K43" s="66">
        <v>40</v>
      </c>
      <c r="L43" s="66">
        <v>61</v>
      </c>
      <c r="M43" s="67">
        <v>60</v>
      </c>
      <c r="N43" s="66">
        <v>41</v>
      </c>
      <c r="O43" s="67">
        <v>26</v>
      </c>
      <c r="P43" s="67">
        <v>47</v>
      </c>
      <c r="Q43" s="67">
        <v>41</v>
      </c>
      <c r="R43" s="67">
        <v>25</v>
      </c>
      <c r="S43" s="67">
        <v>16</v>
      </c>
      <c r="T43" s="481">
        <v>29</v>
      </c>
      <c r="U43" s="519">
        <v>11</v>
      </c>
      <c r="V43" s="519">
        <v>11</v>
      </c>
      <c r="W43" s="519">
        <v>14</v>
      </c>
      <c r="X43" s="520">
        <v>19</v>
      </c>
      <c r="Y43" s="520">
        <v>28</v>
      </c>
      <c r="Z43" s="520">
        <v>33</v>
      </c>
      <c r="AA43" s="520">
        <v>21</v>
      </c>
      <c r="AB43" s="520">
        <v>17</v>
      </c>
      <c r="AC43" s="520"/>
      <c r="AD43" s="520"/>
      <c r="AE43" s="520"/>
      <c r="AF43" s="520"/>
      <c r="AG43" s="520"/>
      <c r="AH43" s="520"/>
      <c r="AI43" s="520"/>
      <c r="AJ43" s="520"/>
      <c r="AK43" s="520"/>
      <c r="AL43" s="520"/>
      <c r="AM43" s="520"/>
      <c r="AN43" s="520"/>
      <c r="AO43" s="520"/>
      <c r="AP43" s="520"/>
      <c r="AQ43" s="520"/>
    </row>
    <row r="44" spans="1:52" x14ac:dyDescent="0.2">
      <c r="A44" s="190" t="s">
        <v>391</v>
      </c>
      <c r="B44" s="65"/>
      <c r="C44" s="65"/>
      <c r="D44" s="65"/>
      <c r="E44" s="65"/>
      <c r="F44" s="65"/>
      <c r="G44" s="65" t="s">
        <v>368</v>
      </c>
      <c r="H44" s="65"/>
      <c r="I44" s="65"/>
      <c r="J44" s="65"/>
      <c r="K44" s="66">
        <v>24</v>
      </c>
      <c r="L44" s="66">
        <v>27</v>
      </c>
      <c r="M44" s="67">
        <v>34</v>
      </c>
      <c r="N44" s="66">
        <v>21</v>
      </c>
      <c r="O44" s="67">
        <v>22</v>
      </c>
      <c r="P44" s="67">
        <v>22</v>
      </c>
      <c r="Q44" s="67">
        <v>16</v>
      </c>
      <c r="R44" s="67">
        <v>18</v>
      </c>
      <c r="S44" s="67">
        <v>30</v>
      </c>
      <c r="T44" s="481">
        <v>34</v>
      </c>
      <c r="U44" s="519">
        <v>38</v>
      </c>
      <c r="V44" s="519">
        <v>37</v>
      </c>
      <c r="W44" s="519">
        <v>25</v>
      </c>
      <c r="X44" s="520">
        <v>19</v>
      </c>
      <c r="Y44" s="520">
        <v>29</v>
      </c>
      <c r="Z44" s="520">
        <v>28</v>
      </c>
      <c r="AA44" s="520">
        <v>37</v>
      </c>
      <c r="AB44" s="520">
        <v>29</v>
      </c>
      <c r="AC44" s="520"/>
      <c r="AD44" s="520"/>
      <c r="AE44" s="520"/>
      <c r="AF44" s="520"/>
      <c r="AG44" s="520"/>
      <c r="AH44" s="520"/>
      <c r="AI44" s="520"/>
      <c r="AJ44" s="520"/>
      <c r="AK44" s="520"/>
      <c r="AL44" s="520"/>
      <c r="AM44" s="520"/>
      <c r="AN44" s="520"/>
      <c r="AO44" s="520"/>
      <c r="AP44" s="520"/>
      <c r="AQ44" s="520"/>
    </row>
    <row r="45" spans="1:52" x14ac:dyDescent="0.2">
      <c r="A45" s="190" t="s">
        <v>48</v>
      </c>
      <c r="B45" s="65"/>
      <c r="C45" s="65"/>
      <c r="D45" s="65"/>
      <c r="E45" s="65"/>
      <c r="F45" s="65"/>
      <c r="G45" s="65"/>
      <c r="H45" s="65"/>
      <c r="I45" s="65"/>
      <c r="J45" s="65"/>
      <c r="K45" s="66">
        <v>40</v>
      </c>
      <c r="L45" s="66">
        <v>38</v>
      </c>
      <c r="M45" s="67">
        <v>38</v>
      </c>
      <c r="N45" s="66">
        <v>36</v>
      </c>
      <c r="O45" s="67">
        <v>41</v>
      </c>
      <c r="P45" s="67">
        <v>26</v>
      </c>
      <c r="Q45" s="67">
        <v>51</v>
      </c>
      <c r="R45" s="67">
        <v>49</v>
      </c>
      <c r="S45" s="67">
        <v>42</v>
      </c>
      <c r="T45" s="481">
        <v>47</v>
      </c>
      <c r="U45" s="519">
        <v>36</v>
      </c>
      <c r="V45" s="519">
        <v>36</v>
      </c>
      <c r="W45" s="519">
        <v>39</v>
      </c>
      <c r="X45" s="520">
        <v>45</v>
      </c>
      <c r="Y45" s="520">
        <v>53</v>
      </c>
      <c r="Z45" s="520">
        <v>69</v>
      </c>
      <c r="AA45" s="520">
        <v>54</v>
      </c>
      <c r="AB45" s="520">
        <v>42</v>
      </c>
      <c r="AC45" s="520"/>
      <c r="AD45" s="520"/>
      <c r="AE45" s="520"/>
      <c r="AF45" s="520"/>
      <c r="AG45" s="520"/>
      <c r="AH45" s="520"/>
      <c r="AI45" s="520"/>
      <c r="AJ45" s="520"/>
      <c r="AK45" s="520"/>
      <c r="AL45" s="520"/>
      <c r="AM45" s="520"/>
      <c r="AN45" s="520"/>
      <c r="AO45" s="520"/>
      <c r="AP45" s="520"/>
      <c r="AQ45" s="520"/>
    </row>
    <row r="46" spans="1:52" ht="25.5" x14ac:dyDescent="0.2">
      <c r="A46" s="117" t="s">
        <v>245</v>
      </c>
      <c r="B46" s="65">
        <v>281</v>
      </c>
      <c r="C46" s="65">
        <v>275</v>
      </c>
      <c r="D46" s="65">
        <v>269</v>
      </c>
      <c r="E46" s="65">
        <v>260</v>
      </c>
      <c r="F46" s="65">
        <v>251</v>
      </c>
      <c r="G46" s="65">
        <v>238</v>
      </c>
      <c r="H46" s="65">
        <v>220</v>
      </c>
      <c r="I46" s="65">
        <v>227</v>
      </c>
      <c r="J46" s="65">
        <v>262</v>
      </c>
      <c r="K46" s="65">
        <v>308</v>
      </c>
      <c r="L46" s="65">
        <f>287+36</f>
        <v>323</v>
      </c>
      <c r="M46" s="68">
        <v>335</v>
      </c>
      <c r="N46" s="65">
        <v>326</v>
      </c>
      <c r="O46" s="68">
        <v>287</v>
      </c>
      <c r="P46" s="68">
        <v>299</v>
      </c>
      <c r="Q46" s="68">
        <v>336</v>
      </c>
      <c r="R46" s="68">
        <v>317</v>
      </c>
      <c r="S46" s="68">
        <v>281</v>
      </c>
      <c r="T46" s="482">
        <v>326</v>
      </c>
      <c r="U46" s="520">
        <v>287</v>
      </c>
      <c r="V46" s="520">
        <v>274</v>
      </c>
      <c r="W46" s="520">
        <v>245</v>
      </c>
      <c r="X46" s="520">
        <v>259</v>
      </c>
      <c r="Y46" s="520">
        <v>316</v>
      </c>
      <c r="Z46" s="520">
        <v>315</v>
      </c>
      <c r="AA46" s="520">
        <v>305</v>
      </c>
      <c r="AB46" s="520">
        <v>268</v>
      </c>
      <c r="AC46" s="520"/>
      <c r="AD46" s="520"/>
      <c r="AE46" s="520"/>
      <c r="AF46" s="520"/>
      <c r="AG46" s="520"/>
      <c r="AH46" s="520"/>
      <c r="AI46" s="520"/>
      <c r="AJ46" s="520"/>
      <c r="AK46" s="520"/>
      <c r="AL46" s="520"/>
      <c r="AM46" s="520"/>
      <c r="AN46" s="520"/>
      <c r="AO46" s="520"/>
      <c r="AP46" s="520"/>
      <c r="AQ46" s="520"/>
    </row>
    <row r="47" spans="1:52" x14ac:dyDescent="0.2">
      <c r="A47" s="192" t="s">
        <v>276</v>
      </c>
      <c r="B47" s="193">
        <f>MEDIAN($B$46:$M$46)</f>
        <v>265.5</v>
      </c>
      <c r="C47" s="193">
        <f t="shared" ref="C47:M47" si="8">MEDIAN($B$46:$M$46)</f>
        <v>265.5</v>
      </c>
      <c r="D47" s="193">
        <f t="shared" si="8"/>
        <v>265.5</v>
      </c>
      <c r="E47" s="193">
        <f t="shared" si="8"/>
        <v>265.5</v>
      </c>
      <c r="F47" s="193">
        <f t="shared" si="8"/>
        <v>265.5</v>
      </c>
      <c r="G47" s="193">
        <f t="shared" si="8"/>
        <v>265.5</v>
      </c>
      <c r="H47" s="193">
        <f t="shared" si="8"/>
        <v>265.5</v>
      </c>
      <c r="I47" s="193">
        <f t="shared" si="8"/>
        <v>265.5</v>
      </c>
      <c r="J47" s="193">
        <f t="shared" si="8"/>
        <v>265.5</v>
      </c>
      <c r="K47" s="193">
        <f t="shared" si="8"/>
        <v>265.5</v>
      </c>
      <c r="L47" s="193">
        <f t="shared" si="8"/>
        <v>265.5</v>
      </c>
      <c r="M47" s="193">
        <f t="shared" si="8"/>
        <v>265.5</v>
      </c>
      <c r="N47" s="193">
        <f>MEDIAN($B$46:$M$46)</f>
        <v>265.5</v>
      </c>
      <c r="O47" s="193" t="s">
        <v>368</v>
      </c>
      <c r="P47" s="193" t="s">
        <v>368</v>
      </c>
      <c r="Q47" s="193" t="s">
        <v>368</v>
      </c>
      <c r="R47" s="193" t="s">
        <v>368</v>
      </c>
      <c r="S47" s="193" t="s">
        <v>368</v>
      </c>
      <c r="T47" s="483"/>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row>
    <row r="48" spans="1:52" x14ac:dyDescent="0.2">
      <c r="A48" s="192" t="s">
        <v>303</v>
      </c>
      <c r="B48" s="193"/>
      <c r="C48" s="193"/>
      <c r="D48" s="193"/>
      <c r="E48" s="193"/>
      <c r="F48" s="193"/>
      <c r="G48" s="193"/>
      <c r="H48" s="193"/>
      <c r="I48" s="193"/>
      <c r="J48" s="193"/>
      <c r="K48" s="193"/>
      <c r="L48" s="193"/>
      <c r="M48" s="193"/>
      <c r="N48" s="193">
        <f>MEDIAN($N$46:$Y$46)</f>
        <v>293</v>
      </c>
      <c r="O48" s="193">
        <f t="shared" ref="O48:X48" si="9">MEDIAN($N$46:$Y$46)</f>
        <v>293</v>
      </c>
      <c r="P48" s="193">
        <f t="shared" si="9"/>
        <v>293</v>
      </c>
      <c r="Q48" s="193">
        <f t="shared" si="9"/>
        <v>293</v>
      </c>
      <c r="R48" s="193">
        <f t="shared" si="9"/>
        <v>293</v>
      </c>
      <c r="S48" s="193">
        <f t="shared" si="9"/>
        <v>293</v>
      </c>
      <c r="T48" s="193">
        <f t="shared" si="9"/>
        <v>293</v>
      </c>
      <c r="U48" s="193">
        <f t="shared" si="9"/>
        <v>293</v>
      </c>
      <c r="V48" s="193">
        <f t="shared" si="9"/>
        <v>293</v>
      </c>
      <c r="W48" s="193">
        <f t="shared" si="9"/>
        <v>293</v>
      </c>
      <c r="X48" s="193">
        <f t="shared" si="9"/>
        <v>293</v>
      </c>
      <c r="Y48" s="193">
        <f>MEDIAN($N$46:$Y$46)</f>
        <v>293</v>
      </c>
      <c r="Z48" s="193">
        <f>MEDIAN($N$46:$Y$46)</f>
        <v>293</v>
      </c>
      <c r="AA48" s="521"/>
      <c r="AB48" s="521"/>
      <c r="AC48" s="521"/>
      <c r="AD48" s="521"/>
      <c r="AE48" s="521"/>
      <c r="AF48" s="521"/>
      <c r="AG48" s="521"/>
      <c r="AH48" s="521"/>
      <c r="AI48" s="521"/>
      <c r="AJ48" s="521"/>
      <c r="AK48" s="521"/>
      <c r="AL48" s="521"/>
      <c r="AM48" s="521"/>
      <c r="AN48" s="521"/>
      <c r="AO48" s="521"/>
      <c r="AP48" s="521"/>
      <c r="AQ48" s="521"/>
    </row>
    <row r="49" spans="1:47" x14ac:dyDescent="0.2">
      <c r="A49" s="192" t="s">
        <v>304</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521"/>
      <c r="Z49" s="193">
        <f>MEDIAN($N$46:$Y$46)</f>
        <v>293</v>
      </c>
      <c r="AA49" s="193">
        <f>MEDIAN($N$46:$Y$46)</f>
        <v>293</v>
      </c>
      <c r="AB49" s="193">
        <f>MEDIAN($N$46:$Y$46)</f>
        <v>293</v>
      </c>
      <c r="AC49" s="521"/>
      <c r="AD49" s="521"/>
      <c r="AE49" s="521"/>
      <c r="AF49" s="521"/>
      <c r="AG49" s="521"/>
      <c r="AH49" s="521"/>
      <c r="AI49" s="521"/>
      <c r="AJ49" s="521"/>
      <c r="AK49" s="521"/>
      <c r="AL49" s="521"/>
      <c r="AM49" s="521"/>
      <c r="AN49" s="521"/>
      <c r="AO49" s="521"/>
      <c r="AP49" s="521"/>
      <c r="AQ49" s="521"/>
    </row>
    <row r="50" spans="1:47" x14ac:dyDescent="0.2">
      <c r="A50" s="187"/>
      <c r="C50" s="124"/>
    </row>
    <row r="51" spans="1:47" x14ac:dyDescent="0.2">
      <c r="A51" s="737" t="s">
        <v>688</v>
      </c>
      <c r="B51" s="200"/>
      <c r="C51" s="124"/>
    </row>
    <row r="52" spans="1:47" x14ac:dyDescent="0.2">
      <c r="A52" s="738" t="s">
        <v>689</v>
      </c>
      <c r="B52" s="200"/>
      <c r="C52" s="124"/>
    </row>
    <row r="53" spans="1:47" ht="12.75" customHeight="1" x14ac:dyDescent="0.2">
      <c r="A53" s="205"/>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row>
    <row r="54" spans="1:47" ht="12.75" customHeight="1" x14ac:dyDescent="0.2">
      <c r="A54" s="622" t="s">
        <v>742</v>
      </c>
      <c r="B54" s="613"/>
      <c r="C54" s="613"/>
      <c r="D54" s="613"/>
      <c r="E54" s="613"/>
      <c r="F54" s="613"/>
      <c r="G54" s="613"/>
      <c r="H54" s="613"/>
      <c r="I54" s="613"/>
      <c r="J54" s="613"/>
      <c r="K54" s="196"/>
      <c r="L54" s="196"/>
      <c r="M54" s="603" t="s">
        <v>245</v>
      </c>
      <c r="N54" s="196"/>
      <c r="O54" s="196"/>
      <c r="P54" s="621"/>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row>
    <row r="55" spans="1:47" ht="12.75" customHeight="1" x14ac:dyDescent="0.2">
      <c r="A55" s="613"/>
      <c r="B55" s="614"/>
      <c r="C55" s="614"/>
      <c r="D55" s="614"/>
      <c r="E55" s="614"/>
      <c r="F55" s="614"/>
      <c r="G55" s="613"/>
      <c r="H55" s="613"/>
      <c r="I55" s="614"/>
      <c r="J55" s="614"/>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c r="AP55" s="196"/>
      <c r="AQ55" s="196"/>
      <c r="AR55" s="196"/>
      <c r="AS55" s="196"/>
      <c r="AT55" s="196"/>
      <c r="AU55" s="196"/>
    </row>
    <row r="56" spans="1:47" ht="12.75" customHeight="1" x14ac:dyDescent="0.2">
      <c r="A56" s="613"/>
      <c r="B56" s="313"/>
      <c r="C56" s="313"/>
      <c r="D56" s="313"/>
      <c r="E56" s="313"/>
      <c r="F56" s="313"/>
      <c r="G56" s="613"/>
      <c r="H56" s="613"/>
      <c r="I56" s="313"/>
      <c r="J56" s="313"/>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196"/>
      <c r="AQ56" s="196"/>
      <c r="AR56" s="196"/>
      <c r="AS56" s="196"/>
      <c r="AT56" s="196"/>
      <c r="AU56" s="196"/>
    </row>
    <row r="57" spans="1:47" ht="12.75" customHeight="1" x14ac:dyDescent="0.2">
      <c r="A57" s="613"/>
      <c r="B57" s="313"/>
      <c r="C57" s="313"/>
      <c r="D57" s="313"/>
      <c r="E57" s="313"/>
      <c r="F57" s="313"/>
      <c r="G57" s="613"/>
      <c r="H57" s="613"/>
      <c r="I57" s="313"/>
      <c r="J57" s="313"/>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196"/>
      <c r="AQ57" s="196"/>
      <c r="AR57" s="196"/>
      <c r="AS57" s="196"/>
      <c r="AT57" s="196"/>
      <c r="AU57" s="196"/>
    </row>
    <row r="58" spans="1:47" ht="12.75" customHeight="1" x14ac:dyDescent="0.2">
      <c r="A58" s="613"/>
      <c r="B58" s="313"/>
      <c r="C58" s="313"/>
      <c r="D58" s="313"/>
      <c r="E58" s="313"/>
      <c r="F58" s="313"/>
      <c r="G58" s="613"/>
      <c r="H58" s="613"/>
      <c r="I58" s="313"/>
      <c r="J58" s="313"/>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196"/>
      <c r="AQ58" s="196"/>
      <c r="AR58" s="196"/>
      <c r="AS58" s="196"/>
      <c r="AT58" s="196"/>
      <c r="AU58" s="196"/>
    </row>
    <row r="59" spans="1:47" ht="12.75" customHeight="1" x14ac:dyDescent="0.2">
      <c r="A59" s="613"/>
      <c r="B59" s="313"/>
      <c r="C59" s="313"/>
      <c r="D59" s="313"/>
      <c r="E59" s="313"/>
      <c r="F59" s="313"/>
      <c r="G59" s="613"/>
      <c r="H59" s="613"/>
      <c r="I59" s="313"/>
      <c r="J59" s="313"/>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196"/>
      <c r="AQ59" s="196"/>
      <c r="AR59" s="196"/>
      <c r="AS59" s="196"/>
      <c r="AT59" s="196"/>
      <c r="AU59" s="196"/>
    </row>
    <row r="60" spans="1:47" ht="12.75" customHeight="1" x14ac:dyDescent="0.2">
      <c r="A60" s="613"/>
      <c r="B60" s="313"/>
      <c r="C60" s="313"/>
      <c r="D60" s="313"/>
      <c r="E60" s="313"/>
      <c r="F60" s="313"/>
      <c r="G60" s="613"/>
      <c r="H60" s="613"/>
      <c r="I60" s="313"/>
      <c r="J60" s="313"/>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196"/>
      <c r="AQ60" s="196"/>
      <c r="AR60" s="196"/>
      <c r="AS60" s="196"/>
      <c r="AT60" s="196"/>
      <c r="AU60" s="196"/>
    </row>
    <row r="61" spans="1:47" ht="12.75" customHeight="1" x14ac:dyDescent="0.2">
      <c r="A61" s="613"/>
      <c r="B61" s="613"/>
      <c r="C61" s="613"/>
      <c r="D61" s="613"/>
      <c r="E61" s="613"/>
      <c r="F61" s="613"/>
      <c r="G61" s="613"/>
      <c r="H61" s="613"/>
      <c r="I61" s="613"/>
      <c r="J61" s="613"/>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row>
    <row r="62" spans="1:47" ht="12.75" customHeight="1" x14ac:dyDescent="0.2">
      <c r="A62" s="613"/>
      <c r="B62" s="613"/>
      <c r="C62" s="613"/>
      <c r="D62" s="613"/>
      <c r="E62" s="613"/>
      <c r="F62" s="613"/>
      <c r="G62" s="613"/>
      <c r="H62" s="613"/>
      <c r="I62" s="613"/>
      <c r="J62" s="613"/>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row>
    <row r="63" spans="1:47" ht="12.75" customHeight="1" x14ac:dyDescent="0.2">
      <c r="A63" s="613"/>
      <c r="B63" s="613"/>
      <c r="C63" s="613"/>
      <c r="D63" s="613"/>
      <c r="E63" s="613"/>
      <c r="F63" s="613"/>
      <c r="G63" s="613"/>
      <c r="H63" s="613"/>
      <c r="I63" s="613"/>
      <c r="J63" s="61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row>
    <row r="64" spans="1:47" ht="12.75" customHeight="1" x14ac:dyDescent="0.2">
      <c r="A64" s="613"/>
      <c r="B64" s="613"/>
      <c r="C64" s="613"/>
      <c r="D64" s="613"/>
      <c r="E64" s="613"/>
      <c r="F64" s="613"/>
      <c r="G64" s="613"/>
      <c r="H64" s="613"/>
      <c r="I64" s="613"/>
      <c r="J64" s="613"/>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row>
    <row r="65" spans="1:47" ht="12.75" customHeight="1" x14ac:dyDescent="0.2">
      <c r="A65" s="613"/>
      <c r="B65" s="613"/>
      <c r="C65" s="613"/>
      <c r="D65" s="613"/>
      <c r="E65" s="613"/>
      <c r="F65" s="613"/>
      <c r="G65" s="613"/>
      <c r="H65" s="613"/>
      <c r="I65" s="613"/>
      <c r="J65" s="613"/>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row>
    <row r="66" spans="1:47" ht="12.75" customHeight="1" x14ac:dyDescent="0.2">
      <c r="A66" s="613"/>
      <c r="B66" s="620"/>
      <c r="C66" s="620"/>
      <c r="D66" s="620"/>
      <c r="E66" s="620"/>
      <c r="F66" s="620"/>
      <c r="G66" s="620"/>
      <c r="H66" s="613"/>
      <c r="I66" s="613"/>
      <c r="J66" s="613"/>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row>
    <row r="67" spans="1:47" ht="12.75" customHeight="1" x14ac:dyDescent="0.2">
      <c r="A67" s="615"/>
      <c r="B67" s="615"/>
      <c r="C67" s="615"/>
      <c r="D67" s="615"/>
      <c r="E67" s="615"/>
      <c r="F67" s="615"/>
      <c r="G67" s="615"/>
      <c r="H67" s="613"/>
      <c r="I67" s="613"/>
      <c r="J67" s="613"/>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row>
    <row r="68" spans="1:47" ht="12.75" customHeight="1" x14ac:dyDescent="0.2">
      <c r="A68" s="616"/>
      <c r="B68" s="617"/>
      <c r="C68" s="617"/>
      <c r="D68" s="617"/>
      <c r="E68" s="617"/>
      <c r="F68" s="617"/>
      <c r="G68" s="617"/>
      <c r="H68" s="613"/>
      <c r="I68" s="613"/>
      <c r="J68" s="613"/>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row>
    <row r="69" spans="1:47" ht="12.75" customHeight="1" x14ac:dyDescent="0.2">
      <c r="A69" s="616"/>
      <c r="B69" s="617"/>
      <c r="C69" s="617"/>
      <c r="D69" s="617"/>
      <c r="E69" s="617"/>
      <c r="F69" s="617"/>
      <c r="G69" s="617"/>
      <c r="H69" s="613"/>
      <c r="I69" s="613"/>
      <c r="J69" s="613"/>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row>
    <row r="70" spans="1:47" ht="12.75" customHeight="1" x14ac:dyDescent="0.2">
      <c r="A70" s="616"/>
      <c r="B70" s="617"/>
      <c r="C70" s="617"/>
      <c r="D70" s="617"/>
      <c r="E70" s="617"/>
      <c r="F70" s="617"/>
      <c r="G70" s="617"/>
      <c r="H70" s="613"/>
      <c r="I70" s="613"/>
      <c r="J70" s="613"/>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row>
    <row r="71" spans="1:47" ht="12.75" customHeight="1" x14ac:dyDescent="0.2">
      <c r="A71" s="616"/>
      <c r="B71" s="617"/>
      <c r="C71" s="617"/>
      <c r="D71" s="617"/>
      <c r="E71" s="617"/>
      <c r="F71" s="617"/>
      <c r="G71" s="617"/>
      <c r="H71" s="613"/>
      <c r="I71" s="613"/>
      <c r="J71" s="613"/>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row>
    <row r="72" spans="1:47" ht="12.75" customHeight="1" x14ac:dyDescent="0.2">
      <c r="A72" s="616"/>
      <c r="B72" s="618"/>
      <c r="C72" s="618"/>
      <c r="D72" s="618"/>
      <c r="E72" s="618"/>
      <c r="F72" s="618"/>
      <c r="G72" s="618"/>
      <c r="H72" s="613"/>
      <c r="I72" s="613"/>
      <c r="J72" s="613"/>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row>
    <row r="73" spans="1:47" ht="12.75" customHeight="1" x14ac:dyDescent="0.2">
      <c r="A73" s="619"/>
      <c r="B73" s="613"/>
      <c r="C73" s="613"/>
      <c r="D73" s="613"/>
      <c r="E73" s="613"/>
      <c r="F73" s="613"/>
      <c r="G73" s="613"/>
      <c r="H73" s="613"/>
      <c r="I73" s="613"/>
      <c r="J73" s="613"/>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row>
    <row r="74" spans="1:47" ht="12.75" customHeight="1" x14ac:dyDescent="0.2">
      <c r="A74" s="196"/>
    </row>
    <row r="75" spans="1:47" ht="12.75" customHeight="1" x14ac:dyDescent="0.2"/>
    <row r="76" spans="1:47" ht="12.75" customHeight="1" x14ac:dyDescent="0.2"/>
    <row r="77" spans="1:47" ht="12.75" customHeight="1" x14ac:dyDescent="0.2"/>
    <row r="78" spans="1:47" ht="12.75" customHeight="1" x14ac:dyDescent="0.2"/>
    <row r="79" spans="1:47" ht="12.75" customHeight="1" x14ac:dyDescent="0.2">
      <c r="A79" s="603" t="s">
        <v>561</v>
      </c>
      <c r="M79" s="602" t="s">
        <v>562</v>
      </c>
    </row>
    <row r="80" spans="1:4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spans="1:13" ht="12.75" customHeight="1" x14ac:dyDescent="0.2"/>
    <row r="98" spans="1:13" ht="12.75" customHeight="1" x14ac:dyDescent="0.2"/>
    <row r="99" spans="1:13" ht="12.75" customHeight="1" x14ac:dyDescent="0.2"/>
    <row r="100" spans="1:13" ht="12.75" customHeight="1" x14ac:dyDescent="0.2"/>
    <row r="101" spans="1:13" ht="12.75" customHeight="1" x14ac:dyDescent="0.2"/>
    <row r="102" spans="1:13" ht="12.75" customHeight="1" x14ac:dyDescent="0.2"/>
    <row r="103" spans="1:13" ht="12.75" customHeight="1" x14ac:dyDescent="0.2"/>
    <row r="104" spans="1:13" ht="12.75" customHeight="1" x14ac:dyDescent="0.2">
      <c r="A104" s="602" t="s">
        <v>563</v>
      </c>
      <c r="M104" s="602" t="s">
        <v>564</v>
      </c>
    </row>
    <row r="129" spans="1:49" ht="15.75" x14ac:dyDescent="0.25">
      <c r="A129" s="292" t="s">
        <v>736</v>
      </c>
    </row>
    <row r="130" spans="1:49" x14ac:dyDescent="0.2">
      <c r="A130" s="201"/>
      <c r="B130" s="111"/>
    </row>
    <row r="131" spans="1:49" x14ac:dyDescent="0.2">
      <c r="A131" s="682"/>
      <c r="B131" s="681">
        <v>42095</v>
      </c>
      <c r="C131" s="681">
        <v>42125</v>
      </c>
      <c r="D131" s="681">
        <v>42156</v>
      </c>
      <c r="E131" s="681">
        <v>42186</v>
      </c>
      <c r="F131" s="681">
        <v>42217</v>
      </c>
      <c r="G131" s="681">
        <v>42248</v>
      </c>
      <c r="H131" s="681">
        <v>42278</v>
      </c>
      <c r="I131" s="681">
        <v>42309</v>
      </c>
      <c r="J131" s="681">
        <v>42339</v>
      </c>
      <c r="K131" s="681">
        <v>42370</v>
      </c>
      <c r="L131" s="681">
        <v>42401</v>
      </c>
      <c r="M131" s="681">
        <v>42430</v>
      </c>
      <c r="N131" s="681">
        <v>42461</v>
      </c>
      <c r="O131" s="681">
        <v>42491</v>
      </c>
      <c r="P131" s="681">
        <v>42522</v>
      </c>
      <c r="Q131" s="681">
        <v>42552</v>
      </c>
      <c r="R131" s="681">
        <v>42583</v>
      </c>
      <c r="S131" s="681">
        <v>42614</v>
      </c>
      <c r="T131" s="681">
        <v>42644</v>
      </c>
      <c r="U131" s="681">
        <v>42675</v>
      </c>
      <c r="V131" s="681">
        <v>42705</v>
      </c>
      <c r="W131" s="681">
        <v>42736</v>
      </c>
      <c r="X131" s="681">
        <v>42767</v>
      </c>
      <c r="Y131" s="681">
        <v>42795</v>
      </c>
      <c r="Z131" s="681">
        <v>42826</v>
      </c>
      <c r="AA131" s="681">
        <v>42856</v>
      </c>
      <c r="AB131" s="681">
        <v>42887</v>
      </c>
      <c r="AC131" s="681">
        <v>42917</v>
      </c>
      <c r="AD131" s="681">
        <v>42948</v>
      </c>
      <c r="AE131" s="681">
        <v>42979</v>
      </c>
      <c r="AF131" s="681">
        <v>43009</v>
      </c>
      <c r="AG131" s="681">
        <v>43040</v>
      </c>
      <c r="AH131" s="681">
        <v>43070</v>
      </c>
      <c r="AI131" s="681"/>
      <c r="AJ131" s="681"/>
      <c r="AK131" s="681"/>
      <c r="AL131" s="681"/>
      <c r="AM131" s="681"/>
      <c r="AN131" s="681"/>
      <c r="AO131" s="681"/>
      <c r="AP131" s="681"/>
      <c r="AQ131" s="681"/>
      <c r="AR131" s="681"/>
      <c r="AS131" s="681"/>
      <c r="AT131" s="681"/>
      <c r="AU131" s="681"/>
      <c r="AV131" s="681"/>
      <c r="AW131" s="681"/>
    </row>
    <row r="132" spans="1:49" x14ac:dyDescent="0.2">
      <c r="A132" s="192" t="s">
        <v>47</v>
      </c>
      <c r="B132" s="252"/>
      <c r="C132" s="252"/>
      <c r="D132" s="252"/>
      <c r="E132" s="252"/>
      <c r="F132" s="252"/>
      <c r="G132" s="252"/>
      <c r="H132" s="60"/>
      <c r="I132" s="60"/>
      <c r="J132" s="60"/>
      <c r="K132" s="60"/>
      <c r="L132" s="60"/>
      <c r="M132" s="60"/>
      <c r="N132" s="60"/>
      <c r="O132" s="60"/>
      <c r="P132" s="60"/>
      <c r="Q132" s="193">
        <f t="shared" ref="Q132:AH136" si="10">K42</f>
        <v>198</v>
      </c>
      <c r="R132" s="193">
        <f t="shared" si="10"/>
        <v>192</v>
      </c>
      <c r="S132" s="193">
        <f t="shared" si="10"/>
        <v>201</v>
      </c>
      <c r="T132" s="193">
        <f t="shared" si="10"/>
        <v>225</v>
      </c>
      <c r="U132" s="193">
        <f t="shared" si="10"/>
        <v>198</v>
      </c>
      <c r="V132" s="193">
        <f t="shared" si="10"/>
        <v>203</v>
      </c>
      <c r="W132" s="193">
        <f t="shared" si="10"/>
        <v>228</v>
      </c>
      <c r="X132" s="193">
        <f t="shared" si="10"/>
        <v>222</v>
      </c>
      <c r="Y132" s="193">
        <f t="shared" si="10"/>
        <v>192</v>
      </c>
      <c r="Z132" s="193">
        <f t="shared" si="10"/>
        <v>215</v>
      </c>
      <c r="AA132" s="193">
        <f t="shared" si="10"/>
        <v>201</v>
      </c>
      <c r="AB132" s="193">
        <f t="shared" si="10"/>
        <v>187</v>
      </c>
      <c r="AC132" s="193">
        <f t="shared" si="10"/>
        <v>161</v>
      </c>
      <c r="AD132" s="193">
        <f t="shared" si="10"/>
        <v>173</v>
      </c>
      <c r="AE132" s="193">
        <f t="shared" si="10"/>
        <v>200</v>
      </c>
      <c r="AF132" s="193">
        <f t="shared" si="10"/>
        <v>178</v>
      </c>
      <c r="AG132" s="193">
        <f t="shared" si="10"/>
        <v>188</v>
      </c>
      <c r="AH132" s="193">
        <f t="shared" si="10"/>
        <v>172</v>
      </c>
      <c r="AI132" s="193"/>
      <c r="AJ132" s="193"/>
      <c r="AK132" s="193"/>
      <c r="AL132" s="193"/>
      <c r="AM132" s="193"/>
      <c r="AN132" s="193"/>
      <c r="AO132" s="193"/>
      <c r="AP132" s="193"/>
      <c r="AQ132" s="193"/>
      <c r="AR132" s="193"/>
      <c r="AS132" s="193"/>
      <c r="AT132" s="193"/>
      <c r="AU132" s="193"/>
      <c r="AV132" s="193"/>
      <c r="AW132" s="193"/>
    </row>
    <row r="133" spans="1:49" x14ac:dyDescent="0.2">
      <c r="A133" s="192" t="s">
        <v>390</v>
      </c>
      <c r="B133" s="252"/>
      <c r="C133" s="252"/>
      <c r="D133" s="252"/>
      <c r="E133" s="252"/>
      <c r="F133" s="252"/>
      <c r="G133" s="252"/>
      <c r="H133" s="60"/>
      <c r="I133" s="60"/>
      <c r="J133" s="60"/>
      <c r="K133" s="60"/>
      <c r="L133" s="60"/>
      <c r="M133" s="60"/>
      <c r="N133" s="60"/>
      <c r="O133" s="60"/>
      <c r="P133" s="60"/>
      <c r="Q133" s="193">
        <f t="shared" si="10"/>
        <v>40</v>
      </c>
      <c r="R133" s="193">
        <f t="shared" si="10"/>
        <v>61</v>
      </c>
      <c r="S133" s="193">
        <f t="shared" si="10"/>
        <v>60</v>
      </c>
      <c r="T133" s="193">
        <f t="shared" si="10"/>
        <v>41</v>
      </c>
      <c r="U133" s="193">
        <f t="shared" si="10"/>
        <v>26</v>
      </c>
      <c r="V133" s="193">
        <f t="shared" si="10"/>
        <v>47</v>
      </c>
      <c r="W133" s="193">
        <f t="shared" si="10"/>
        <v>41</v>
      </c>
      <c r="X133" s="193">
        <f t="shared" si="10"/>
        <v>25</v>
      </c>
      <c r="Y133" s="193">
        <f t="shared" si="10"/>
        <v>16</v>
      </c>
      <c r="Z133" s="193">
        <f t="shared" si="10"/>
        <v>29</v>
      </c>
      <c r="AA133" s="193">
        <f t="shared" si="10"/>
        <v>11</v>
      </c>
      <c r="AB133" s="193">
        <f t="shared" si="10"/>
        <v>11</v>
      </c>
      <c r="AC133" s="193">
        <f t="shared" si="10"/>
        <v>14</v>
      </c>
      <c r="AD133" s="193">
        <f t="shared" si="10"/>
        <v>19</v>
      </c>
      <c r="AE133" s="193">
        <f t="shared" si="10"/>
        <v>28</v>
      </c>
      <c r="AF133" s="193">
        <f t="shared" si="10"/>
        <v>33</v>
      </c>
      <c r="AG133" s="193">
        <f t="shared" si="10"/>
        <v>21</v>
      </c>
      <c r="AH133" s="193">
        <f t="shared" si="10"/>
        <v>17</v>
      </c>
      <c r="AI133" s="193"/>
      <c r="AJ133" s="193"/>
      <c r="AK133" s="193"/>
      <c r="AL133" s="193"/>
      <c r="AM133" s="193"/>
      <c r="AN133" s="193"/>
      <c r="AO133" s="193"/>
      <c r="AP133" s="193"/>
      <c r="AQ133" s="193"/>
      <c r="AR133" s="193"/>
      <c r="AS133" s="193"/>
      <c r="AT133" s="193"/>
      <c r="AU133" s="193"/>
      <c r="AV133" s="193"/>
      <c r="AW133" s="193"/>
    </row>
    <row r="134" spans="1:49" x14ac:dyDescent="0.2">
      <c r="A134" s="192" t="s">
        <v>391</v>
      </c>
      <c r="B134" s="252"/>
      <c r="C134" s="252"/>
      <c r="D134" s="252"/>
      <c r="E134" s="252"/>
      <c r="F134" s="252"/>
      <c r="G134" s="252"/>
      <c r="H134" s="60"/>
      <c r="I134" s="60"/>
      <c r="J134" s="60"/>
      <c r="K134" s="60"/>
      <c r="L134" s="60"/>
      <c r="M134" s="60"/>
      <c r="N134" s="60"/>
      <c r="O134" s="60"/>
      <c r="P134" s="60"/>
      <c r="Q134" s="193">
        <f t="shared" si="10"/>
        <v>24</v>
      </c>
      <c r="R134" s="193">
        <f t="shared" si="10"/>
        <v>27</v>
      </c>
      <c r="S134" s="193">
        <f t="shared" si="10"/>
        <v>34</v>
      </c>
      <c r="T134" s="193">
        <f t="shared" si="10"/>
        <v>21</v>
      </c>
      <c r="U134" s="193">
        <f t="shared" si="10"/>
        <v>22</v>
      </c>
      <c r="V134" s="193">
        <f t="shared" si="10"/>
        <v>22</v>
      </c>
      <c r="W134" s="193">
        <f t="shared" si="10"/>
        <v>16</v>
      </c>
      <c r="X134" s="193">
        <f t="shared" si="10"/>
        <v>18</v>
      </c>
      <c r="Y134" s="193">
        <f t="shared" si="10"/>
        <v>30</v>
      </c>
      <c r="Z134" s="193">
        <f t="shared" si="10"/>
        <v>34</v>
      </c>
      <c r="AA134" s="193">
        <f t="shared" si="10"/>
        <v>38</v>
      </c>
      <c r="AB134" s="193">
        <f t="shared" si="10"/>
        <v>37</v>
      </c>
      <c r="AC134" s="193">
        <f t="shared" si="10"/>
        <v>25</v>
      </c>
      <c r="AD134" s="193">
        <f t="shared" si="10"/>
        <v>19</v>
      </c>
      <c r="AE134" s="193">
        <f t="shared" si="10"/>
        <v>29</v>
      </c>
      <c r="AF134" s="193">
        <f t="shared" si="10"/>
        <v>28</v>
      </c>
      <c r="AG134" s="193">
        <f t="shared" si="10"/>
        <v>37</v>
      </c>
      <c r="AH134" s="193">
        <f t="shared" si="10"/>
        <v>29</v>
      </c>
      <c r="AI134" s="193"/>
      <c r="AJ134" s="193"/>
      <c r="AK134" s="193"/>
      <c r="AL134" s="193"/>
      <c r="AM134" s="193"/>
      <c r="AN134" s="193"/>
      <c r="AO134" s="193"/>
      <c r="AP134" s="193"/>
      <c r="AQ134" s="193"/>
      <c r="AR134" s="193"/>
      <c r="AS134" s="193"/>
      <c r="AT134" s="193"/>
      <c r="AU134" s="193"/>
      <c r="AV134" s="193"/>
      <c r="AW134" s="193"/>
    </row>
    <row r="135" spans="1:49" x14ac:dyDescent="0.2">
      <c r="A135" s="192" t="s">
        <v>48</v>
      </c>
      <c r="B135" s="252"/>
      <c r="C135" s="252"/>
      <c r="D135" s="252"/>
      <c r="E135" s="252"/>
      <c r="F135" s="252"/>
      <c r="G135" s="252"/>
      <c r="H135" s="60"/>
      <c r="I135" s="60"/>
      <c r="J135" s="60"/>
      <c r="K135" s="60"/>
      <c r="L135" s="60"/>
      <c r="M135" s="60"/>
      <c r="N135" s="60"/>
      <c r="O135" s="60"/>
      <c r="P135" s="60"/>
      <c r="Q135" s="193">
        <f t="shared" si="10"/>
        <v>40</v>
      </c>
      <c r="R135" s="193">
        <f t="shared" si="10"/>
        <v>38</v>
      </c>
      <c r="S135" s="193">
        <f t="shared" si="10"/>
        <v>38</v>
      </c>
      <c r="T135" s="193">
        <f t="shared" si="10"/>
        <v>36</v>
      </c>
      <c r="U135" s="193">
        <f t="shared" si="10"/>
        <v>41</v>
      </c>
      <c r="V135" s="193">
        <f t="shared" si="10"/>
        <v>26</v>
      </c>
      <c r="W135" s="193">
        <f t="shared" si="10"/>
        <v>51</v>
      </c>
      <c r="X135" s="193">
        <f t="shared" si="10"/>
        <v>49</v>
      </c>
      <c r="Y135" s="193">
        <f t="shared" si="10"/>
        <v>42</v>
      </c>
      <c r="Z135" s="193">
        <f t="shared" si="10"/>
        <v>47</v>
      </c>
      <c r="AA135" s="193">
        <f t="shared" si="10"/>
        <v>36</v>
      </c>
      <c r="AB135" s="193">
        <f t="shared" si="10"/>
        <v>36</v>
      </c>
      <c r="AC135" s="193">
        <f t="shared" si="10"/>
        <v>39</v>
      </c>
      <c r="AD135" s="193">
        <f t="shared" si="10"/>
        <v>45</v>
      </c>
      <c r="AE135" s="193">
        <f t="shared" si="10"/>
        <v>53</v>
      </c>
      <c r="AF135" s="193">
        <f t="shared" si="10"/>
        <v>69</v>
      </c>
      <c r="AG135" s="193">
        <f t="shared" si="10"/>
        <v>54</v>
      </c>
      <c r="AH135" s="193">
        <f t="shared" si="10"/>
        <v>42</v>
      </c>
      <c r="AI135" s="193"/>
      <c r="AJ135" s="193"/>
      <c r="AK135" s="193"/>
      <c r="AL135" s="193"/>
      <c r="AM135" s="193"/>
      <c r="AN135" s="193"/>
      <c r="AO135" s="193"/>
      <c r="AP135" s="193"/>
      <c r="AQ135" s="193"/>
      <c r="AR135" s="193"/>
      <c r="AS135" s="193"/>
      <c r="AT135" s="193"/>
      <c r="AU135" s="193"/>
      <c r="AV135" s="193"/>
      <c r="AW135" s="193"/>
    </row>
    <row r="136" spans="1:49" ht="25.5" x14ac:dyDescent="0.2">
      <c r="A136" s="195" t="s">
        <v>245</v>
      </c>
      <c r="B136" s="680"/>
      <c r="C136" s="680"/>
      <c r="D136" s="680"/>
      <c r="E136" s="680"/>
      <c r="F136" s="680"/>
      <c r="G136" s="680"/>
      <c r="H136" s="193">
        <v>281</v>
      </c>
      <c r="I136" s="193">
        <v>275</v>
      </c>
      <c r="J136" s="193">
        <v>269</v>
      </c>
      <c r="K136" s="193">
        <v>260</v>
      </c>
      <c r="L136" s="193">
        <v>251</v>
      </c>
      <c r="M136" s="193">
        <v>238</v>
      </c>
      <c r="N136" s="193">
        <v>220</v>
      </c>
      <c r="O136" s="193">
        <v>227</v>
      </c>
      <c r="P136" s="193">
        <v>262</v>
      </c>
      <c r="Q136" s="193">
        <f t="shared" si="10"/>
        <v>308</v>
      </c>
      <c r="R136" s="193">
        <f t="shared" si="10"/>
        <v>323</v>
      </c>
      <c r="S136" s="193">
        <f t="shared" si="10"/>
        <v>335</v>
      </c>
      <c r="T136" s="193">
        <f t="shared" si="10"/>
        <v>326</v>
      </c>
      <c r="U136" s="193">
        <f t="shared" si="10"/>
        <v>287</v>
      </c>
      <c r="V136" s="193">
        <f t="shared" si="10"/>
        <v>299</v>
      </c>
      <c r="W136" s="193">
        <f t="shared" si="10"/>
        <v>336</v>
      </c>
      <c r="X136" s="193">
        <f t="shared" si="10"/>
        <v>317</v>
      </c>
      <c r="Y136" s="193">
        <f t="shared" si="10"/>
        <v>281</v>
      </c>
      <c r="Z136" s="193">
        <f t="shared" si="10"/>
        <v>326</v>
      </c>
      <c r="AA136" s="193">
        <f t="shared" si="10"/>
        <v>287</v>
      </c>
      <c r="AB136" s="193">
        <f t="shared" si="10"/>
        <v>274</v>
      </c>
      <c r="AC136" s="193">
        <f t="shared" si="10"/>
        <v>245</v>
      </c>
      <c r="AD136" s="193">
        <f t="shared" si="10"/>
        <v>259</v>
      </c>
      <c r="AE136" s="193">
        <f t="shared" si="10"/>
        <v>316</v>
      </c>
      <c r="AF136" s="193">
        <f t="shared" si="10"/>
        <v>315</v>
      </c>
      <c r="AG136" s="193">
        <f t="shared" si="10"/>
        <v>305</v>
      </c>
      <c r="AH136" s="193">
        <f t="shared" si="10"/>
        <v>268</v>
      </c>
      <c r="AI136" s="193"/>
      <c r="AJ136" s="193"/>
      <c r="AK136" s="193"/>
      <c r="AL136" s="193"/>
      <c r="AM136" s="193"/>
      <c r="AN136" s="193"/>
      <c r="AO136" s="193"/>
      <c r="AP136" s="193"/>
      <c r="AQ136" s="193"/>
      <c r="AR136" s="193"/>
      <c r="AS136" s="193"/>
      <c r="AT136" s="193"/>
      <c r="AU136" s="193"/>
      <c r="AV136" s="193"/>
      <c r="AW136" s="193"/>
    </row>
    <row r="137" spans="1:49" ht="38.25" x14ac:dyDescent="0.2">
      <c r="A137" s="398" t="s">
        <v>34</v>
      </c>
      <c r="B137" s="680"/>
      <c r="C137" s="680"/>
      <c r="D137" s="680"/>
      <c r="E137" s="680"/>
      <c r="F137" s="680"/>
      <c r="G137" s="680"/>
      <c r="H137" s="202"/>
      <c r="I137" s="202"/>
      <c r="J137" s="202"/>
      <c r="K137" s="202"/>
      <c r="L137" s="202"/>
      <c r="M137" s="202"/>
      <c r="N137" s="202"/>
      <c r="O137" s="202"/>
      <c r="P137" s="202"/>
      <c r="Q137" s="194">
        <f>'Delayed Discharges'!K21</f>
        <v>241</v>
      </c>
      <c r="R137" s="194">
        <f>'Delayed Discharges'!L21</f>
        <v>232</v>
      </c>
      <c r="S137" s="194">
        <f>'Delayed Discharges'!M21</f>
        <v>249</v>
      </c>
      <c r="T137" s="194">
        <f>'Delayed Discharges'!N21</f>
        <v>236</v>
      </c>
      <c r="U137" s="194">
        <f>'Delayed Discharges'!O21</f>
        <v>208</v>
      </c>
      <c r="V137" s="194">
        <f>'Delayed Discharges'!P21</f>
        <v>240</v>
      </c>
      <c r="W137" s="194">
        <f>'Delayed Discharges'!Q21</f>
        <v>261</v>
      </c>
      <c r="X137" s="194">
        <f>'Delayed Discharges'!R21</f>
        <v>230</v>
      </c>
      <c r="Y137" s="194">
        <f>'Delayed Discharges'!S21</f>
        <v>225</v>
      </c>
      <c r="Z137" s="194">
        <f>'Delayed Discharges'!T21</f>
        <v>204</v>
      </c>
      <c r="AA137" s="194">
        <f>'Delayed Discharges'!U21</f>
        <v>186</v>
      </c>
      <c r="AB137" s="194">
        <f>'Delayed Discharges'!V21</f>
        <v>213</v>
      </c>
      <c r="AC137" s="194">
        <f>'Delayed Discharges'!W21</f>
        <v>200</v>
      </c>
      <c r="AD137" s="194">
        <f>'Delayed Discharges'!X21</f>
        <v>218</v>
      </c>
      <c r="AE137" s="194">
        <f>'Delayed Discharges'!Y21</f>
        <v>230</v>
      </c>
      <c r="AF137" s="194">
        <f>'Delayed Discharges'!Z21</f>
        <v>239</v>
      </c>
      <c r="AG137" s="194">
        <f>'Delayed Discharges'!AA21</f>
        <v>231</v>
      </c>
      <c r="AH137" s="194">
        <f>'Delayed Discharges'!AB21</f>
        <v>224</v>
      </c>
      <c r="AI137" s="194"/>
      <c r="AJ137" s="194"/>
      <c r="AK137" s="194"/>
      <c r="AL137" s="194"/>
      <c r="AM137" s="194"/>
      <c r="AN137" s="194"/>
      <c r="AO137" s="194"/>
      <c r="AP137" s="194"/>
      <c r="AQ137" s="194"/>
      <c r="AR137" s="194"/>
      <c r="AS137" s="194"/>
      <c r="AT137" s="194"/>
      <c r="AU137" s="194"/>
      <c r="AV137" s="194"/>
      <c r="AW137" s="194"/>
    </row>
    <row r="138" spans="1:49" ht="38.25" x14ac:dyDescent="0.2">
      <c r="A138" s="398" t="s">
        <v>35</v>
      </c>
      <c r="B138" s="680"/>
      <c r="C138" s="680"/>
      <c r="D138" s="680"/>
      <c r="E138" s="680"/>
      <c r="F138" s="680"/>
      <c r="G138" s="680"/>
      <c r="H138" s="202"/>
      <c r="I138" s="202"/>
      <c r="J138" s="202"/>
      <c r="K138" s="202"/>
      <c r="L138" s="202"/>
      <c r="M138" s="202"/>
      <c r="N138" s="202"/>
      <c r="O138" s="202"/>
      <c r="P138" s="202"/>
      <c r="Q138" s="194">
        <f>'Delayed Discharges'!K18</f>
        <v>35</v>
      </c>
      <c r="R138" s="194">
        <f>'Delayed Discharges'!L18</f>
        <v>47</v>
      </c>
      <c r="S138" s="194">
        <f>'Delayed Discharges'!M18</f>
        <v>44</v>
      </c>
      <c r="T138" s="194">
        <f>'Delayed Discharges'!N18</f>
        <v>31</v>
      </c>
      <c r="U138" s="194">
        <f>'Delayed Discharges'!O18</f>
        <v>21</v>
      </c>
      <c r="V138" s="194">
        <f>'Delayed Discharges'!P18</f>
        <v>35</v>
      </c>
      <c r="W138" s="194">
        <f>'Delayed Discharges'!Q18</f>
        <v>28</v>
      </c>
      <c r="X138" s="194">
        <f>'Delayed Discharges'!R18</f>
        <v>24</v>
      </c>
      <c r="Y138" s="194">
        <f>'Delayed Discharges'!S18</f>
        <v>15</v>
      </c>
      <c r="Z138" s="194">
        <f>'Delayed Discharges'!T18</f>
        <v>17</v>
      </c>
      <c r="AA138" s="194">
        <f>'Delayed Discharges'!U18</f>
        <v>8</v>
      </c>
      <c r="AB138" s="194">
        <f>'Delayed Discharges'!V18</f>
        <v>11</v>
      </c>
      <c r="AC138" s="194">
        <f>'Delayed Discharges'!W18</f>
        <v>12</v>
      </c>
      <c r="AD138" s="194">
        <f>'Delayed Discharges'!X18</f>
        <v>17</v>
      </c>
      <c r="AE138" s="194">
        <f>'Delayed Discharges'!Y18</f>
        <v>23</v>
      </c>
      <c r="AF138" s="194">
        <f>'Delayed Discharges'!Z18</f>
        <v>24</v>
      </c>
      <c r="AG138" s="194">
        <f>'Delayed Discharges'!AA18</f>
        <v>15</v>
      </c>
      <c r="AH138" s="194">
        <f>'Delayed Discharges'!AB18</f>
        <v>14</v>
      </c>
      <c r="AI138" s="194"/>
      <c r="AJ138" s="194"/>
      <c r="AK138" s="194"/>
      <c r="AL138" s="194"/>
      <c r="AM138" s="194"/>
      <c r="AN138" s="194"/>
      <c r="AO138" s="194"/>
      <c r="AP138" s="194"/>
      <c r="AQ138" s="194"/>
      <c r="AR138" s="194"/>
      <c r="AS138" s="194"/>
      <c r="AT138" s="194"/>
      <c r="AU138" s="194"/>
      <c r="AV138" s="194"/>
      <c r="AW138" s="194"/>
    </row>
    <row r="139" spans="1:49" ht="38.25" x14ac:dyDescent="0.2">
      <c r="A139" s="398" t="s">
        <v>36</v>
      </c>
      <c r="B139" s="680"/>
      <c r="C139" s="680"/>
      <c r="D139" s="680"/>
      <c r="E139" s="680"/>
      <c r="F139" s="680"/>
      <c r="G139" s="680"/>
      <c r="H139" s="202"/>
      <c r="I139" s="202"/>
      <c r="J139" s="202"/>
      <c r="K139" s="202"/>
      <c r="L139" s="202"/>
      <c r="M139" s="202"/>
      <c r="N139" s="202"/>
      <c r="O139" s="202"/>
      <c r="P139" s="202"/>
      <c r="Q139" s="194">
        <f>'Delayed Discharges'!K17</f>
        <v>153</v>
      </c>
      <c r="R139" s="194">
        <f>'Delayed Discharges'!L17</f>
        <v>144</v>
      </c>
      <c r="S139" s="194">
        <f>'Delayed Discharges'!M17</f>
        <v>155</v>
      </c>
      <c r="T139" s="194">
        <f>'Delayed Discharges'!N17</f>
        <v>168</v>
      </c>
      <c r="U139" s="194">
        <f>'Delayed Discharges'!O17</f>
        <v>148</v>
      </c>
      <c r="V139" s="194">
        <f>'Delayed Discharges'!P17</f>
        <v>170</v>
      </c>
      <c r="W139" s="194">
        <f>'Delayed Discharges'!Q17</f>
        <v>188</v>
      </c>
      <c r="X139" s="194">
        <f>'Delayed Discharges'!R17</f>
        <v>171</v>
      </c>
      <c r="Y139" s="194">
        <f>'Delayed Discharges'!S17</f>
        <v>162</v>
      </c>
      <c r="Z139" s="194">
        <f>'Delayed Discharges'!T17</f>
        <v>140</v>
      </c>
      <c r="AA139" s="194">
        <f>'Delayed Discharges'!U17</f>
        <v>132</v>
      </c>
      <c r="AB139" s="194">
        <f>'Delayed Discharges'!V17</f>
        <v>152</v>
      </c>
      <c r="AC139" s="194">
        <f>'Delayed Discharges'!W17</f>
        <v>129</v>
      </c>
      <c r="AD139" s="194">
        <f>'Delayed Discharges'!X17</f>
        <v>141</v>
      </c>
      <c r="AE139" s="194">
        <f>'Delayed Discharges'!Y17</f>
        <v>146</v>
      </c>
      <c r="AF139" s="194">
        <f>'Delayed Discharges'!Z17</f>
        <v>138</v>
      </c>
      <c r="AG139" s="194">
        <f>'Delayed Discharges'!AA17</f>
        <v>146</v>
      </c>
      <c r="AH139" s="194">
        <f>'Delayed Discharges'!AB17</f>
        <v>150</v>
      </c>
      <c r="AI139" s="194"/>
      <c r="AJ139" s="194"/>
      <c r="AK139" s="194"/>
      <c r="AL139" s="194"/>
      <c r="AM139" s="194"/>
      <c r="AN139" s="194"/>
      <c r="AO139" s="194"/>
      <c r="AP139" s="194"/>
      <c r="AQ139" s="194"/>
      <c r="AR139" s="194"/>
      <c r="AS139" s="194"/>
      <c r="AT139" s="194"/>
      <c r="AU139" s="194"/>
      <c r="AV139" s="194"/>
      <c r="AW139" s="202"/>
    </row>
    <row r="140" spans="1:49" ht="38.25" x14ac:dyDescent="0.2">
      <c r="A140" s="398" t="s">
        <v>37</v>
      </c>
      <c r="B140" s="680"/>
      <c r="C140" s="680"/>
      <c r="D140" s="680"/>
      <c r="E140" s="680"/>
      <c r="F140" s="680"/>
      <c r="G140" s="680"/>
      <c r="H140" s="202"/>
      <c r="I140" s="202"/>
      <c r="J140" s="202"/>
      <c r="K140" s="202"/>
      <c r="L140" s="202"/>
      <c r="M140" s="202"/>
      <c r="N140" s="202"/>
      <c r="O140" s="202"/>
      <c r="P140" s="202"/>
      <c r="Q140" s="194">
        <f>'Delayed Discharges'!K19</f>
        <v>15</v>
      </c>
      <c r="R140" s="194">
        <f>'Delayed Discharges'!L19</f>
        <v>13</v>
      </c>
      <c r="S140" s="194">
        <f>'Delayed Discharges'!M19</f>
        <v>25</v>
      </c>
      <c r="T140" s="194">
        <f>'Delayed Discharges'!N19</f>
        <v>12</v>
      </c>
      <c r="U140" s="194">
        <f>'Delayed Discharges'!O19</f>
        <v>13</v>
      </c>
      <c r="V140" s="194">
        <f>'Delayed Discharges'!P19</f>
        <v>17</v>
      </c>
      <c r="W140" s="194">
        <f>'Delayed Discharges'!Q19</f>
        <v>9</v>
      </c>
      <c r="X140" s="194">
        <f>'Delayed Discharges'!R19</f>
        <v>10</v>
      </c>
      <c r="Y140" s="194">
        <f>'Delayed Discharges'!S19</f>
        <v>20</v>
      </c>
      <c r="Z140" s="194">
        <f>'Delayed Discharges'!T19</f>
        <v>22</v>
      </c>
      <c r="AA140" s="194">
        <f>'Delayed Discharges'!U19</f>
        <v>29</v>
      </c>
      <c r="AB140" s="194">
        <f>'Delayed Discharges'!V19</f>
        <v>24</v>
      </c>
      <c r="AC140" s="194">
        <f>'Delayed Discharges'!W19</f>
        <v>24</v>
      </c>
      <c r="AD140" s="194">
        <f>'Delayed Discharges'!X19</f>
        <v>17</v>
      </c>
      <c r="AE140" s="194">
        <f>'Delayed Discharges'!Y19</f>
        <v>22</v>
      </c>
      <c r="AF140" s="194">
        <f>'Delayed Discharges'!Z19</f>
        <v>20</v>
      </c>
      <c r="AG140" s="194">
        <f>'Delayed Discharges'!AA19</f>
        <v>27</v>
      </c>
      <c r="AH140" s="194">
        <f>'Delayed Discharges'!AB19</f>
        <v>26</v>
      </c>
      <c r="AI140" s="194"/>
      <c r="AJ140" s="194"/>
      <c r="AK140" s="194"/>
      <c r="AL140" s="194"/>
      <c r="AM140" s="194"/>
      <c r="AN140" s="194"/>
      <c r="AO140" s="194"/>
      <c r="AP140" s="194"/>
      <c r="AQ140" s="194"/>
      <c r="AR140" s="194"/>
      <c r="AS140" s="194"/>
      <c r="AT140" s="194"/>
      <c r="AU140" s="194"/>
      <c r="AV140" s="194"/>
      <c r="AW140" s="194"/>
    </row>
    <row r="141" spans="1:49" ht="38.25" x14ac:dyDescent="0.2">
      <c r="A141" s="398" t="s">
        <v>38</v>
      </c>
      <c r="B141" s="680"/>
      <c r="C141" s="680"/>
      <c r="D141" s="680"/>
      <c r="E141" s="680"/>
      <c r="F141" s="680"/>
      <c r="G141" s="680"/>
      <c r="H141" s="202"/>
      <c r="I141" s="202"/>
      <c r="J141" s="202"/>
      <c r="K141" s="202"/>
      <c r="L141" s="202"/>
      <c r="M141" s="202"/>
      <c r="N141" s="202"/>
      <c r="O141" s="202"/>
      <c r="P141" s="202"/>
      <c r="Q141" s="194">
        <f>'Delayed Discharges'!K20</f>
        <v>33</v>
      </c>
      <c r="R141" s="194">
        <f>'Delayed Discharges'!L20</f>
        <v>23</v>
      </c>
      <c r="S141" s="194">
        <f>'Delayed Discharges'!M20</f>
        <v>23</v>
      </c>
      <c r="T141" s="194">
        <f>'Delayed Discharges'!N20</f>
        <v>23</v>
      </c>
      <c r="U141" s="194">
        <f>'Delayed Discharges'!O20</f>
        <v>26</v>
      </c>
      <c r="V141" s="194">
        <f>'Delayed Discharges'!P20</f>
        <v>17</v>
      </c>
      <c r="W141" s="194">
        <f>'Delayed Discharges'!Q20</f>
        <v>36</v>
      </c>
      <c r="X141" s="194">
        <f>'Delayed Discharges'!R20</f>
        <v>24</v>
      </c>
      <c r="Y141" s="194">
        <f>'Delayed Discharges'!S20</f>
        <v>27</v>
      </c>
      <c r="Z141" s="194">
        <f>'Delayed Discharges'!T20</f>
        <v>24</v>
      </c>
      <c r="AA141" s="194">
        <f>'Delayed Discharges'!U20</f>
        <v>16</v>
      </c>
      <c r="AB141" s="194">
        <f>'Delayed Discharges'!V20</f>
        <v>24</v>
      </c>
      <c r="AC141" s="194">
        <f>'Delayed Discharges'!W20</f>
        <v>30</v>
      </c>
      <c r="AD141" s="194">
        <f>'Delayed Discharges'!X20</f>
        <v>40</v>
      </c>
      <c r="AE141" s="194">
        <f>'Delayed Discharges'!Y20</f>
        <v>36</v>
      </c>
      <c r="AF141" s="194">
        <f>'Delayed Discharges'!Z20</f>
        <v>52</v>
      </c>
      <c r="AG141" s="194">
        <f>'Delayed Discharges'!AA20</f>
        <v>40</v>
      </c>
      <c r="AH141" s="194">
        <f>'Delayed Discharges'!AB20</f>
        <v>30</v>
      </c>
      <c r="AI141" s="194"/>
      <c r="AJ141" s="194"/>
      <c r="AK141" s="194"/>
      <c r="AL141" s="194"/>
      <c r="AM141" s="194"/>
      <c r="AN141" s="194"/>
      <c r="AO141" s="194"/>
      <c r="AP141" s="194"/>
      <c r="AQ141" s="194"/>
      <c r="AR141" s="194"/>
      <c r="AS141" s="194"/>
      <c r="AT141" s="194"/>
      <c r="AU141" s="194"/>
      <c r="AV141" s="194"/>
      <c r="AW141" s="194"/>
    </row>
    <row r="142" spans="1:49" ht="38.25" x14ac:dyDescent="0.2">
      <c r="A142" s="398" t="s">
        <v>39</v>
      </c>
      <c r="B142" s="680">
        <v>135</v>
      </c>
      <c r="C142" s="680">
        <v>149</v>
      </c>
      <c r="D142" s="680">
        <v>166</v>
      </c>
      <c r="E142" s="680">
        <v>164</v>
      </c>
      <c r="F142" s="680">
        <v>162</v>
      </c>
      <c r="G142" s="680">
        <v>190</v>
      </c>
      <c r="H142" s="203">
        <v>169</v>
      </c>
      <c r="I142" s="203">
        <v>181</v>
      </c>
      <c r="J142" s="203">
        <v>167</v>
      </c>
      <c r="K142" s="203">
        <v>131</v>
      </c>
      <c r="L142" s="203">
        <v>147</v>
      </c>
      <c r="M142" s="203">
        <v>124</v>
      </c>
      <c r="N142" s="203">
        <v>82</v>
      </c>
      <c r="O142" s="203">
        <v>113</v>
      </c>
      <c r="P142" s="203">
        <v>147</v>
      </c>
      <c r="Q142" s="203"/>
      <c r="R142" s="203"/>
      <c r="S142" s="203"/>
      <c r="T142" s="204"/>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4"/>
      <c r="AS142" s="203"/>
      <c r="AT142" s="203"/>
      <c r="AU142" s="203"/>
      <c r="AV142" s="203"/>
      <c r="AW142" s="203"/>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1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H13"/>
  <sheetViews>
    <sheetView workbookViewId="0">
      <pane xSplit="1" topLeftCell="B1" activePane="topRight" state="frozen"/>
      <selection pane="topRight"/>
    </sheetView>
  </sheetViews>
  <sheetFormatPr defaultColWidth="9.140625" defaultRowHeight="12.75" x14ac:dyDescent="0.2"/>
  <cols>
    <col min="1" max="1" width="18.85546875" style="107" bestFit="1" customWidth="1"/>
    <col min="2" max="16384" width="9.140625" style="107"/>
  </cols>
  <sheetData>
    <row r="1" spans="1:34" x14ac:dyDescent="0.2">
      <c r="A1" s="106" t="s">
        <v>345</v>
      </c>
      <c r="M1" s="145"/>
    </row>
    <row r="2" spans="1:34" x14ac:dyDescent="0.2">
      <c r="A2" s="106"/>
    </row>
    <row r="3" spans="1:34" x14ac:dyDescent="0.2">
      <c r="A3" s="127" t="s">
        <v>710</v>
      </c>
      <c r="B3" s="129" t="str">
        <f>IF(HLOOKUP(MAX(B7:AH7),A7:AH10,4,0)&lt;HLOOKUP(MAX(B7:AH7),A7:AH10,3,0),"Better", "Worse")</f>
        <v>Worse</v>
      </c>
      <c r="C3" s="112" t="b">
        <f>IF(HLOOKUP(MAX(B7:AH7),A7:AH10,4,0)=HLOOKUP(MAX(B7:AH7),A7:AH10,3,0),"Equal")</f>
        <v>0</v>
      </c>
    </row>
    <row r="4" spans="1:34" x14ac:dyDescent="0.2">
      <c r="A4" s="127" t="s">
        <v>144</v>
      </c>
      <c r="B4" s="128">
        <f>MAX(B7:AH7)</f>
        <v>43040</v>
      </c>
    </row>
    <row r="5" spans="1:34" x14ac:dyDescent="0.2">
      <c r="A5" s="127" t="s">
        <v>206</v>
      </c>
      <c r="B5" s="128" t="s">
        <v>220</v>
      </c>
    </row>
    <row r="6" spans="1:34" x14ac:dyDescent="0.2">
      <c r="A6" s="124"/>
      <c r="K6" s="196"/>
    </row>
    <row r="7" spans="1:34" x14ac:dyDescent="0.2">
      <c r="A7" s="130"/>
      <c r="B7" s="131">
        <v>42552</v>
      </c>
      <c r="C7" s="131">
        <v>42583</v>
      </c>
      <c r="D7" s="131">
        <v>42614</v>
      </c>
      <c r="E7" s="131">
        <v>42644</v>
      </c>
      <c r="F7" s="131">
        <v>42675</v>
      </c>
      <c r="G7" s="131">
        <v>42705</v>
      </c>
      <c r="H7" s="131">
        <v>42736</v>
      </c>
      <c r="I7" s="131">
        <v>42767</v>
      </c>
      <c r="J7" s="131">
        <v>42795</v>
      </c>
      <c r="K7" s="131">
        <v>42826</v>
      </c>
      <c r="L7" s="596">
        <v>42856</v>
      </c>
      <c r="M7" s="596">
        <v>42887</v>
      </c>
      <c r="N7" s="596">
        <v>42917</v>
      </c>
      <c r="O7" s="596">
        <v>42948</v>
      </c>
      <c r="P7" s="596">
        <v>42979</v>
      </c>
      <c r="Q7" s="596">
        <v>43009</v>
      </c>
      <c r="R7" s="596">
        <v>43040</v>
      </c>
      <c r="S7" s="114"/>
      <c r="T7" s="114"/>
      <c r="U7" s="114"/>
      <c r="V7" s="114"/>
      <c r="W7" s="114"/>
      <c r="X7" s="114"/>
      <c r="Y7" s="114"/>
      <c r="Z7" s="114"/>
      <c r="AA7" s="114"/>
      <c r="AB7" s="114"/>
      <c r="AC7" s="114"/>
      <c r="AD7" s="114"/>
      <c r="AE7" s="114"/>
      <c r="AF7" s="114"/>
      <c r="AG7" s="114"/>
      <c r="AH7" s="114"/>
    </row>
    <row r="8" spans="1:34" x14ac:dyDescent="0.2">
      <c r="A8" s="133" t="s">
        <v>369</v>
      </c>
      <c r="B8" s="202">
        <v>901</v>
      </c>
      <c r="C8" s="202">
        <v>913</v>
      </c>
      <c r="D8" s="202">
        <v>937</v>
      </c>
      <c r="E8" s="202">
        <v>981</v>
      </c>
      <c r="F8" s="202">
        <v>909</v>
      </c>
      <c r="G8" s="202">
        <v>938</v>
      </c>
      <c r="H8" s="202">
        <v>887</v>
      </c>
      <c r="I8" s="202">
        <v>873</v>
      </c>
      <c r="J8" s="202">
        <v>823</v>
      </c>
      <c r="K8" s="136">
        <v>757</v>
      </c>
      <c r="L8" s="136">
        <v>716</v>
      </c>
      <c r="M8" s="136">
        <v>765</v>
      </c>
      <c r="N8" s="136">
        <v>763</v>
      </c>
      <c r="O8" s="136">
        <v>817</v>
      </c>
      <c r="P8" s="136">
        <v>843</v>
      </c>
      <c r="Q8" s="136">
        <v>874</v>
      </c>
      <c r="R8" s="136">
        <v>897</v>
      </c>
      <c r="S8" s="136"/>
      <c r="T8" s="136"/>
      <c r="U8" s="136"/>
      <c r="V8" s="136"/>
      <c r="W8" s="136"/>
      <c r="X8" s="136"/>
      <c r="Y8" s="136"/>
      <c r="Z8" s="136"/>
      <c r="AA8" s="136"/>
      <c r="AB8" s="136"/>
      <c r="AC8" s="136"/>
      <c r="AD8" s="136"/>
      <c r="AE8" s="136"/>
      <c r="AF8" s="136"/>
      <c r="AG8" s="136"/>
      <c r="AH8" s="136"/>
    </row>
    <row r="9" spans="1:34" x14ac:dyDescent="0.2">
      <c r="A9" s="134" t="s">
        <v>221</v>
      </c>
      <c r="B9" s="206">
        <f>(B8/100)*14.66</f>
        <v>132.0866</v>
      </c>
      <c r="C9" s="414">
        <f t="shared" ref="C9:H9" si="0">(C8/100)*14.66</f>
        <v>133.84580000000003</v>
      </c>
      <c r="D9" s="414">
        <f t="shared" si="0"/>
        <v>137.36419999999998</v>
      </c>
      <c r="E9" s="414">
        <f>(E8/100)*14.66</f>
        <v>143.81460000000001</v>
      </c>
      <c r="F9" s="414">
        <f t="shared" si="0"/>
        <v>133.2594</v>
      </c>
      <c r="G9" s="414">
        <f t="shared" si="0"/>
        <v>137.51080000000002</v>
      </c>
      <c r="H9" s="414">
        <f t="shared" si="0"/>
        <v>130.0342</v>
      </c>
      <c r="I9" s="414">
        <f>(I8/100)*14.66</f>
        <v>127.98180000000001</v>
      </c>
      <c r="J9" s="414">
        <f>(J8/100)*14.66</f>
        <v>120.65180000000001</v>
      </c>
      <c r="K9" s="415">
        <f>(K8/100)*14.76</f>
        <v>111.7332</v>
      </c>
      <c r="L9" s="414">
        <f>(L8/100)*14.76</f>
        <v>105.6816</v>
      </c>
      <c r="M9" s="414">
        <f t="shared" ref="M9:V9" si="1">(M8/100)*14.76</f>
        <v>112.914</v>
      </c>
      <c r="N9" s="414">
        <f t="shared" si="1"/>
        <v>112.61879999999999</v>
      </c>
      <c r="O9" s="414">
        <f t="shared" si="1"/>
        <v>120.58919999999999</v>
      </c>
      <c r="P9" s="414">
        <f t="shared" si="1"/>
        <v>124.4268</v>
      </c>
      <c r="Q9" s="414">
        <f t="shared" si="1"/>
        <v>129.00239999999999</v>
      </c>
      <c r="R9" s="414">
        <f t="shared" si="1"/>
        <v>132.3972</v>
      </c>
      <c r="S9" s="414">
        <f t="shared" si="1"/>
        <v>0</v>
      </c>
      <c r="T9" s="414">
        <f t="shared" si="1"/>
        <v>0</v>
      </c>
      <c r="U9" s="414">
        <f t="shared" si="1"/>
        <v>0</v>
      </c>
      <c r="V9" s="414">
        <f t="shared" si="1"/>
        <v>0</v>
      </c>
      <c r="W9" s="114"/>
      <c r="X9" s="114"/>
      <c r="Y9" s="114"/>
      <c r="Z9" s="114"/>
      <c r="AA9" s="114"/>
      <c r="AB9" s="114"/>
      <c r="AC9" s="114"/>
      <c r="AD9" s="114"/>
      <c r="AE9" s="114"/>
      <c r="AF9" s="114"/>
      <c r="AG9" s="114"/>
      <c r="AH9" s="114"/>
    </row>
    <row r="10" spans="1:34" x14ac:dyDescent="0.2">
      <c r="A10" s="134" t="s">
        <v>370</v>
      </c>
      <c r="B10" s="207">
        <v>241</v>
      </c>
      <c r="C10" s="136">
        <v>231</v>
      </c>
      <c r="D10" s="136">
        <v>249</v>
      </c>
      <c r="E10" s="136">
        <v>236</v>
      </c>
      <c r="F10" s="136">
        <v>208</v>
      </c>
      <c r="G10" s="136">
        <v>260</v>
      </c>
      <c r="H10" s="136">
        <v>260</v>
      </c>
      <c r="I10" s="136">
        <v>231</v>
      </c>
      <c r="J10" s="136">
        <v>224</v>
      </c>
      <c r="K10" s="136">
        <v>204</v>
      </c>
      <c r="L10" s="136">
        <v>186</v>
      </c>
      <c r="M10" s="136">
        <v>212</v>
      </c>
      <c r="N10" s="136">
        <v>200</v>
      </c>
      <c r="O10" s="136">
        <v>217</v>
      </c>
      <c r="P10" s="136">
        <v>231</v>
      </c>
      <c r="Q10" s="136">
        <v>239</v>
      </c>
      <c r="R10" s="136">
        <v>236</v>
      </c>
      <c r="S10" s="136"/>
      <c r="T10" s="136"/>
      <c r="U10" s="136"/>
      <c r="V10" s="136"/>
      <c r="W10" s="136"/>
      <c r="X10" s="136"/>
      <c r="Y10" s="136"/>
      <c r="Z10" s="136"/>
      <c r="AA10" s="136"/>
      <c r="AB10" s="136"/>
      <c r="AC10" s="136"/>
      <c r="AD10" s="136"/>
      <c r="AE10" s="136"/>
      <c r="AF10" s="136"/>
      <c r="AG10" s="136"/>
      <c r="AH10" s="136"/>
    </row>
    <row r="12" spans="1:34" x14ac:dyDescent="0.2">
      <c r="A12" s="331" t="s">
        <v>566</v>
      </c>
    </row>
    <row r="13" spans="1:34" x14ac:dyDescent="0.2">
      <c r="A13" s="612" t="s">
        <v>567</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W69"/>
  <sheetViews>
    <sheetView workbookViewId="0">
      <pane xSplit="1" topLeftCell="B1" activePane="topRight" state="frozen"/>
      <selection pane="topRight"/>
    </sheetView>
  </sheetViews>
  <sheetFormatPr defaultColWidth="9.140625" defaultRowHeight="12.75" x14ac:dyDescent="0.2"/>
  <cols>
    <col min="1" max="1" width="19.7109375" style="107" customWidth="1"/>
    <col min="2" max="2" width="9.140625" style="107" customWidth="1"/>
    <col min="3" max="16384" width="9.140625" style="107"/>
  </cols>
  <sheetData>
    <row r="1" spans="1:49" x14ac:dyDescent="0.2">
      <c r="A1" s="106" t="s">
        <v>345</v>
      </c>
      <c r="B1" s="621"/>
    </row>
    <row r="2" spans="1:49" x14ac:dyDescent="0.2">
      <c r="A2" s="106"/>
      <c r="B2" s="214"/>
    </row>
    <row r="3" spans="1:49" x14ac:dyDescent="0.2">
      <c r="A3" s="108" t="s">
        <v>436</v>
      </c>
      <c r="B3" s="107" t="s">
        <v>49</v>
      </c>
    </row>
    <row r="4" spans="1:49" x14ac:dyDescent="0.2">
      <c r="A4" s="108" t="s">
        <v>143</v>
      </c>
      <c r="B4" s="345">
        <f>HLOOKUP(MAX(B10:AW10),B10:AW15,2,0)</f>
        <v>9.1345319997687469</v>
      </c>
      <c r="N4" s="215"/>
    </row>
    <row r="5" spans="1:49" x14ac:dyDescent="0.2">
      <c r="A5" s="108" t="s">
        <v>118</v>
      </c>
      <c r="B5" s="128">
        <f>MAX(B10:AW10)</f>
        <v>42675</v>
      </c>
    </row>
    <row r="6" spans="1:49" x14ac:dyDescent="0.2">
      <c r="A6" s="108" t="s">
        <v>195</v>
      </c>
      <c r="B6" s="129" t="s">
        <v>77</v>
      </c>
    </row>
    <row r="7" spans="1:49" ht="15" x14ac:dyDescent="0.25">
      <c r="A7" s="108" t="s">
        <v>438</v>
      </c>
      <c r="B7" s="346" t="s">
        <v>134</v>
      </c>
    </row>
    <row r="8" spans="1:49" ht="15" x14ac:dyDescent="0.25">
      <c r="A8" s="108"/>
      <c r="B8" s="346"/>
    </row>
    <row r="9" spans="1:49" x14ac:dyDescent="0.2">
      <c r="A9" s="511" t="s">
        <v>503</v>
      </c>
    </row>
    <row r="10" spans="1:49" x14ac:dyDescent="0.2">
      <c r="A10" s="208"/>
      <c r="B10" s="209">
        <v>42095</v>
      </c>
      <c r="C10" s="209">
        <v>42125</v>
      </c>
      <c r="D10" s="209">
        <v>42156</v>
      </c>
      <c r="E10" s="209">
        <v>42186</v>
      </c>
      <c r="F10" s="209">
        <v>42217</v>
      </c>
      <c r="G10" s="209">
        <v>42248</v>
      </c>
      <c r="H10" s="209">
        <v>42278</v>
      </c>
      <c r="I10" s="209">
        <v>42309</v>
      </c>
      <c r="J10" s="209">
        <v>42339</v>
      </c>
      <c r="K10" s="209">
        <v>42370</v>
      </c>
      <c r="L10" s="209">
        <v>42401</v>
      </c>
      <c r="M10" s="209">
        <v>42430</v>
      </c>
      <c r="N10" s="99">
        <v>42461</v>
      </c>
      <c r="O10" s="99">
        <v>42491</v>
      </c>
      <c r="P10" s="99">
        <v>42522</v>
      </c>
      <c r="Q10" s="99">
        <v>42552</v>
      </c>
      <c r="R10" s="99">
        <v>42583</v>
      </c>
      <c r="S10" s="99">
        <v>42614</v>
      </c>
      <c r="T10" s="99">
        <v>42644</v>
      </c>
      <c r="U10" s="99">
        <v>42675</v>
      </c>
      <c r="V10" s="99"/>
      <c r="W10" s="99"/>
      <c r="X10" s="99"/>
      <c r="Y10" s="99"/>
      <c r="Z10" s="209"/>
      <c r="AA10" s="209"/>
      <c r="AB10" s="209"/>
      <c r="AC10" s="209"/>
      <c r="AD10" s="209"/>
      <c r="AE10" s="209"/>
      <c r="AF10" s="209"/>
      <c r="AG10" s="209"/>
      <c r="AH10" s="209"/>
      <c r="AI10" s="209"/>
      <c r="AJ10" s="209"/>
      <c r="AK10" s="209"/>
      <c r="AL10" s="99"/>
      <c r="AM10" s="99"/>
      <c r="AN10" s="99"/>
      <c r="AO10" s="99"/>
      <c r="AP10" s="99"/>
      <c r="AQ10" s="99"/>
      <c r="AR10" s="99"/>
      <c r="AS10" s="99"/>
      <c r="AT10" s="99"/>
      <c r="AU10" s="99"/>
      <c r="AV10" s="99"/>
      <c r="AW10" s="99"/>
    </row>
    <row r="11" spans="1:49" x14ac:dyDescent="0.2">
      <c r="A11" s="357" t="s">
        <v>370</v>
      </c>
      <c r="B11" s="358">
        <v>7.053246227669538</v>
      </c>
      <c r="C11" s="358">
        <v>7.8626351390414513</v>
      </c>
      <c r="D11" s="358">
        <v>9.5970399491241256</v>
      </c>
      <c r="E11" s="358">
        <v>8.3251430883968318</v>
      </c>
      <c r="F11" s="358">
        <v>8.2095161010579876</v>
      </c>
      <c r="G11" s="358">
        <v>8.9032780250910566</v>
      </c>
      <c r="H11" s="358">
        <v>11.215817771867954</v>
      </c>
      <c r="I11" s="358">
        <v>11.10019078452911</v>
      </c>
      <c r="J11" s="358">
        <v>10.753309822512575</v>
      </c>
      <c r="K11" s="358">
        <v>10.175174885818349</v>
      </c>
      <c r="L11" s="358">
        <v>10.637682835173729</v>
      </c>
      <c r="M11" s="358">
        <v>12.372087645256402</v>
      </c>
      <c r="N11" s="359">
        <v>11.215817771867954</v>
      </c>
      <c r="O11" s="359">
        <v>10.637682835173729</v>
      </c>
      <c r="P11" s="359">
        <v>10.984563797190264</v>
      </c>
      <c r="Q11" s="359">
        <v>8.0938891137191433</v>
      </c>
      <c r="R11" s="359">
        <v>9.9439209111406601</v>
      </c>
      <c r="S11" s="360">
        <v>7.5157541770249177</v>
      </c>
      <c r="T11" s="360">
        <v>8.4407700757356778</v>
      </c>
      <c r="U11" s="360">
        <v>9.1345319997687469</v>
      </c>
      <c r="V11" s="360"/>
      <c r="W11" s="360"/>
      <c r="X11" s="360"/>
      <c r="Y11" s="360"/>
      <c r="Z11" s="358"/>
      <c r="AA11" s="358"/>
      <c r="AB11" s="358"/>
      <c r="AC11" s="358"/>
      <c r="AD11" s="358"/>
      <c r="AE11" s="358"/>
      <c r="AF11" s="358"/>
      <c r="AG11" s="358"/>
      <c r="AH11" s="358"/>
      <c r="AI11" s="358"/>
      <c r="AJ11" s="358"/>
      <c r="AK11" s="358"/>
      <c r="AL11" s="359"/>
      <c r="AM11" s="359"/>
      <c r="AN11" s="359"/>
      <c r="AO11" s="359"/>
      <c r="AP11" s="359"/>
      <c r="AQ11" s="360"/>
      <c r="AR11" s="360"/>
      <c r="AS11" s="360"/>
      <c r="AT11" s="360"/>
      <c r="AU11" s="360"/>
      <c r="AV11" s="360"/>
      <c r="AW11" s="360"/>
    </row>
    <row r="12" spans="1:49" x14ac:dyDescent="0.2">
      <c r="A12" s="210" t="s">
        <v>191</v>
      </c>
      <c r="B12" s="211">
        <v>4.8413021166172854</v>
      </c>
      <c r="C12" s="211">
        <v>7.7460833865876566</v>
      </c>
      <c r="D12" s="217">
        <v>14.523906349851856</v>
      </c>
      <c r="E12" s="217">
        <v>5.8095625399407425</v>
      </c>
      <c r="F12" s="217">
        <v>7.7460833865876566</v>
      </c>
      <c r="G12" s="211">
        <v>7.7460833865876566</v>
      </c>
      <c r="H12" s="211">
        <v>18.396948043145684</v>
      </c>
      <c r="I12" s="211">
        <v>18.396948043145684</v>
      </c>
      <c r="J12" s="211">
        <v>14.523906349851856</v>
      </c>
      <c r="K12" s="211">
        <v>13.555645926528397</v>
      </c>
      <c r="L12" s="211">
        <v>25.174771006409884</v>
      </c>
      <c r="M12" s="211">
        <v>20.333468889792599</v>
      </c>
      <c r="N12" s="212">
        <v>10.563211216209726</v>
      </c>
      <c r="O12" s="212">
        <v>18.24554664618044</v>
      </c>
      <c r="P12" s="211">
        <v>11.523503144956067</v>
      </c>
      <c r="Q12" s="211">
        <v>11.523503144956067</v>
      </c>
      <c r="R12" s="211">
        <v>12.483795073702407</v>
      </c>
      <c r="S12" s="213">
        <v>10.563211216209726</v>
      </c>
      <c r="T12" s="213">
        <v>7.6823354299707107</v>
      </c>
      <c r="U12" s="213">
        <v>17.2852547174341</v>
      </c>
      <c r="V12" s="213"/>
      <c r="W12" s="213"/>
      <c r="X12" s="213"/>
      <c r="Y12" s="213"/>
      <c r="Z12" s="211"/>
      <c r="AA12" s="211"/>
      <c r="AB12" s="217"/>
      <c r="AC12" s="217"/>
      <c r="AD12" s="217"/>
      <c r="AE12" s="211"/>
      <c r="AF12" s="211"/>
      <c r="AG12" s="211"/>
      <c r="AH12" s="211"/>
      <c r="AI12" s="211"/>
      <c r="AJ12" s="211"/>
      <c r="AK12" s="211"/>
      <c r="AL12" s="212"/>
      <c r="AM12" s="212"/>
      <c r="AN12" s="211"/>
      <c r="AO12" s="211"/>
      <c r="AP12" s="211"/>
      <c r="AQ12" s="213"/>
      <c r="AR12" s="213"/>
      <c r="AS12" s="213"/>
      <c r="AT12" s="213"/>
      <c r="AU12" s="213"/>
      <c r="AV12" s="213"/>
      <c r="AW12" s="213"/>
    </row>
    <row r="13" spans="1:49" x14ac:dyDescent="0.2">
      <c r="A13" s="210" t="s">
        <v>192</v>
      </c>
      <c r="B13" s="211">
        <v>6.0327942696498162</v>
      </c>
      <c r="C13" s="211">
        <v>6.6360736966147984</v>
      </c>
      <c r="D13" s="211">
        <v>7.6415394082231005</v>
      </c>
      <c r="E13" s="211">
        <v>9.4513776891180452</v>
      </c>
      <c r="F13" s="211">
        <v>8.2448188351880827</v>
      </c>
      <c r="G13" s="211">
        <v>7.8426325505447609</v>
      </c>
      <c r="H13" s="211">
        <v>9.4513776891180452</v>
      </c>
      <c r="I13" s="211">
        <v>10.255750258404687</v>
      </c>
      <c r="J13" s="211">
        <v>10.054657116083026</v>
      </c>
      <c r="K13" s="211">
        <v>10.65793654304801</v>
      </c>
      <c r="L13" s="211">
        <v>9.2502845467963866</v>
      </c>
      <c r="M13" s="211">
        <v>10.85902968536967</v>
      </c>
      <c r="N13" s="212">
        <v>12.932363737652079</v>
      </c>
      <c r="O13" s="212">
        <v>10.942769316474838</v>
      </c>
      <c r="P13" s="212">
        <v>10.544850432239388</v>
      </c>
      <c r="Q13" s="212">
        <v>8.9531748952975931</v>
      </c>
      <c r="R13" s="212">
        <v>9.9479721058862154</v>
      </c>
      <c r="S13" s="213">
        <v>7.3614993583557986</v>
      </c>
      <c r="T13" s="213">
        <v>8.9531748952975931</v>
      </c>
      <c r="U13" s="213">
        <v>8.3562965689444209</v>
      </c>
      <c r="V13" s="213"/>
      <c r="W13" s="213"/>
      <c r="X13" s="213"/>
      <c r="Y13" s="213"/>
      <c r="Z13" s="211"/>
      <c r="AA13" s="211"/>
      <c r="AB13" s="211"/>
      <c r="AC13" s="211"/>
      <c r="AD13" s="211"/>
      <c r="AE13" s="211"/>
      <c r="AF13" s="211"/>
      <c r="AG13" s="211"/>
      <c r="AH13" s="211"/>
      <c r="AI13" s="211"/>
      <c r="AJ13" s="211"/>
      <c r="AK13" s="211"/>
      <c r="AL13" s="212"/>
      <c r="AM13" s="212"/>
      <c r="AN13" s="212"/>
      <c r="AO13" s="212"/>
      <c r="AP13" s="212"/>
      <c r="AQ13" s="213"/>
      <c r="AR13" s="213"/>
      <c r="AS13" s="213"/>
      <c r="AT13" s="213"/>
      <c r="AU13" s="213"/>
      <c r="AV13" s="213"/>
      <c r="AW13" s="213"/>
    </row>
    <row r="14" spans="1:49" x14ac:dyDescent="0.2">
      <c r="A14" s="210" t="s">
        <v>193</v>
      </c>
      <c r="B14" s="211">
        <v>13.98960106320968</v>
      </c>
      <c r="C14" s="211">
        <v>13.98960106320968</v>
      </c>
      <c r="D14" s="211">
        <v>20.984401594814521</v>
      </c>
      <c r="E14" s="211">
        <v>12.823800974608872</v>
      </c>
      <c r="F14" s="211">
        <v>11.658000886008068</v>
      </c>
      <c r="G14" s="211">
        <v>12.823800974608872</v>
      </c>
      <c r="H14" s="211">
        <v>12.823800974608872</v>
      </c>
      <c r="I14" s="211">
        <v>18.65280141761291</v>
      </c>
      <c r="J14" s="211">
        <v>17.487001329012102</v>
      </c>
      <c r="K14" s="211">
        <v>5.8290004430040341</v>
      </c>
      <c r="L14" s="211">
        <v>11.658000886008068</v>
      </c>
      <c r="M14" s="211">
        <v>16.321201240411295</v>
      </c>
      <c r="N14" s="212">
        <v>4.6309159951838481</v>
      </c>
      <c r="O14" s="212">
        <v>9.2618319903676962</v>
      </c>
      <c r="P14" s="212">
        <v>11.577289987959619</v>
      </c>
      <c r="Q14" s="212">
        <v>5.7886449939798093</v>
      </c>
      <c r="R14" s="212">
        <v>12.735018986755579</v>
      </c>
      <c r="S14" s="213">
        <v>6.9463739927757704</v>
      </c>
      <c r="T14" s="213">
        <v>9.2618319903676962</v>
      </c>
      <c r="U14" s="213">
        <v>11.577289987959619</v>
      </c>
      <c r="V14" s="213"/>
      <c r="W14" s="213"/>
      <c r="X14" s="213"/>
      <c r="Y14" s="213"/>
      <c r="Z14" s="211"/>
      <c r="AA14" s="211"/>
      <c r="AB14" s="211"/>
      <c r="AC14" s="211"/>
      <c r="AD14" s="211"/>
      <c r="AE14" s="211"/>
      <c r="AF14" s="211"/>
      <c r="AG14" s="211"/>
      <c r="AH14" s="211"/>
      <c r="AI14" s="211"/>
      <c r="AJ14" s="211"/>
      <c r="AK14" s="211"/>
      <c r="AL14" s="212"/>
      <c r="AM14" s="212"/>
      <c r="AN14" s="212"/>
      <c r="AO14" s="212"/>
      <c r="AP14" s="212"/>
      <c r="AQ14" s="213"/>
      <c r="AR14" s="213"/>
      <c r="AS14" s="213"/>
      <c r="AT14" s="213"/>
      <c r="AU14" s="213"/>
      <c r="AV14" s="213"/>
      <c r="AW14" s="213"/>
    </row>
    <row r="15" spans="1:49" x14ac:dyDescent="0.2">
      <c r="A15" s="210" t="s">
        <v>194</v>
      </c>
      <c r="B15" s="211">
        <v>6.7222371605270235</v>
      </c>
      <c r="C15" s="211">
        <v>8.40279645065878</v>
      </c>
      <c r="D15" s="211">
        <v>6.7222371605270235</v>
      </c>
      <c r="E15" s="211">
        <v>3.9213050103074303</v>
      </c>
      <c r="F15" s="211">
        <v>6.7222371605270235</v>
      </c>
      <c r="G15" s="211">
        <v>10.083355740790536</v>
      </c>
      <c r="H15" s="211">
        <v>8.9629828807026968</v>
      </c>
      <c r="I15" s="211">
        <v>5.6018643004391864</v>
      </c>
      <c r="J15" s="211">
        <v>6.7222371605270235</v>
      </c>
      <c r="K15" s="211">
        <v>8.9629828807026968</v>
      </c>
      <c r="L15" s="211">
        <v>4.4814914403513484</v>
      </c>
      <c r="M15" s="211">
        <v>8.40279645065878</v>
      </c>
      <c r="N15" s="212">
        <v>9.4770877466830203</v>
      </c>
      <c r="O15" s="212">
        <v>5.574757498048835</v>
      </c>
      <c r="P15" s="212">
        <v>11.14951499609767</v>
      </c>
      <c r="Q15" s="212">
        <v>4.4598059984390677</v>
      </c>
      <c r="R15" s="212">
        <v>6.6897089976586015</v>
      </c>
      <c r="S15" s="213">
        <v>5.574757498048835</v>
      </c>
      <c r="T15" s="213">
        <v>6.6897089976586015</v>
      </c>
      <c r="U15" s="213">
        <v>5.0172817482439518</v>
      </c>
      <c r="V15" s="213"/>
      <c r="W15" s="213"/>
      <c r="X15" s="213"/>
      <c r="Y15" s="213"/>
      <c r="Z15" s="211"/>
      <c r="AA15" s="211"/>
      <c r="AB15" s="211"/>
      <c r="AC15" s="211"/>
      <c r="AD15" s="211"/>
      <c r="AE15" s="211"/>
      <c r="AF15" s="211"/>
      <c r="AG15" s="211"/>
      <c r="AH15" s="211"/>
      <c r="AI15" s="211"/>
      <c r="AJ15" s="211"/>
      <c r="AK15" s="211"/>
      <c r="AL15" s="212"/>
      <c r="AM15" s="212"/>
      <c r="AN15" s="212"/>
      <c r="AO15" s="212"/>
      <c r="AP15" s="212"/>
      <c r="AQ15" s="213"/>
      <c r="AR15" s="213"/>
      <c r="AS15" s="213"/>
      <c r="AT15" s="213"/>
      <c r="AU15" s="213"/>
      <c r="AV15" s="213"/>
      <c r="AW15" s="213"/>
    </row>
    <row r="16" spans="1:49" x14ac:dyDescent="0.2">
      <c r="A16" s="186"/>
    </row>
    <row r="17" spans="1:15" x14ac:dyDescent="0.2">
      <c r="A17" s="186"/>
    </row>
    <row r="18" spans="1:15" x14ac:dyDescent="0.2">
      <c r="A18" s="347" t="s">
        <v>301</v>
      </c>
    </row>
    <row r="19" spans="1:15" x14ac:dyDescent="0.2">
      <c r="A19" s="602" t="s">
        <v>568</v>
      </c>
      <c r="O19" s="602" t="s">
        <v>569</v>
      </c>
    </row>
    <row r="44" spans="1:15" x14ac:dyDescent="0.2">
      <c r="A44" s="602" t="s">
        <v>571</v>
      </c>
      <c r="O44" s="602" t="s">
        <v>570</v>
      </c>
    </row>
    <row r="69" spans="1:1" x14ac:dyDescent="0.2">
      <c r="A69" s="361"/>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64"/>
  <sheetViews>
    <sheetView zoomScaleNormal="100" workbookViewId="0">
      <pane xSplit="3" topLeftCell="D1" activePane="topRight" state="frozen"/>
      <selection pane="topRight"/>
    </sheetView>
  </sheetViews>
  <sheetFormatPr defaultColWidth="9.140625" defaultRowHeight="14.25" x14ac:dyDescent="0.2"/>
  <cols>
    <col min="1" max="1" width="23.85546875" style="13" customWidth="1"/>
    <col min="2" max="2" width="8.5703125" style="13" customWidth="1"/>
    <col min="3" max="3" width="26.5703125" style="13" customWidth="1"/>
    <col min="4" max="4" width="8" style="14" customWidth="1"/>
    <col min="5" max="5" width="6.7109375" style="13" customWidth="1"/>
    <col min="6" max="6" width="20.5703125" style="14" customWidth="1"/>
    <col min="7" max="7" width="15.42578125" style="13" customWidth="1"/>
    <col min="8" max="8" width="14.7109375" style="13" customWidth="1"/>
    <col min="9" max="9" width="14.28515625" style="13" customWidth="1"/>
    <col min="10" max="12" width="3.5703125" style="436" customWidth="1"/>
    <col min="13" max="13" width="18.85546875" style="13" customWidth="1"/>
    <col min="14" max="14" width="6.5703125" style="13" customWidth="1"/>
    <col min="15" max="15" width="11.28515625" style="13" customWidth="1"/>
    <col min="16" max="16" width="6.28515625" style="13" customWidth="1"/>
    <col min="17" max="17" width="20" style="13" customWidth="1"/>
    <col min="18" max="18" width="5.7109375" style="13" customWidth="1"/>
    <col min="19" max="19" width="7" style="13" customWidth="1"/>
    <col min="20" max="20" width="5.7109375" style="13" customWidth="1"/>
    <col min="21" max="21" width="9.5703125" style="13" customWidth="1"/>
    <col min="22" max="22" width="6.5703125" style="13" customWidth="1"/>
    <col min="23" max="23" width="11.28515625" style="13" customWidth="1"/>
    <col min="24" max="24" width="8.42578125" style="13" customWidth="1"/>
    <col min="25" max="25" width="8.42578125" style="93" customWidth="1"/>
    <col min="26" max="16384" width="9.140625" style="13"/>
  </cols>
  <sheetData>
    <row r="1" spans="1:25" s="145" customFormat="1" ht="12.75" x14ac:dyDescent="0.2">
      <c r="A1" s="283" t="s">
        <v>345</v>
      </c>
      <c r="D1" s="330"/>
      <c r="F1" s="103"/>
      <c r="J1" s="434"/>
      <c r="K1" s="434"/>
      <c r="L1" s="434"/>
      <c r="Y1" s="441"/>
    </row>
    <row r="2" spans="1:25" s="145" customFormat="1" ht="13.5" thickBot="1" x14ac:dyDescent="0.25">
      <c r="A2" s="283"/>
      <c r="C2" s="374"/>
      <c r="D2" s="103"/>
      <c r="E2" s="330" t="s">
        <v>368</v>
      </c>
      <c r="F2" s="103"/>
      <c r="J2" s="434"/>
      <c r="K2" s="434"/>
      <c r="L2" s="434"/>
      <c r="Y2" s="441"/>
    </row>
    <row r="3" spans="1:25" ht="46.5" customHeight="1" thickBot="1" x14ac:dyDescent="0.25">
      <c r="A3" s="954" t="s">
        <v>208</v>
      </c>
      <c r="B3" s="955"/>
      <c r="C3" s="956"/>
      <c r="D3" s="348" t="s">
        <v>274</v>
      </c>
      <c r="E3" s="348" t="s">
        <v>275</v>
      </c>
      <c r="F3" s="349" t="s">
        <v>104</v>
      </c>
      <c r="G3" s="349" t="s">
        <v>277</v>
      </c>
      <c r="H3" s="349" t="s">
        <v>278</v>
      </c>
      <c r="I3" s="349" t="s">
        <v>209</v>
      </c>
      <c r="J3" s="1048" t="s">
        <v>210</v>
      </c>
      <c r="K3" s="1049"/>
      <c r="L3" s="1050"/>
      <c r="M3" s="349" t="s">
        <v>211</v>
      </c>
      <c r="N3" s="954" t="s">
        <v>212</v>
      </c>
      <c r="O3" s="956"/>
      <c r="P3" s="1003" t="s">
        <v>73</v>
      </c>
      <c r="Q3" s="1004"/>
      <c r="R3" s="1003" t="s">
        <v>115</v>
      </c>
      <c r="S3" s="1058"/>
      <c r="T3" s="1058"/>
      <c r="U3" s="1004"/>
      <c r="V3" s="1003" t="s">
        <v>74</v>
      </c>
      <c r="W3" s="1004"/>
      <c r="X3" s="350" t="s">
        <v>75</v>
      </c>
      <c r="Y3" s="605"/>
    </row>
    <row r="4" spans="1:25" ht="23.25" customHeight="1" thickBot="1" x14ac:dyDescent="0.25">
      <c r="A4" s="917" t="s">
        <v>286</v>
      </c>
      <c r="B4" s="915"/>
      <c r="C4" s="916"/>
      <c r="D4" s="920" t="s">
        <v>105</v>
      </c>
      <c r="E4" s="85" t="s">
        <v>76</v>
      </c>
      <c r="F4" s="376" t="s">
        <v>111</v>
      </c>
      <c r="G4" s="380" t="s">
        <v>281</v>
      </c>
      <c r="H4" s="381">
        <v>42948</v>
      </c>
      <c r="I4" s="45" t="str">
        <f>IF(R4&lt;=P4, "Met", "Not Met")</f>
        <v>Not Met</v>
      </c>
      <c r="J4" s="890" t="str">
        <f>'Cardiac Arrest'!B6</f>
        <v>No Change</v>
      </c>
      <c r="K4" s="891"/>
      <c r="L4" s="892"/>
      <c r="M4" s="83" t="str">
        <f>'Cardiac Arrest'!B8</f>
        <v>Not Applicable</v>
      </c>
      <c r="N4" s="1061" t="str">
        <f>'Cardiac Arrest'!B9</f>
        <v>Not Applicable</v>
      </c>
      <c r="O4" s="1062"/>
      <c r="P4" s="64">
        <v>0.95</v>
      </c>
      <c r="Q4" s="8" t="s">
        <v>121</v>
      </c>
      <c r="R4" s="22">
        <f>'Cardiac Arrest'!B4</f>
        <v>1.7571831579921873</v>
      </c>
      <c r="S4" s="31" t="s">
        <v>153</v>
      </c>
      <c r="T4" s="23"/>
      <c r="U4" s="49"/>
      <c r="V4" s="43">
        <f>'Cardiac Arrest'!B5</f>
        <v>43070</v>
      </c>
      <c r="W4" s="375" t="s">
        <v>28</v>
      </c>
      <c r="X4" s="510" t="s">
        <v>502</v>
      </c>
      <c r="Y4" s="606"/>
    </row>
    <row r="5" spans="1:25" ht="23.25" customHeight="1" thickBot="1" x14ac:dyDescent="0.25">
      <c r="A5" s="917" t="s">
        <v>287</v>
      </c>
      <c r="B5" s="915"/>
      <c r="C5" s="916"/>
      <c r="D5" s="921"/>
      <c r="E5" s="85" t="s">
        <v>76</v>
      </c>
      <c r="F5" s="376" t="s">
        <v>112</v>
      </c>
      <c r="G5" s="382" t="s">
        <v>309</v>
      </c>
      <c r="H5" s="383" t="s">
        <v>309</v>
      </c>
      <c r="I5" s="45" t="str">
        <f>IF(R5&lt;=P5, "Met", "Not Met")</f>
        <v>Met</v>
      </c>
      <c r="J5" s="890">
        <f>Falls!B6</f>
        <v>0</v>
      </c>
      <c r="K5" s="891"/>
      <c r="L5" s="892"/>
      <c r="M5" s="61" t="str">
        <f>Falls!B8</f>
        <v>Not Applicable</v>
      </c>
      <c r="N5" s="1059" t="str">
        <f>Falls!B9</f>
        <v>Not Applicable</v>
      </c>
      <c r="O5" s="1060"/>
      <c r="P5" s="356">
        <v>0.31</v>
      </c>
      <c r="Q5" s="8" t="s">
        <v>122</v>
      </c>
      <c r="R5" s="22">
        <f>Falls!B4</f>
        <v>0.24644566154952852</v>
      </c>
      <c r="S5" s="25" t="s">
        <v>153</v>
      </c>
      <c r="T5" s="24"/>
      <c r="U5" s="50"/>
      <c r="V5" s="43">
        <f>Falls!B5</f>
        <v>43070</v>
      </c>
      <c r="W5" s="375" t="s">
        <v>28</v>
      </c>
      <c r="X5" s="510" t="s">
        <v>502</v>
      </c>
      <c r="Y5" s="606"/>
    </row>
    <row r="6" spans="1:25" ht="15" customHeight="1" thickBot="1" x14ac:dyDescent="0.25">
      <c r="A6" s="917" t="s">
        <v>79</v>
      </c>
      <c r="B6" s="915"/>
      <c r="C6" s="916"/>
      <c r="D6" s="921"/>
      <c r="E6" s="85" t="s">
        <v>80</v>
      </c>
      <c r="F6" s="376" t="s">
        <v>110</v>
      </c>
      <c r="G6" s="382" t="s">
        <v>280</v>
      </c>
      <c r="H6" s="384">
        <v>42917</v>
      </c>
      <c r="I6" s="45" t="str">
        <f>IF(R6&lt;=P6, "Met", "Not Met")</f>
        <v>Met</v>
      </c>
      <c r="J6" s="890">
        <f>'HAI - C.Diff'!B7</f>
        <v>0</v>
      </c>
      <c r="K6" s="891"/>
      <c r="L6" s="892"/>
      <c r="M6" s="46" t="str">
        <f>IF('HAI - Published'!C3="Equal", "Equal", 'HAI - Published'!B3)</f>
        <v>Better</v>
      </c>
      <c r="N6" s="36">
        <f>'HAI - Published'!B5</f>
        <v>42979</v>
      </c>
      <c r="O6" s="40" t="s">
        <v>182</v>
      </c>
      <c r="P6" s="11">
        <v>0.32490000000000002</v>
      </c>
      <c r="Q6" s="353" t="s">
        <v>11</v>
      </c>
      <c r="R6" s="22">
        <f>'HAI - C.Diff'!B5</f>
        <v>0.22138476168433552</v>
      </c>
      <c r="S6" s="25" t="s">
        <v>172</v>
      </c>
      <c r="T6" s="24">
        <f>'HAI - C.Diff'!B4</f>
        <v>132</v>
      </c>
      <c r="U6" s="9" t="s">
        <v>173</v>
      </c>
      <c r="V6" s="43">
        <f>'HAI - C.Diff'!B6</f>
        <v>43070</v>
      </c>
      <c r="W6" s="375" t="s">
        <v>28</v>
      </c>
      <c r="X6" s="510" t="s">
        <v>502</v>
      </c>
      <c r="Y6" s="606"/>
    </row>
    <row r="7" spans="1:25" ht="15" customHeight="1" thickBot="1" x14ac:dyDescent="0.25">
      <c r="A7" s="914" t="s">
        <v>9</v>
      </c>
      <c r="B7" s="918"/>
      <c r="C7" s="919"/>
      <c r="D7" s="921"/>
      <c r="E7" s="85" t="s">
        <v>80</v>
      </c>
      <c r="F7" s="376" t="s">
        <v>110</v>
      </c>
      <c r="G7" s="382" t="s">
        <v>280</v>
      </c>
      <c r="H7" s="384">
        <v>42917</v>
      </c>
      <c r="I7" s="45" t="str">
        <f>IF(R7&lt;=P7, "Met", "Not Met")</f>
        <v>Not Met</v>
      </c>
      <c r="J7" s="923" t="str">
        <f>'HAI - SAB'!B7</f>
        <v>No Change</v>
      </c>
      <c r="K7" s="924"/>
      <c r="L7" s="925"/>
      <c r="M7" s="46" t="str">
        <f>IF('HAI - Published'!C4="Equal", "Equal", 'HAI - Published'!B4)</f>
        <v>Better</v>
      </c>
      <c r="N7" s="36">
        <f>'HAI - Published'!B5</f>
        <v>42979</v>
      </c>
      <c r="O7" s="40" t="s">
        <v>182</v>
      </c>
      <c r="P7" s="11">
        <v>0.24</v>
      </c>
      <c r="Q7" s="353" t="s">
        <v>12</v>
      </c>
      <c r="R7" s="21">
        <f>'HAI - SAB'!B5</f>
        <v>0.27088887555399344</v>
      </c>
      <c r="S7" s="25" t="s">
        <v>172</v>
      </c>
      <c r="T7" s="26">
        <f>'HAI - SAB'!B4</f>
        <v>158</v>
      </c>
      <c r="U7" s="9" t="s">
        <v>173</v>
      </c>
      <c r="V7" s="43">
        <f>'HAI - SAB'!B6</f>
        <v>43070</v>
      </c>
      <c r="W7" s="375" t="s">
        <v>28</v>
      </c>
      <c r="X7" s="510" t="s">
        <v>502</v>
      </c>
      <c r="Y7" s="606"/>
    </row>
    <row r="8" spans="1:25" ht="14.25" customHeight="1" x14ac:dyDescent="0.2">
      <c r="A8" s="946" t="s">
        <v>288</v>
      </c>
      <c r="B8" s="947"/>
      <c r="C8" s="948"/>
      <c r="D8" s="921"/>
      <c r="E8" s="920" t="s">
        <v>76</v>
      </c>
      <c r="F8" s="939" t="s">
        <v>113</v>
      </c>
      <c r="G8" s="952" t="s">
        <v>308</v>
      </c>
      <c r="H8" s="944" t="s">
        <v>308</v>
      </c>
      <c r="I8" s="966" t="str">
        <f>IF(R9&lt;=P8, "Met", "Not Met")</f>
        <v>Met</v>
      </c>
      <c r="J8" s="905">
        <f>HSMR!B12</f>
        <v>0</v>
      </c>
      <c r="K8" s="906"/>
      <c r="L8" s="907"/>
      <c r="M8" s="1063" t="str">
        <f>HSMR!B14</f>
        <v>Not Applicable</v>
      </c>
      <c r="N8" s="1005" t="str">
        <f>HSMR!B15</f>
        <v>Not Applicable</v>
      </c>
      <c r="O8" s="1006"/>
      <c r="P8" s="1030">
        <v>1</v>
      </c>
      <c r="Q8" s="861" t="s">
        <v>123</v>
      </c>
      <c r="R8" s="28" t="s">
        <v>167</v>
      </c>
      <c r="S8" s="28" t="s">
        <v>312</v>
      </c>
      <c r="T8" s="28" t="s">
        <v>315</v>
      </c>
      <c r="U8" s="29" t="s">
        <v>313</v>
      </c>
      <c r="V8" s="830">
        <f>HSMR!B11</f>
        <v>42887</v>
      </c>
      <c r="W8" s="835" t="s">
        <v>29</v>
      </c>
      <c r="X8" s="1041" t="s">
        <v>502</v>
      </c>
      <c r="Y8" s="606"/>
    </row>
    <row r="9" spans="1:25" ht="15.75" customHeight="1" thickBot="1" x14ac:dyDescent="0.25">
      <c r="A9" s="949"/>
      <c r="B9" s="950"/>
      <c r="C9" s="951"/>
      <c r="D9" s="922"/>
      <c r="E9" s="922"/>
      <c r="F9" s="940"/>
      <c r="G9" s="953"/>
      <c r="H9" s="945"/>
      <c r="I9" s="967"/>
      <c r="J9" s="911"/>
      <c r="K9" s="912"/>
      <c r="L9" s="913"/>
      <c r="M9" s="1064"/>
      <c r="N9" s="1007"/>
      <c r="O9" s="1008"/>
      <c r="P9" s="1031"/>
      <c r="Q9" s="863"/>
      <c r="R9" s="27">
        <f>HSMR!B7</f>
        <v>0.76762943254093685</v>
      </c>
      <c r="S9" s="27">
        <f>HSMR!B8</f>
        <v>0.80566488664761216</v>
      </c>
      <c r="T9" s="27">
        <f>HSMR!B9</f>
        <v>0.62325592770167182</v>
      </c>
      <c r="U9" s="27">
        <f>HSMR!B10</f>
        <v>0.62771466790542374</v>
      </c>
      <c r="V9" s="832"/>
      <c r="W9" s="837"/>
      <c r="X9" s="1020"/>
      <c r="Y9" s="604"/>
    </row>
    <row r="10" spans="1:25" ht="15.75" customHeight="1" thickBot="1" x14ac:dyDescent="0.25">
      <c r="A10" s="960" t="s">
        <v>310</v>
      </c>
      <c r="B10" s="961"/>
      <c r="C10" s="962"/>
      <c r="D10" s="920" t="s">
        <v>83</v>
      </c>
      <c r="E10" s="85" t="s">
        <v>80</v>
      </c>
      <c r="F10" s="377" t="s">
        <v>110</v>
      </c>
      <c r="G10" s="386" t="s">
        <v>308</v>
      </c>
      <c r="H10" s="385" t="s">
        <v>308</v>
      </c>
      <c r="I10" s="70" t="str">
        <f>IF(R10&gt;P10, "Met", "Not Met")</f>
        <v>Met</v>
      </c>
      <c r="J10" s="923">
        <f>'GP Access'!B9</f>
        <v>0</v>
      </c>
      <c r="K10" s="924"/>
      <c r="L10" s="925"/>
      <c r="M10" s="74" t="str">
        <f>'GP Access'!B12</f>
        <v>Worse</v>
      </c>
      <c r="N10" s="80" t="str">
        <f>'GP Access'!B14</f>
        <v>2015/16</v>
      </c>
      <c r="O10" s="71"/>
      <c r="P10" s="81">
        <v>0.9</v>
      </c>
      <c r="Q10" s="82" t="s">
        <v>125</v>
      </c>
      <c r="R10" s="1054">
        <f>'GP Access'!B6</f>
        <v>0.91492099999999998</v>
      </c>
      <c r="S10" s="1055"/>
      <c r="T10" s="1055"/>
      <c r="U10" s="1056"/>
      <c r="V10" s="73" t="str">
        <f>'GP Access'!B8</f>
        <v>2015/16</v>
      </c>
      <c r="W10" s="72"/>
      <c r="X10" s="69" t="s">
        <v>85</v>
      </c>
      <c r="Y10" s="604"/>
    </row>
    <row r="11" spans="1:25" ht="15.75" customHeight="1" thickBot="1" x14ac:dyDescent="0.25">
      <c r="A11" s="960" t="s">
        <v>311</v>
      </c>
      <c r="B11" s="961"/>
      <c r="C11" s="962"/>
      <c r="D11" s="921"/>
      <c r="E11" s="85" t="s">
        <v>80</v>
      </c>
      <c r="F11" s="377" t="s">
        <v>110</v>
      </c>
      <c r="G11" s="386" t="s">
        <v>308</v>
      </c>
      <c r="H11" s="385" t="s">
        <v>308</v>
      </c>
      <c r="I11" s="70" t="str">
        <f>IF(R11&gt;P11, "Met", "Not Met")</f>
        <v>Not Met</v>
      </c>
      <c r="J11" s="923" t="str">
        <f>'GP Access'!B10</f>
        <v>Deteriorating</v>
      </c>
      <c r="K11" s="924"/>
      <c r="L11" s="925"/>
      <c r="M11" s="74" t="str">
        <f>'GP Access'!B13</f>
        <v>Worse</v>
      </c>
      <c r="N11" s="80" t="str">
        <f>'GP Access'!B14</f>
        <v>2015/16</v>
      </c>
      <c r="O11" s="71"/>
      <c r="P11" s="81">
        <v>0.9</v>
      </c>
      <c r="Q11" s="82" t="s">
        <v>125</v>
      </c>
      <c r="R11" s="1054">
        <f>'GP Access'!B7</f>
        <v>0.74836999999999998</v>
      </c>
      <c r="S11" s="1055"/>
      <c r="T11" s="1055"/>
      <c r="U11" s="1056"/>
      <c r="V11" s="73" t="str">
        <f>'GP Access'!B8</f>
        <v>2015/16</v>
      </c>
      <c r="W11" s="72"/>
      <c r="X11" s="69" t="s">
        <v>85</v>
      </c>
      <c r="Y11" s="604"/>
    </row>
    <row r="12" spans="1:25" ht="15.75" customHeight="1" thickBot="1" x14ac:dyDescent="0.25">
      <c r="A12" s="917" t="s">
        <v>293</v>
      </c>
      <c r="B12" s="915"/>
      <c r="C12" s="916"/>
      <c r="D12" s="921"/>
      <c r="E12" s="86" t="s">
        <v>80</v>
      </c>
      <c r="F12" s="376" t="s">
        <v>113</v>
      </c>
      <c r="G12" s="387" t="s">
        <v>280</v>
      </c>
      <c r="H12" s="381">
        <v>42767</v>
      </c>
      <c r="I12" s="5" t="str">
        <f>IF(R12&gt;=P12, "Met", "Not Met")</f>
        <v>Not Met</v>
      </c>
      <c r="J12" s="890" t="str">
        <f>'A&amp;E WT'!B6</f>
        <v>Deteriorating</v>
      </c>
      <c r="K12" s="891"/>
      <c r="L12" s="892"/>
      <c r="M12" s="46" t="str">
        <f>IF('A&amp;E WT - Published'!C3="Equal", "Equal", 'A&amp;E WT - Published'!B3)</f>
        <v>Worse</v>
      </c>
      <c r="N12" s="36">
        <f>'A&amp;E WT - Published'!B4</f>
        <v>43040</v>
      </c>
      <c r="O12" s="32" t="s">
        <v>181</v>
      </c>
      <c r="P12" s="47">
        <v>0.95</v>
      </c>
      <c r="Q12" s="10" t="s">
        <v>124</v>
      </c>
      <c r="R12" s="985">
        <f>'A&amp;E WT'!B4</f>
        <v>0.75900000000000001</v>
      </c>
      <c r="S12" s="986"/>
      <c r="T12" s="986"/>
      <c r="U12" s="987"/>
      <c r="V12" s="43">
        <f>'A&amp;E WT'!B5</f>
        <v>43070</v>
      </c>
      <c r="W12" s="375" t="s">
        <v>28</v>
      </c>
      <c r="X12" s="48" t="s">
        <v>84</v>
      </c>
      <c r="Y12" s="604"/>
    </row>
    <row r="13" spans="1:25" ht="18.75" customHeight="1" thickBot="1" x14ac:dyDescent="0.25">
      <c r="A13" s="917" t="s">
        <v>285</v>
      </c>
      <c r="B13" s="915"/>
      <c r="C13" s="916"/>
      <c r="D13" s="921"/>
      <c r="E13" s="86" t="s">
        <v>80</v>
      </c>
      <c r="F13" s="376" t="s">
        <v>110</v>
      </c>
      <c r="G13" s="382" t="s">
        <v>309</v>
      </c>
      <c r="H13" s="383" t="s">
        <v>309</v>
      </c>
      <c r="I13" s="5" t="str">
        <f>ABI!B10</f>
        <v>Met</v>
      </c>
      <c r="J13" s="890">
        <f>ABI!B7</f>
        <v>0</v>
      </c>
      <c r="K13" s="891"/>
      <c r="L13" s="892"/>
      <c r="M13" s="7" t="str">
        <f>'ABI - Published'!B3</f>
        <v>Better</v>
      </c>
      <c r="N13" s="39" t="str">
        <f>'ABI - Published'!B4</f>
        <v>2016/17</v>
      </c>
      <c r="O13" s="35"/>
      <c r="P13" s="1057" t="s">
        <v>498</v>
      </c>
      <c r="Q13" s="993"/>
      <c r="R13" s="1027">
        <f>ABI!B5</f>
        <v>7878</v>
      </c>
      <c r="S13" s="1028"/>
      <c r="T13" s="1028"/>
      <c r="U13" s="1029"/>
      <c r="V13" s="43">
        <f>ABI!B6</f>
        <v>42979</v>
      </c>
      <c r="W13" s="375" t="s">
        <v>29</v>
      </c>
      <c r="X13" s="48" t="s">
        <v>86</v>
      </c>
      <c r="Y13" s="604"/>
    </row>
    <row r="14" spans="1:25" ht="15.75" customHeight="1" thickBot="1" x14ac:dyDescent="0.25">
      <c r="A14" s="963" t="s">
        <v>541</v>
      </c>
      <c r="B14" s="964"/>
      <c r="C14" s="965"/>
      <c r="D14" s="921"/>
      <c r="E14" s="86" t="s">
        <v>80</v>
      </c>
      <c r="F14" s="378" t="s">
        <v>110</v>
      </c>
      <c r="G14" s="382" t="s">
        <v>281</v>
      </c>
      <c r="H14" s="384">
        <v>42979</v>
      </c>
      <c r="I14" s="45" t="str">
        <f>IF(R14&gt;=P14, "Met", "Not Met")</f>
        <v>Not Met</v>
      </c>
      <c r="J14" s="890" t="str">
        <f>CAMHS!B6</f>
        <v>Deteriorating</v>
      </c>
      <c r="K14" s="891"/>
      <c r="L14" s="892"/>
      <c r="M14" s="46" t="str">
        <f>IF('CAMHS - Published'!C3="Equal", "Equal", 'CAMHS - Published'!B3)</f>
        <v>Worse</v>
      </c>
      <c r="N14" s="36">
        <f>'CAMHS - Published'!B4</f>
        <v>43008</v>
      </c>
      <c r="O14" s="40" t="s">
        <v>182</v>
      </c>
      <c r="P14" s="12">
        <v>0.9</v>
      </c>
      <c r="Q14" s="9" t="s">
        <v>125</v>
      </c>
      <c r="R14" s="985">
        <f>CAMHS!B4</f>
        <v>0.58278145695364236</v>
      </c>
      <c r="S14" s="986"/>
      <c r="T14" s="986"/>
      <c r="U14" s="987"/>
      <c r="V14" s="43">
        <f>CAMHS!B5</f>
        <v>43070</v>
      </c>
      <c r="W14" s="375" t="s">
        <v>28</v>
      </c>
      <c r="X14" s="48" t="s">
        <v>86</v>
      </c>
      <c r="Y14" s="604"/>
    </row>
    <row r="15" spans="1:25" ht="15.75" customHeight="1" thickBot="1" x14ac:dyDescent="0.25">
      <c r="A15" s="914" t="s">
        <v>30</v>
      </c>
      <c r="B15" s="918"/>
      <c r="C15" s="919"/>
      <c r="D15" s="921"/>
      <c r="E15" s="86" t="s">
        <v>80</v>
      </c>
      <c r="F15" s="376" t="s">
        <v>113</v>
      </c>
      <c r="G15" s="387" t="s">
        <v>281</v>
      </c>
      <c r="H15" s="381">
        <v>43040</v>
      </c>
      <c r="I15" s="5" t="str">
        <f>IF(R15&gt;=P15, "Met", "Not Met")</f>
        <v>Not Met</v>
      </c>
      <c r="J15" s="997" t="str">
        <f>'Cancer - 31 Day'!B6</f>
        <v>Deteriorating</v>
      </c>
      <c r="K15" s="998"/>
      <c r="L15" s="999"/>
      <c r="M15" s="46" t="str">
        <f>IF('Cancer - Published'!C3="Equal", "Equal", 'Cancer - Published'!B3)</f>
        <v>Worse</v>
      </c>
      <c r="N15" s="51">
        <f>'Cancer - Published'!B5</f>
        <v>42979</v>
      </c>
      <c r="O15" s="40" t="s">
        <v>182</v>
      </c>
      <c r="P15" s="12">
        <v>0.95</v>
      </c>
      <c r="Q15" s="9" t="s">
        <v>125</v>
      </c>
      <c r="R15" s="985">
        <f>'Cancer - 31 Day'!B4</f>
        <v>0.91500000000000004</v>
      </c>
      <c r="S15" s="986"/>
      <c r="T15" s="986"/>
      <c r="U15" s="987"/>
      <c r="V15" s="43">
        <f>'Cancer - 31 Day'!B5</f>
        <v>43070</v>
      </c>
      <c r="W15" s="375" t="s">
        <v>28</v>
      </c>
      <c r="X15" s="48" t="s">
        <v>84</v>
      </c>
      <c r="Y15" s="604"/>
    </row>
    <row r="16" spans="1:25" s="93" customFormat="1" ht="15.75" customHeight="1" thickBot="1" x14ac:dyDescent="0.25">
      <c r="A16" s="893" t="s">
        <v>284</v>
      </c>
      <c r="B16" s="894"/>
      <c r="C16" s="895"/>
      <c r="D16" s="921"/>
      <c r="E16" s="92" t="s">
        <v>80</v>
      </c>
      <c r="F16" s="377" t="s">
        <v>113</v>
      </c>
      <c r="G16" s="567" t="s">
        <v>281</v>
      </c>
      <c r="H16" s="565">
        <v>43040</v>
      </c>
      <c r="I16" s="34" t="str">
        <f>IF(R16&gt;=P16, "Met", "Not Met")</f>
        <v>Not Met</v>
      </c>
      <c r="J16" s="923" t="str">
        <f>'Cancer - 62 Day'!B9</f>
        <v>Deteriorating</v>
      </c>
      <c r="K16" s="924"/>
      <c r="L16" s="925"/>
      <c r="M16" s="61" t="str">
        <f>IF('Cancer - Published'!C4="Equal", "Equal", 'Cancer - Published'!B4)</f>
        <v>Better</v>
      </c>
      <c r="N16" s="36">
        <f>'Cancer - Published'!B5</f>
        <v>42979</v>
      </c>
      <c r="O16" s="40" t="s">
        <v>182</v>
      </c>
      <c r="P16" s="12">
        <v>0.95</v>
      </c>
      <c r="Q16" s="9" t="s">
        <v>125</v>
      </c>
      <c r="R16" s="988">
        <f>'Cancer - 62 Day'!B7</f>
        <v>0.88500000000000001</v>
      </c>
      <c r="S16" s="989"/>
      <c r="T16" s="989"/>
      <c r="U16" s="990"/>
      <c r="V16" s="43">
        <f>'Cancer - 62 Day'!B8</f>
        <v>43070</v>
      </c>
      <c r="W16" s="404" t="s">
        <v>28</v>
      </c>
      <c r="X16" s="34" t="s">
        <v>84</v>
      </c>
      <c r="Y16" s="604"/>
    </row>
    <row r="17" spans="1:25" ht="23.25" customHeight="1" thickBot="1" x14ac:dyDescent="0.25">
      <c r="A17" s="914" t="s">
        <v>560</v>
      </c>
      <c r="B17" s="918"/>
      <c r="C17" s="919"/>
      <c r="D17" s="921"/>
      <c r="E17" s="86"/>
      <c r="F17" s="566" t="s">
        <v>113</v>
      </c>
      <c r="G17" s="383" t="s">
        <v>281</v>
      </c>
      <c r="H17" s="384">
        <v>42948</v>
      </c>
      <c r="I17" s="1000" t="str">
        <f>IF(R17&gt;P17, "Not Met", "Met")</f>
        <v>Not Met</v>
      </c>
      <c r="J17" s="905" t="str">
        <f>Diagnostics!B6</f>
        <v>Deteriorating</v>
      </c>
      <c r="K17" s="906"/>
      <c r="L17" s="907"/>
      <c r="M17" s="870" t="str">
        <f>IF('Diagnostics - Published'!C3="Equal", "Equal", 'Diagnostics - Published'!B3)</f>
        <v>Worse</v>
      </c>
      <c r="N17" s="873">
        <f>'Diagnostics - Published'!B4</f>
        <v>42979</v>
      </c>
      <c r="O17" s="1033" t="s">
        <v>205</v>
      </c>
      <c r="P17" s="1038">
        <v>0</v>
      </c>
      <c r="Q17" s="861" t="s">
        <v>126</v>
      </c>
      <c r="R17" s="1009">
        <f>Diagnostics!B4</f>
        <v>3799</v>
      </c>
      <c r="S17" s="1010"/>
      <c r="T17" s="1010"/>
      <c r="U17" s="1011"/>
      <c r="V17" s="830">
        <f>Diagnostics!B5</f>
        <v>43070</v>
      </c>
      <c r="W17" s="835" t="s">
        <v>28</v>
      </c>
      <c r="X17" s="1018" t="s">
        <v>84</v>
      </c>
      <c r="Y17" s="604"/>
    </row>
    <row r="18" spans="1:25" ht="15.75" customHeight="1" thickBot="1" x14ac:dyDescent="0.25">
      <c r="A18" s="914" t="s">
        <v>539</v>
      </c>
      <c r="B18" s="915"/>
      <c r="C18" s="916"/>
      <c r="D18" s="921"/>
      <c r="E18" s="86"/>
      <c r="F18" s="566" t="s">
        <v>113</v>
      </c>
      <c r="G18" s="383" t="s">
        <v>280</v>
      </c>
      <c r="H18" s="384">
        <v>42856</v>
      </c>
      <c r="I18" s="1001"/>
      <c r="J18" s="908"/>
      <c r="K18" s="909"/>
      <c r="L18" s="910"/>
      <c r="M18" s="871"/>
      <c r="N18" s="874"/>
      <c r="O18" s="1035"/>
      <c r="P18" s="1039"/>
      <c r="Q18" s="862"/>
      <c r="R18" s="1012"/>
      <c r="S18" s="1013"/>
      <c r="T18" s="1013"/>
      <c r="U18" s="1014"/>
      <c r="V18" s="831"/>
      <c r="W18" s="836"/>
      <c r="X18" s="1019"/>
      <c r="Y18" s="604"/>
    </row>
    <row r="19" spans="1:25" ht="15.75" customHeight="1" thickBot="1" x14ac:dyDescent="0.25">
      <c r="A19" s="917" t="s">
        <v>294</v>
      </c>
      <c r="B19" s="915"/>
      <c r="C19" s="916"/>
      <c r="D19" s="921"/>
      <c r="E19" s="86"/>
      <c r="F19" s="566" t="s">
        <v>113</v>
      </c>
      <c r="G19" s="575" t="s">
        <v>279</v>
      </c>
      <c r="H19" s="575" t="s">
        <v>279</v>
      </c>
      <c r="I19" s="1002"/>
      <c r="J19" s="911"/>
      <c r="K19" s="912"/>
      <c r="L19" s="913"/>
      <c r="M19" s="872"/>
      <c r="N19" s="875"/>
      <c r="O19" s="1037"/>
      <c r="P19" s="1040"/>
      <c r="Q19" s="863"/>
      <c r="R19" s="1015"/>
      <c r="S19" s="1016"/>
      <c r="T19" s="1016"/>
      <c r="U19" s="1017"/>
      <c r="V19" s="832"/>
      <c r="W19" s="837"/>
      <c r="X19" s="1020"/>
      <c r="Y19" s="604"/>
    </row>
    <row r="20" spans="1:25" ht="15.75" customHeight="1" thickBot="1" x14ac:dyDescent="0.25">
      <c r="A20" s="957" t="s">
        <v>504</v>
      </c>
      <c r="B20" s="958"/>
      <c r="C20" s="959"/>
      <c r="D20" s="921"/>
      <c r="E20" s="86" t="s">
        <v>80</v>
      </c>
      <c r="F20" s="376" t="s">
        <v>110</v>
      </c>
      <c r="G20" s="926" t="s">
        <v>281</v>
      </c>
      <c r="H20" s="928">
        <v>42979</v>
      </c>
      <c r="I20" s="850" t="str">
        <f>IF(R20&gt;=P20, "Met", "Not Met")</f>
        <v>Not Met</v>
      </c>
      <c r="J20" s="930" t="str">
        <f>'Drug &amp; Alcohol - Published'!B6</f>
        <v>Deteriorating</v>
      </c>
      <c r="K20" s="931"/>
      <c r="L20" s="932"/>
      <c r="M20" s="870" t="str">
        <f>IF('Drug &amp; Alcohol - Published'!C9="Equal", "Equal", 'Drug &amp; Alcohol - Published'!B8)</f>
        <v>Worse</v>
      </c>
      <c r="N20" s="873">
        <f>'Drug &amp; Alcohol - Published'!B9</f>
        <v>42979</v>
      </c>
      <c r="O20" s="896" t="s">
        <v>182</v>
      </c>
      <c r="P20" s="876">
        <v>0.9</v>
      </c>
      <c r="Q20" s="838" t="s">
        <v>125</v>
      </c>
      <c r="R20" s="841">
        <f>'Drug &amp; Alcohol - Published'!B4</f>
        <v>0.80800000000000005</v>
      </c>
      <c r="S20" s="842"/>
      <c r="T20" s="842"/>
      <c r="U20" s="843"/>
      <c r="V20" s="830">
        <f>'Drug &amp; Alcohol - Published'!B5</f>
        <v>42979</v>
      </c>
      <c r="W20" s="835" t="s">
        <v>29</v>
      </c>
      <c r="X20" s="510" t="s">
        <v>703</v>
      </c>
      <c r="Y20" s="604"/>
    </row>
    <row r="21" spans="1:25" ht="15.75" customHeight="1" thickBot="1" x14ac:dyDescent="0.25">
      <c r="A21" s="957" t="s">
        <v>528</v>
      </c>
      <c r="B21" s="958"/>
      <c r="C21" s="959"/>
      <c r="D21" s="921"/>
      <c r="E21" s="86" t="s">
        <v>80</v>
      </c>
      <c r="F21" s="376" t="s">
        <v>110</v>
      </c>
      <c r="G21" s="926"/>
      <c r="H21" s="928"/>
      <c r="I21" s="851"/>
      <c r="J21" s="933"/>
      <c r="K21" s="934"/>
      <c r="L21" s="935"/>
      <c r="M21" s="871"/>
      <c r="N21" s="874"/>
      <c r="O21" s="897"/>
      <c r="P21" s="877"/>
      <c r="Q21" s="839"/>
      <c r="R21" s="844"/>
      <c r="S21" s="845"/>
      <c r="T21" s="845"/>
      <c r="U21" s="846"/>
      <c r="V21" s="831"/>
      <c r="W21" s="836"/>
      <c r="X21" s="510" t="s">
        <v>527</v>
      </c>
      <c r="Y21" s="606"/>
    </row>
    <row r="22" spans="1:25" ht="15.75" customHeight="1" thickBot="1" x14ac:dyDescent="0.25">
      <c r="A22" s="914" t="s">
        <v>505</v>
      </c>
      <c r="B22" s="915"/>
      <c r="C22" s="916"/>
      <c r="D22" s="921"/>
      <c r="E22" s="86" t="s">
        <v>80</v>
      </c>
      <c r="F22" s="376" t="s">
        <v>110</v>
      </c>
      <c r="G22" s="927"/>
      <c r="H22" s="929"/>
      <c r="I22" s="852"/>
      <c r="J22" s="936"/>
      <c r="K22" s="937"/>
      <c r="L22" s="938"/>
      <c r="M22" s="872"/>
      <c r="N22" s="875"/>
      <c r="O22" s="898"/>
      <c r="P22" s="878"/>
      <c r="Q22" s="840"/>
      <c r="R22" s="847"/>
      <c r="S22" s="848"/>
      <c r="T22" s="848"/>
      <c r="U22" s="849"/>
      <c r="V22" s="832"/>
      <c r="W22" s="837"/>
      <c r="X22" s="48" t="s">
        <v>87</v>
      </c>
      <c r="Y22" s="604"/>
    </row>
    <row r="23" spans="1:25" ht="15.75" customHeight="1" thickBot="1" x14ac:dyDescent="0.25">
      <c r="A23" s="917" t="s">
        <v>292</v>
      </c>
      <c r="B23" s="915"/>
      <c r="C23" s="916"/>
      <c r="D23" s="921"/>
      <c r="E23" s="86" t="s">
        <v>80</v>
      </c>
      <c r="F23" s="376" t="s">
        <v>113</v>
      </c>
      <c r="G23" s="387" t="s">
        <v>280</v>
      </c>
      <c r="H23" s="381">
        <v>42856</v>
      </c>
      <c r="I23" s="45" t="str">
        <f>IF(T23&gt;P23, "Not Met", "Met")</f>
        <v>Not Met</v>
      </c>
      <c r="J23" s="890" t="str">
        <f>'Inpatient - TTG'!B7</f>
        <v>Improving</v>
      </c>
      <c r="K23" s="891"/>
      <c r="L23" s="892"/>
      <c r="M23" s="7" t="str">
        <f>IF('Inpatient - Published'!C3="Equal", "Equal", 'Inpatient - Published'!B3)</f>
        <v>Better</v>
      </c>
      <c r="N23" s="36">
        <f>'Inpatient - Published'!B5</f>
        <v>42979</v>
      </c>
      <c r="O23" s="40" t="s">
        <v>182</v>
      </c>
      <c r="P23" s="41">
        <v>0</v>
      </c>
      <c r="Q23" s="9" t="s">
        <v>126</v>
      </c>
      <c r="R23" s="1067">
        <f>'Inpatient - TTG'!B4</f>
        <v>0.87875910098132315</v>
      </c>
      <c r="S23" s="1068"/>
      <c r="T23" s="1065">
        <f>'Inpatient - TTG'!B5</f>
        <v>1502</v>
      </c>
      <c r="U23" s="1066"/>
      <c r="V23" s="43">
        <f>'Inpatient - TTG'!B6</f>
        <v>43070</v>
      </c>
      <c r="W23" s="375" t="s">
        <v>28</v>
      </c>
      <c r="X23" s="48" t="s">
        <v>84</v>
      </c>
      <c r="Y23" s="604"/>
    </row>
    <row r="24" spans="1:25" ht="15" thickBot="1" x14ac:dyDescent="0.25">
      <c r="A24" s="917" t="s">
        <v>289</v>
      </c>
      <c r="B24" s="915"/>
      <c r="C24" s="916"/>
      <c r="D24" s="921"/>
      <c r="E24" s="86" t="s">
        <v>80</v>
      </c>
      <c r="F24" s="376" t="s">
        <v>113</v>
      </c>
      <c r="G24" s="390" t="s">
        <v>308</v>
      </c>
      <c r="H24" s="391" t="s">
        <v>308</v>
      </c>
      <c r="I24" s="5" t="str">
        <f>IF(R24&gt;=P24, "Met", "Not Met")</f>
        <v>Met</v>
      </c>
      <c r="J24" s="923">
        <f>IVF!B6</f>
        <v>0</v>
      </c>
      <c r="K24" s="924"/>
      <c r="L24" s="925"/>
      <c r="M24" s="486" t="str">
        <f>IF('IVF - Published'!C3="Equal", "Equal", 'IVF - Published'!B3)</f>
        <v>Equal</v>
      </c>
      <c r="N24" s="36">
        <f>'IVF - Published'!B4</f>
        <v>42979</v>
      </c>
      <c r="O24" s="40" t="s">
        <v>182</v>
      </c>
      <c r="P24" s="12">
        <v>0.9</v>
      </c>
      <c r="Q24" s="9" t="s">
        <v>125</v>
      </c>
      <c r="R24" s="985">
        <f>IVF!B4</f>
        <v>1</v>
      </c>
      <c r="S24" s="986"/>
      <c r="T24" s="986"/>
      <c r="U24" s="987"/>
      <c r="V24" s="43">
        <f>IVF!B5</f>
        <v>43040</v>
      </c>
      <c r="W24" s="375" t="s">
        <v>28</v>
      </c>
      <c r="X24" s="48" t="s">
        <v>84</v>
      </c>
      <c r="Y24" s="604"/>
    </row>
    <row r="25" spans="1:25" ht="15.75" customHeight="1" thickBot="1" x14ac:dyDescent="0.25">
      <c r="A25" s="914" t="s">
        <v>283</v>
      </c>
      <c r="B25" s="915"/>
      <c r="C25" s="916"/>
      <c r="D25" s="921"/>
      <c r="E25" s="86" t="s">
        <v>80</v>
      </c>
      <c r="F25" s="376" t="s">
        <v>113</v>
      </c>
      <c r="G25" s="388" t="s">
        <v>280</v>
      </c>
      <c r="H25" s="389">
        <v>42856</v>
      </c>
      <c r="I25" s="34" t="str">
        <f>IF(R25&gt;=P25, "Met", "Not Met")</f>
        <v>Not Met</v>
      </c>
      <c r="J25" s="890" t="str">
        <f>Outpatient!B7</f>
        <v>Deteriorating</v>
      </c>
      <c r="K25" s="891"/>
      <c r="L25" s="892"/>
      <c r="M25" s="33" t="str">
        <f>IF('Outpatient - Published'!C3="Equal", "Equal", 'Outpatient - Published'!B3)</f>
        <v>Worse</v>
      </c>
      <c r="N25" s="36">
        <f>'Outpatient - Published'!B5</f>
        <v>42979</v>
      </c>
      <c r="O25" s="419" t="s">
        <v>456</v>
      </c>
      <c r="P25" s="12">
        <v>0.95</v>
      </c>
      <c r="Q25" s="9" t="s">
        <v>125</v>
      </c>
      <c r="R25" s="1071">
        <f>Outpatient!B4</f>
        <v>0.62038563998477736</v>
      </c>
      <c r="S25" s="1072"/>
      <c r="T25" s="1069">
        <f>Outpatient!B5</f>
        <v>23940</v>
      </c>
      <c r="U25" s="1070"/>
      <c r="V25" s="576">
        <f>Outpatient!B6</f>
        <v>43070</v>
      </c>
      <c r="W25" s="577" t="s">
        <v>28</v>
      </c>
      <c r="X25" s="48" t="s">
        <v>84</v>
      </c>
      <c r="Y25" s="604"/>
    </row>
    <row r="26" spans="1:25" s="93" customFormat="1" ht="15.75" customHeight="1" thickBot="1" x14ac:dyDescent="0.25">
      <c r="A26" s="893" t="s">
        <v>290</v>
      </c>
      <c r="B26" s="894"/>
      <c r="C26" s="895"/>
      <c r="D26" s="921"/>
      <c r="E26" s="92" t="s">
        <v>80</v>
      </c>
      <c r="F26" s="377" t="s">
        <v>110</v>
      </c>
      <c r="G26" s="388" t="s">
        <v>281</v>
      </c>
      <c r="H26" s="389">
        <v>42979</v>
      </c>
      <c r="I26" s="34" t="str">
        <f>IF(R26&gt;=P26, "Met", "Not Met")</f>
        <v>Not Met</v>
      </c>
      <c r="J26" s="923" t="str">
        <f>'Psych Therapies'!B6</f>
        <v>Improving</v>
      </c>
      <c r="K26" s="924"/>
      <c r="L26" s="925"/>
      <c r="M26" s="564" t="str">
        <f>IF('Psych Therapies - Published'!C3="Equal", "Equal", 'Psych Therapies - Published'!B3)</f>
        <v>Worse</v>
      </c>
      <c r="N26" s="574">
        <f>'Psych Therapies - Published'!B4</f>
        <v>42980</v>
      </c>
      <c r="O26" s="578" t="s">
        <v>182</v>
      </c>
      <c r="P26" s="579">
        <v>0.9</v>
      </c>
      <c r="Q26" s="580" t="s">
        <v>125</v>
      </c>
      <c r="R26" s="988">
        <f>'Psych Therapies'!B4</f>
        <v>0.75102599179206564</v>
      </c>
      <c r="S26" s="989"/>
      <c r="T26" s="989"/>
      <c r="U26" s="990"/>
      <c r="V26" s="576">
        <f>'Psych Therapies'!B5</f>
        <v>43070</v>
      </c>
      <c r="W26" s="577" t="s">
        <v>28</v>
      </c>
      <c r="X26" s="34" t="s">
        <v>87</v>
      </c>
      <c r="Y26" s="604"/>
    </row>
    <row r="27" spans="1:25" ht="15.75" customHeight="1" thickBot="1" x14ac:dyDescent="0.25">
      <c r="A27" s="899" t="s">
        <v>291</v>
      </c>
      <c r="B27" s="900"/>
      <c r="C27" s="901"/>
      <c r="D27" s="921"/>
      <c r="E27" s="86" t="s">
        <v>80</v>
      </c>
      <c r="F27" s="379" t="s">
        <v>113</v>
      </c>
      <c r="G27" s="392" t="s">
        <v>281</v>
      </c>
      <c r="H27" s="381">
        <v>42767</v>
      </c>
      <c r="I27" s="45" t="str">
        <f>IF(R27&gt;=P27, "Met", "Not Met")</f>
        <v>Not Met</v>
      </c>
      <c r="J27" s="890" t="str">
        <f>RTT!B6</f>
        <v>Improving</v>
      </c>
      <c r="K27" s="891"/>
      <c r="L27" s="892"/>
      <c r="M27" s="46" t="str">
        <f>IF('RTT - Published'!C3="Equal", "Equal", 'RTT - Published'!B3)</f>
        <v>Worse</v>
      </c>
      <c r="N27" s="38">
        <f>'RTT - Published'!B4</f>
        <v>42979</v>
      </c>
      <c r="O27" s="32" t="s">
        <v>181</v>
      </c>
      <c r="P27" s="12">
        <v>0.9</v>
      </c>
      <c r="Q27" s="9" t="s">
        <v>125</v>
      </c>
      <c r="R27" s="985">
        <f>RTT!B4</f>
        <v>0.77600000000000002</v>
      </c>
      <c r="S27" s="986"/>
      <c r="T27" s="986"/>
      <c r="U27" s="987"/>
      <c r="V27" s="576">
        <f>RTT!B5</f>
        <v>43070</v>
      </c>
      <c r="W27" s="577" t="s">
        <v>28</v>
      </c>
      <c r="X27" s="48" t="s">
        <v>84</v>
      </c>
      <c r="Y27" s="604"/>
    </row>
    <row r="28" spans="1:25" ht="15.75" customHeight="1" thickBot="1" x14ac:dyDescent="0.25">
      <c r="A28" s="917" t="s">
        <v>88</v>
      </c>
      <c r="B28" s="915"/>
      <c r="C28" s="916"/>
      <c r="D28" s="921"/>
      <c r="E28" s="86" t="s">
        <v>76</v>
      </c>
      <c r="F28" s="376" t="s">
        <v>113</v>
      </c>
      <c r="G28" s="393" t="s">
        <v>280</v>
      </c>
      <c r="H28" s="394">
        <v>42675</v>
      </c>
      <c r="I28" s="45" t="str">
        <f>IF(R28&gt;=P28, "Met", "Not Met")</f>
        <v>Not Met</v>
      </c>
      <c r="J28" s="923" t="str">
        <f>Stroke!B11</f>
        <v>Deteriorating</v>
      </c>
      <c r="K28" s="924"/>
      <c r="L28" s="925"/>
      <c r="M28" s="42" t="str">
        <f>Stroke!B13</f>
        <v>Not Applicable</v>
      </c>
      <c r="N28" s="882" t="str">
        <f>Stroke!B14</f>
        <v>Not Applicable</v>
      </c>
      <c r="O28" s="883"/>
      <c r="P28" s="12">
        <v>0.8</v>
      </c>
      <c r="Q28" s="9" t="s">
        <v>125</v>
      </c>
      <c r="R28" s="985">
        <f>Stroke!B9</f>
        <v>0.70731707317073178</v>
      </c>
      <c r="S28" s="986"/>
      <c r="T28" s="986"/>
      <c r="U28" s="987"/>
      <c r="V28" s="43">
        <f>Stroke!B10</f>
        <v>43009</v>
      </c>
      <c r="W28" s="375" t="s">
        <v>28</v>
      </c>
      <c r="X28" s="48" t="s">
        <v>84</v>
      </c>
      <c r="Y28" s="604"/>
    </row>
    <row r="29" spans="1:25" ht="15.75" customHeight="1" thickBot="1" x14ac:dyDescent="0.25">
      <c r="A29" s="914" t="s">
        <v>737</v>
      </c>
      <c r="B29" s="918"/>
      <c r="C29" s="919"/>
      <c r="D29" s="922"/>
      <c r="E29" s="86"/>
      <c r="F29" s="376" t="s">
        <v>113</v>
      </c>
      <c r="G29" s="392" t="s">
        <v>279</v>
      </c>
      <c r="H29" s="381" t="s">
        <v>279</v>
      </c>
      <c r="I29" s="45" t="str">
        <f>IF(R29&gt;P29, "Not Met", "Met")</f>
        <v>Not Met</v>
      </c>
      <c r="J29" s="890" t="str">
        <f>'P.R. Surveillance Endoscopy'!B7</f>
        <v>Deteriorating</v>
      </c>
      <c r="K29" s="891"/>
      <c r="L29" s="892"/>
      <c r="M29" s="42" t="str">
        <f>'P.R. Surveillance Endoscopy'!B9</f>
        <v>Not Applicable</v>
      </c>
      <c r="N29" s="882" t="str">
        <f>'P.R. Surveillance Endoscopy'!B10</f>
        <v>Not Applicable</v>
      </c>
      <c r="O29" s="883"/>
      <c r="P29" s="41">
        <v>0</v>
      </c>
      <c r="Q29" s="9" t="s">
        <v>126</v>
      </c>
      <c r="R29" s="1051">
        <f>'P.R. Surveillance Endoscopy'!B5</f>
        <v>4416</v>
      </c>
      <c r="S29" s="1052"/>
      <c r="T29" s="1052"/>
      <c r="U29" s="1053"/>
      <c r="V29" s="43">
        <f>'P.R. Surveillance Endoscopy'!B6</f>
        <v>43070</v>
      </c>
      <c r="W29" s="375" t="s">
        <v>28</v>
      </c>
      <c r="X29" s="48" t="s">
        <v>84</v>
      </c>
      <c r="Y29" s="604"/>
    </row>
    <row r="30" spans="1:25" ht="15" customHeight="1" thickBot="1" x14ac:dyDescent="0.25">
      <c r="A30" s="893" t="s">
        <v>295</v>
      </c>
      <c r="B30" s="894"/>
      <c r="C30" s="895"/>
      <c r="D30" s="920" t="s">
        <v>89</v>
      </c>
      <c r="E30" s="85"/>
      <c r="F30" s="376" t="s">
        <v>110</v>
      </c>
      <c r="G30" s="941" t="s">
        <v>281</v>
      </c>
      <c r="H30" s="941">
        <v>42979</v>
      </c>
      <c r="I30" s="850" t="str">
        <f>IF(R30=P30, "Met", "Not Met")</f>
        <v>Not Met</v>
      </c>
      <c r="J30" s="905" t="str">
        <f>'Delayed Discharges'!B6</f>
        <v>Improving</v>
      </c>
      <c r="K30" s="906"/>
      <c r="L30" s="907"/>
      <c r="M30" s="870" t="str">
        <f>IF('Delayed Discharges - Published'!C3="Equal", "Equal", 'Delayed Discharges - Published'!B3)</f>
        <v>Worse</v>
      </c>
      <c r="N30" s="873">
        <f>'Delayed Discharges - Published'!B4</f>
        <v>43040</v>
      </c>
      <c r="O30" s="887" t="s">
        <v>181</v>
      </c>
      <c r="P30" s="884">
        <v>0</v>
      </c>
      <c r="Q30" s="861" t="s">
        <v>126</v>
      </c>
      <c r="R30" s="884">
        <f>'Delayed Discharges'!B4</f>
        <v>224</v>
      </c>
      <c r="S30" s="994"/>
      <c r="T30" s="994"/>
      <c r="U30" s="838"/>
      <c r="V30" s="830">
        <f>'Delayed Discharges'!B5</f>
        <v>43070</v>
      </c>
      <c r="W30" s="835" t="s">
        <v>28</v>
      </c>
      <c r="X30" s="48" t="s">
        <v>90</v>
      </c>
      <c r="Y30" s="604"/>
    </row>
    <row r="31" spans="1:25" ht="15.75" customHeight="1" thickBot="1" x14ac:dyDescent="0.25">
      <c r="A31" s="893" t="s">
        <v>296</v>
      </c>
      <c r="B31" s="894"/>
      <c r="C31" s="895"/>
      <c r="D31" s="921"/>
      <c r="E31" s="85"/>
      <c r="F31" s="376" t="s">
        <v>110</v>
      </c>
      <c r="G31" s="942"/>
      <c r="H31" s="942"/>
      <c r="I31" s="851"/>
      <c r="J31" s="908"/>
      <c r="K31" s="909"/>
      <c r="L31" s="910"/>
      <c r="M31" s="871"/>
      <c r="N31" s="874"/>
      <c r="O31" s="888"/>
      <c r="P31" s="885"/>
      <c r="Q31" s="862"/>
      <c r="R31" s="885"/>
      <c r="S31" s="995"/>
      <c r="T31" s="995"/>
      <c r="U31" s="839"/>
      <c r="V31" s="831"/>
      <c r="W31" s="836"/>
      <c r="X31" s="510" t="s">
        <v>703</v>
      </c>
      <c r="Y31" s="604"/>
    </row>
    <row r="32" spans="1:25" ht="15.75" customHeight="1" thickBot="1" x14ac:dyDescent="0.25">
      <c r="A32" s="893" t="s">
        <v>297</v>
      </c>
      <c r="B32" s="894"/>
      <c r="C32" s="895"/>
      <c r="D32" s="921"/>
      <c r="E32" s="85"/>
      <c r="F32" s="376" t="s">
        <v>110</v>
      </c>
      <c r="G32" s="942"/>
      <c r="H32" s="942"/>
      <c r="I32" s="851"/>
      <c r="J32" s="908"/>
      <c r="K32" s="909"/>
      <c r="L32" s="910"/>
      <c r="M32" s="871"/>
      <c r="N32" s="874"/>
      <c r="O32" s="888"/>
      <c r="P32" s="885"/>
      <c r="Q32" s="862"/>
      <c r="R32" s="885"/>
      <c r="S32" s="995"/>
      <c r="T32" s="995"/>
      <c r="U32" s="839"/>
      <c r="V32" s="831"/>
      <c r="W32" s="836"/>
      <c r="X32" s="48" t="s">
        <v>91</v>
      </c>
      <c r="Y32" s="604"/>
    </row>
    <row r="33" spans="1:25" ht="15.75" customHeight="1" thickBot="1" x14ac:dyDescent="0.25">
      <c r="A33" s="902" t="s">
        <v>298</v>
      </c>
      <c r="B33" s="903"/>
      <c r="C33" s="904"/>
      <c r="D33" s="922"/>
      <c r="E33" s="85"/>
      <c r="F33" s="376" t="s">
        <v>110</v>
      </c>
      <c r="G33" s="943"/>
      <c r="H33" s="943"/>
      <c r="I33" s="852"/>
      <c r="J33" s="911"/>
      <c r="K33" s="912"/>
      <c r="L33" s="913"/>
      <c r="M33" s="872"/>
      <c r="N33" s="875"/>
      <c r="O33" s="889"/>
      <c r="P33" s="886"/>
      <c r="Q33" s="863"/>
      <c r="R33" s="886"/>
      <c r="S33" s="996"/>
      <c r="T33" s="996"/>
      <c r="U33" s="840"/>
      <c r="V33" s="832"/>
      <c r="W33" s="837"/>
      <c r="X33" s="48" t="s">
        <v>87</v>
      </c>
      <c r="Y33" s="604"/>
    </row>
    <row r="34" spans="1:25" ht="15" customHeight="1" thickBot="1" x14ac:dyDescent="0.25">
      <c r="A34" s="946" t="s">
        <v>93</v>
      </c>
      <c r="B34" s="947"/>
      <c r="C34" s="948"/>
      <c r="D34" s="920" t="s">
        <v>92</v>
      </c>
      <c r="E34" s="920" t="s">
        <v>76</v>
      </c>
      <c r="F34" s="939" t="s">
        <v>113</v>
      </c>
      <c r="G34" s="952" t="s">
        <v>308</v>
      </c>
      <c r="H34" s="944" t="s">
        <v>308</v>
      </c>
      <c r="I34" s="966" t="str">
        <f>'Hospital Scorecard'!B6</f>
        <v>Met</v>
      </c>
      <c r="J34" s="905">
        <f>'Hospital Scorecard'!B4</f>
        <v>0</v>
      </c>
      <c r="K34" s="906"/>
      <c r="L34" s="907"/>
      <c r="M34" s="879" t="s">
        <v>77</v>
      </c>
      <c r="N34" s="884" t="s">
        <v>77</v>
      </c>
      <c r="O34" s="838"/>
      <c r="P34" s="1042" t="s">
        <v>94</v>
      </c>
      <c r="Q34" s="1043"/>
      <c r="R34" s="30" t="s">
        <v>167</v>
      </c>
      <c r="S34" s="48" t="s">
        <v>312</v>
      </c>
      <c r="T34" s="48" t="s">
        <v>315</v>
      </c>
      <c r="U34" s="48" t="s">
        <v>313</v>
      </c>
      <c r="V34" s="930" t="str">
        <f>'Hospital Scorecard'!B12</f>
        <v>Apr - Jun 17</v>
      </c>
      <c r="W34" s="835" t="s">
        <v>29</v>
      </c>
      <c r="X34" s="1041" t="s">
        <v>502</v>
      </c>
      <c r="Y34" s="606"/>
    </row>
    <row r="35" spans="1:25" ht="15" thickBot="1" x14ac:dyDescent="0.25">
      <c r="A35" s="949"/>
      <c r="B35" s="950"/>
      <c r="C35" s="951"/>
      <c r="D35" s="921"/>
      <c r="E35" s="922"/>
      <c r="F35" s="940"/>
      <c r="G35" s="953"/>
      <c r="H35" s="945"/>
      <c r="I35" s="967"/>
      <c r="J35" s="908"/>
      <c r="K35" s="909"/>
      <c r="L35" s="910"/>
      <c r="M35" s="880"/>
      <c r="N35" s="885"/>
      <c r="O35" s="839"/>
      <c r="P35" s="1044"/>
      <c r="Q35" s="1045"/>
      <c r="R35" s="30">
        <f>'Hospital Scorecard'!B16</f>
        <v>26.56599897269599</v>
      </c>
      <c r="S35" s="30">
        <f>'Hospital Scorecard'!B13</f>
        <v>30.995132582620869</v>
      </c>
      <c r="T35" s="30">
        <f>'Hospital Scorecard'!B14</f>
        <v>25.960431544365587</v>
      </c>
      <c r="U35" s="30">
        <f>'Hospital Scorecard'!B15</f>
        <v>22.590813760386059</v>
      </c>
      <c r="V35" s="933"/>
      <c r="W35" s="836"/>
      <c r="X35" s="1020"/>
      <c r="Y35" s="604"/>
    </row>
    <row r="36" spans="1:25" ht="15" customHeight="1" thickBot="1" x14ac:dyDescent="0.25">
      <c r="A36" s="893" t="s">
        <v>95</v>
      </c>
      <c r="B36" s="894"/>
      <c r="C36" s="895"/>
      <c r="D36" s="921"/>
      <c r="E36" s="85" t="s">
        <v>76</v>
      </c>
      <c r="F36" s="376" t="s">
        <v>113</v>
      </c>
      <c r="G36" s="395" t="s">
        <v>308</v>
      </c>
      <c r="H36" s="391" t="s">
        <v>308</v>
      </c>
      <c r="I36" s="5" t="str">
        <f>'Hospital Scorecard'!B6</f>
        <v>Met</v>
      </c>
      <c r="J36" s="908"/>
      <c r="K36" s="909"/>
      <c r="L36" s="910"/>
      <c r="M36" s="880"/>
      <c r="N36" s="885"/>
      <c r="O36" s="839"/>
      <c r="P36" s="1044"/>
      <c r="Q36" s="1045"/>
      <c r="R36" s="30">
        <f>'Hospital Scorecard'!C16</f>
        <v>48.099786523794251</v>
      </c>
      <c r="S36" s="30">
        <f>'Hospital Scorecard'!C13</f>
        <v>56.019790414963168</v>
      </c>
      <c r="T36" s="30">
        <f>'Hospital Scorecard'!C14</f>
        <v>38.586150492709969</v>
      </c>
      <c r="U36" s="30">
        <f>'Hospital Scorecard'!C15</f>
        <v>51.663065414244208</v>
      </c>
      <c r="V36" s="933"/>
      <c r="W36" s="836"/>
      <c r="X36" s="510" t="s">
        <v>502</v>
      </c>
      <c r="Y36" s="606"/>
    </row>
    <row r="37" spans="1:25" ht="15" customHeight="1" thickBot="1" x14ac:dyDescent="0.25">
      <c r="A37" s="893" t="s">
        <v>96</v>
      </c>
      <c r="B37" s="894"/>
      <c r="C37" s="895"/>
      <c r="D37" s="921"/>
      <c r="E37" s="85" t="s">
        <v>76</v>
      </c>
      <c r="F37" s="376" t="s">
        <v>113</v>
      </c>
      <c r="G37" s="395" t="s">
        <v>308</v>
      </c>
      <c r="H37" s="391" t="s">
        <v>308</v>
      </c>
      <c r="I37" s="5" t="str">
        <f>'Hospital Scorecard'!B6</f>
        <v>Met</v>
      </c>
      <c r="J37" s="908"/>
      <c r="K37" s="909"/>
      <c r="L37" s="910"/>
      <c r="M37" s="880"/>
      <c r="N37" s="885"/>
      <c r="O37" s="839"/>
      <c r="P37" s="1044"/>
      <c r="Q37" s="1045"/>
      <c r="R37" s="30">
        <f>'Hospital Scorecard'!D16</f>
        <v>56.574738035576416</v>
      </c>
      <c r="S37" s="30">
        <f>'Hospital Scorecard'!D13</f>
        <v>59.622715203840215</v>
      </c>
      <c r="T37" s="30">
        <f>'Hospital Scorecard'!D14</f>
        <v>65.858343127074889</v>
      </c>
      <c r="U37" s="30">
        <f>'Hospital Scorecard'!D15</f>
        <v>57.960865813588569</v>
      </c>
      <c r="V37" s="933"/>
      <c r="W37" s="836"/>
      <c r="X37" s="510" t="s">
        <v>502</v>
      </c>
      <c r="Y37" s="606"/>
    </row>
    <row r="38" spans="1:25" ht="15" customHeight="1" thickBot="1" x14ac:dyDescent="0.25">
      <c r="A38" s="893" t="s">
        <v>97</v>
      </c>
      <c r="B38" s="894"/>
      <c r="C38" s="895"/>
      <c r="D38" s="921"/>
      <c r="E38" s="85" t="s">
        <v>76</v>
      </c>
      <c r="F38" s="376" t="s">
        <v>113</v>
      </c>
      <c r="G38" s="395" t="s">
        <v>308</v>
      </c>
      <c r="H38" s="391" t="s">
        <v>308</v>
      </c>
      <c r="I38" s="5" t="str">
        <f>'Hospital Scorecard'!B6</f>
        <v>Met</v>
      </c>
      <c r="J38" s="908"/>
      <c r="K38" s="909"/>
      <c r="L38" s="910"/>
      <c r="M38" s="880"/>
      <c r="N38" s="885"/>
      <c r="O38" s="839"/>
      <c r="P38" s="1044"/>
      <c r="Q38" s="1045"/>
      <c r="R38" s="30">
        <f>'Hospital Scorecard'!E16</f>
        <v>126.21098756867407</v>
      </c>
      <c r="S38" s="30">
        <f>'Hospital Scorecard'!E13</f>
        <v>135.12783170447568</v>
      </c>
      <c r="T38" s="30">
        <f>'Hospital Scorecard'!E14</f>
        <v>140.26673771739854</v>
      </c>
      <c r="U38" s="30">
        <f>'Hospital Scorecard'!E15</f>
        <v>119.8967937463941</v>
      </c>
      <c r="V38" s="933"/>
      <c r="W38" s="836"/>
      <c r="X38" s="510" t="s">
        <v>502</v>
      </c>
      <c r="Y38" s="606"/>
    </row>
    <row r="39" spans="1:25" ht="15" customHeight="1" thickBot="1" x14ac:dyDescent="0.25">
      <c r="A39" s="893" t="s">
        <v>98</v>
      </c>
      <c r="B39" s="894"/>
      <c r="C39" s="895"/>
      <c r="D39" s="921"/>
      <c r="E39" s="85" t="s">
        <v>76</v>
      </c>
      <c r="F39" s="376" t="s">
        <v>113</v>
      </c>
      <c r="G39" s="395" t="s">
        <v>308</v>
      </c>
      <c r="H39" s="391" t="s">
        <v>308</v>
      </c>
      <c r="I39" s="5" t="str">
        <f>'Hospital Scorecard'!B6</f>
        <v>Met</v>
      </c>
      <c r="J39" s="908"/>
      <c r="K39" s="909"/>
      <c r="L39" s="910"/>
      <c r="M39" s="880"/>
      <c r="N39" s="885"/>
      <c r="O39" s="839"/>
      <c r="P39" s="1044"/>
      <c r="Q39" s="1045"/>
      <c r="R39" s="30">
        <f>'Hospital Scorecard'!F16</f>
        <v>0.96222666231706744</v>
      </c>
      <c r="S39" s="30">
        <f>'Hospital Scorecard'!F13</f>
        <v>0.92452334424530502</v>
      </c>
      <c r="T39" s="30">
        <f>'Hospital Scorecard'!F14</f>
        <v>0.81108994256128208</v>
      </c>
      <c r="U39" s="30">
        <f>'Hospital Scorecard'!F15</f>
        <v>1.1159884244559355</v>
      </c>
      <c r="V39" s="933"/>
      <c r="W39" s="836"/>
      <c r="X39" s="510" t="s">
        <v>502</v>
      </c>
      <c r="Y39" s="606"/>
    </row>
    <row r="40" spans="1:25" ht="15" customHeight="1" thickBot="1" x14ac:dyDescent="0.25">
      <c r="A40" s="893" t="s">
        <v>99</v>
      </c>
      <c r="B40" s="894"/>
      <c r="C40" s="895"/>
      <c r="D40" s="921"/>
      <c r="E40" s="85" t="s">
        <v>76</v>
      </c>
      <c r="F40" s="376" t="s">
        <v>113</v>
      </c>
      <c r="G40" s="395" t="s">
        <v>308</v>
      </c>
      <c r="H40" s="391" t="s">
        <v>308</v>
      </c>
      <c r="I40" s="5" t="str">
        <f>'Hospital Scorecard'!B6</f>
        <v>Met</v>
      </c>
      <c r="J40" s="911"/>
      <c r="K40" s="912"/>
      <c r="L40" s="913"/>
      <c r="M40" s="881"/>
      <c r="N40" s="886"/>
      <c r="O40" s="840"/>
      <c r="P40" s="1046"/>
      <c r="Q40" s="1047"/>
      <c r="R40" s="30">
        <f>'Hospital Scorecard'!G16</f>
        <v>1.1106569511659041</v>
      </c>
      <c r="S40" s="30">
        <f>'Hospital Scorecard'!G13</f>
        <v>0.84588489027335967</v>
      </c>
      <c r="T40" s="30">
        <f>'Hospital Scorecard'!G14</f>
        <v>1.3034121274434443</v>
      </c>
      <c r="U40" s="30">
        <f>'Hospital Scorecard'!G15</f>
        <v>1.3158733297704932</v>
      </c>
      <c r="V40" s="936"/>
      <c r="W40" s="837"/>
      <c r="X40" s="510" t="s">
        <v>502</v>
      </c>
      <c r="Y40" s="606"/>
    </row>
    <row r="41" spans="1:25" ht="28.5" customHeight="1" thickBot="1" x14ac:dyDescent="0.25">
      <c r="A41" s="970" t="s">
        <v>174</v>
      </c>
      <c r="B41" s="971"/>
      <c r="C41" s="972"/>
      <c r="D41" s="922"/>
      <c r="E41" s="85" t="s">
        <v>80</v>
      </c>
      <c r="F41" s="376" t="s">
        <v>114</v>
      </c>
      <c r="G41" s="490" t="s">
        <v>280</v>
      </c>
      <c r="H41" s="381">
        <v>42795</v>
      </c>
      <c r="I41" s="45" t="str">
        <f>IF(R41&lt;=P41, "Met", "Not Met")</f>
        <v>Not Met</v>
      </c>
      <c r="J41" s="969" t="str">
        <f>'Sickness Absence'!B6</f>
        <v>Deteriorating</v>
      </c>
      <c r="K41" s="891"/>
      <c r="L41" s="892"/>
      <c r="M41" s="7" t="str">
        <f>'Sickness Absence - Published'!B3</f>
        <v>Better</v>
      </c>
      <c r="N41" s="39" t="str">
        <f>'Sickness Absence - Published'!B4</f>
        <v>2016/17</v>
      </c>
      <c r="O41" s="37"/>
      <c r="P41" s="52">
        <v>0.04</v>
      </c>
      <c r="Q41" s="9" t="s">
        <v>126</v>
      </c>
      <c r="R41" s="1021">
        <f>'Sickness Absence'!B4</f>
        <v>5.3499999999999999E-2</v>
      </c>
      <c r="S41" s="1022"/>
      <c r="T41" s="1022"/>
      <c r="U41" s="1023"/>
      <c r="V41" s="43">
        <f>'Sickness Absence'!B5</f>
        <v>43040</v>
      </c>
      <c r="W41" s="375" t="s">
        <v>28</v>
      </c>
      <c r="X41" s="48" t="s">
        <v>200</v>
      </c>
      <c r="Y41" s="604"/>
    </row>
    <row r="42" spans="1:25" ht="18.75" customHeight="1" thickBot="1" x14ac:dyDescent="0.25">
      <c r="A42" s="917" t="s">
        <v>299</v>
      </c>
      <c r="B42" s="915"/>
      <c r="C42" s="916"/>
      <c r="D42" s="920" t="s">
        <v>100</v>
      </c>
      <c r="E42" s="85" t="s">
        <v>80</v>
      </c>
      <c r="F42" s="376" t="s">
        <v>110</v>
      </c>
      <c r="G42" s="382" t="s">
        <v>309</v>
      </c>
      <c r="H42" s="383" t="s">
        <v>309</v>
      </c>
      <c r="I42" s="5" t="str">
        <f>IF(R42&gt;=P42, "Met", "Not Met")</f>
        <v>Met</v>
      </c>
      <c r="J42" s="890">
        <f>Antenatal!B6</f>
        <v>0</v>
      </c>
      <c r="K42" s="891"/>
      <c r="L42" s="892"/>
      <c r="M42" s="7" t="str">
        <f>'Antenatal - Published'!B3</f>
        <v>Better</v>
      </c>
      <c r="N42" s="39" t="str">
        <f>'Antenatal - Published'!B4</f>
        <v>2015/16</v>
      </c>
      <c r="O42" s="40"/>
      <c r="P42" s="15">
        <v>0.8</v>
      </c>
      <c r="Q42" s="585" t="s">
        <v>701</v>
      </c>
      <c r="R42" s="985">
        <f>Antenatal!B4</f>
        <v>0.89200000000000002</v>
      </c>
      <c r="S42" s="986"/>
      <c r="T42" s="986"/>
      <c r="U42" s="987"/>
      <c r="V42" s="43">
        <f>Antenatal!B5</f>
        <v>43040</v>
      </c>
      <c r="W42" s="375" t="s">
        <v>28</v>
      </c>
      <c r="X42" s="48" t="s">
        <v>86</v>
      </c>
      <c r="Y42" s="604"/>
    </row>
    <row r="43" spans="1:25" ht="18.75" customHeight="1" thickBot="1" x14ac:dyDescent="0.25">
      <c r="A43" s="917" t="s">
        <v>101</v>
      </c>
      <c r="B43" s="915"/>
      <c r="C43" s="916"/>
      <c r="D43" s="922"/>
      <c r="E43" s="85" t="s">
        <v>80</v>
      </c>
      <c r="F43" s="376" t="s">
        <v>110</v>
      </c>
      <c r="G43" s="382" t="s">
        <v>309</v>
      </c>
      <c r="H43" s="383" t="s">
        <v>309</v>
      </c>
      <c r="I43" s="5" t="str">
        <f>IF(R43&gt;=P43, "Met", "Not Met")</f>
        <v>Not Met</v>
      </c>
      <c r="J43" s="890" t="str">
        <f>'Smoking Cessation'!B6</f>
        <v>Deteriorating</v>
      </c>
      <c r="K43" s="891"/>
      <c r="L43" s="892"/>
      <c r="M43" s="7" t="str">
        <f>'Smoking Cessation - Published'!B3</f>
        <v>Worse</v>
      </c>
      <c r="N43" s="39" t="str">
        <f>'Smoking Cessation - Published'!B4</f>
        <v>2016/17</v>
      </c>
      <c r="O43" s="37"/>
      <c r="P43" s="41">
        <v>404</v>
      </c>
      <c r="Q43" s="353" t="s">
        <v>27</v>
      </c>
      <c r="R43" s="991">
        <f>'Smoking Cessation'!B4</f>
        <v>233</v>
      </c>
      <c r="S43" s="992"/>
      <c r="T43" s="992"/>
      <c r="U43" s="993"/>
      <c r="V43" s="43">
        <f>'Smoking Cessation'!B5</f>
        <v>42887</v>
      </c>
      <c r="W43" s="375" t="s">
        <v>29</v>
      </c>
      <c r="X43" s="48" t="s">
        <v>102</v>
      </c>
      <c r="Y43" s="604"/>
    </row>
    <row r="44" spans="1:25" ht="15" customHeight="1" thickBot="1" x14ac:dyDescent="0.25">
      <c r="A44" s="914" t="s">
        <v>538</v>
      </c>
      <c r="B44" s="915"/>
      <c r="C44" s="916"/>
      <c r="D44" s="920" t="s">
        <v>103</v>
      </c>
      <c r="E44" s="85" t="s">
        <v>76</v>
      </c>
      <c r="F44" s="376" t="s">
        <v>110</v>
      </c>
      <c r="G44" s="382" t="s">
        <v>280</v>
      </c>
      <c r="H44" s="384">
        <v>43040</v>
      </c>
      <c r="I44" s="571" t="s">
        <v>702</v>
      </c>
      <c r="J44" s="890" t="str">
        <f>Complaints!B9</f>
        <v>Deteriorating</v>
      </c>
      <c r="K44" s="891"/>
      <c r="L44" s="892"/>
      <c r="M44" s="573" t="str">
        <f>'Complaints - Published'!B5</f>
        <v>TBC</v>
      </c>
      <c r="N44" s="39" t="str">
        <f>'Complaints - Published'!B5</f>
        <v>TBC</v>
      </c>
      <c r="O44" s="37"/>
      <c r="P44" s="571" t="s">
        <v>702</v>
      </c>
      <c r="Q44" s="452" t="s">
        <v>368</v>
      </c>
      <c r="R44" s="985">
        <f>Complaints!B6</f>
        <v>0.70796460176991149</v>
      </c>
      <c r="S44" s="986"/>
      <c r="T44" s="986"/>
      <c r="U44" s="987"/>
      <c r="V44" s="43">
        <f>Complaints!B8</f>
        <v>43040</v>
      </c>
      <c r="W44" s="375" t="s">
        <v>28</v>
      </c>
      <c r="X44" s="48" t="s">
        <v>86</v>
      </c>
      <c r="Y44" s="604"/>
    </row>
    <row r="45" spans="1:25" ht="15.75" customHeight="1" thickBot="1" x14ac:dyDescent="0.25">
      <c r="A45" s="914" t="s">
        <v>533</v>
      </c>
      <c r="B45" s="915"/>
      <c r="C45" s="916"/>
      <c r="D45" s="921"/>
      <c r="E45" s="84" t="s">
        <v>76</v>
      </c>
      <c r="F45" s="376" t="s">
        <v>110</v>
      </c>
      <c r="G45" s="382" t="s">
        <v>280</v>
      </c>
      <c r="H45" s="384">
        <v>43040</v>
      </c>
      <c r="I45" s="571" t="s">
        <v>702</v>
      </c>
      <c r="J45" s="890" t="str">
        <f>Complaints!B10</f>
        <v>Improving</v>
      </c>
      <c r="K45" s="891"/>
      <c r="L45" s="892"/>
      <c r="M45" s="573" t="str">
        <f>'Complaints - Published'!B6</f>
        <v>TBC</v>
      </c>
      <c r="N45" s="39" t="str">
        <f>'Complaints - Published'!B5</f>
        <v>TBC</v>
      </c>
      <c r="O45" s="37"/>
      <c r="P45" s="571" t="s">
        <v>702</v>
      </c>
      <c r="Q45" s="353" t="s">
        <v>368</v>
      </c>
      <c r="R45" s="985">
        <f>Complaints!B7</f>
        <v>0.84541062801932365</v>
      </c>
      <c r="S45" s="986"/>
      <c r="T45" s="986"/>
      <c r="U45" s="987"/>
      <c r="V45" s="43">
        <f>Complaints!B8</f>
        <v>43040</v>
      </c>
      <c r="W45" s="375" t="s">
        <v>28</v>
      </c>
      <c r="X45" s="48" t="s">
        <v>86</v>
      </c>
      <c r="Y45" s="604"/>
    </row>
    <row r="46" spans="1:25" ht="26.25" customHeight="1" thickBot="1" x14ac:dyDescent="0.25">
      <c r="A46" s="917" t="s">
        <v>197</v>
      </c>
      <c r="B46" s="915"/>
      <c r="C46" s="916"/>
      <c r="D46" s="921"/>
      <c r="E46" s="84" t="s">
        <v>80</v>
      </c>
      <c r="F46" s="376" t="s">
        <v>110</v>
      </c>
      <c r="G46" s="382" t="s">
        <v>282</v>
      </c>
      <c r="H46" s="384">
        <v>42675</v>
      </c>
      <c r="I46" s="45" t="str">
        <f>IF(R46&gt;=P46, "Met", "Not Met")</f>
        <v>Not Met</v>
      </c>
      <c r="J46" s="890" t="str">
        <f>DCE!B6</f>
        <v>Improving</v>
      </c>
      <c r="K46" s="891"/>
      <c r="L46" s="892"/>
      <c r="M46" s="7" t="str">
        <f>DCE!B8</f>
        <v>Better</v>
      </c>
      <c r="N46" s="853" t="str">
        <f>DCE!B9</f>
        <v>2014 &amp; 2015 (Combined Calendar Years)</v>
      </c>
      <c r="O46" s="854"/>
      <c r="P46" s="12">
        <v>0.28999999999999998</v>
      </c>
      <c r="Q46" s="9" t="s">
        <v>125</v>
      </c>
      <c r="R46" s="985">
        <f>DCE!B4</f>
        <v>0.26900000000000002</v>
      </c>
      <c r="S46" s="986"/>
      <c r="T46" s="986"/>
      <c r="U46" s="987"/>
      <c r="V46" s="833" t="str">
        <f>DCE!B5</f>
        <v>2015 &amp; 2016 (Combined Calendar Years)</v>
      </c>
      <c r="W46" s="834"/>
      <c r="X46" s="48" t="s">
        <v>102</v>
      </c>
      <c r="Y46" s="604"/>
    </row>
    <row r="47" spans="1:25" ht="15.75" customHeight="1" thickBot="1" x14ac:dyDescent="0.25">
      <c r="A47" s="917" t="s">
        <v>106</v>
      </c>
      <c r="B47" s="915"/>
      <c r="C47" s="916"/>
      <c r="D47" s="921"/>
      <c r="E47" s="84" t="s">
        <v>80</v>
      </c>
      <c r="F47" s="376" t="s">
        <v>110</v>
      </c>
      <c r="G47" s="968" t="s">
        <v>279</v>
      </c>
      <c r="H47" s="968" t="s">
        <v>279</v>
      </c>
      <c r="I47" s="572" t="s">
        <v>542</v>
      </c>
      <c r="J47" s="973" t="str">
        <f>Dementia!B6</f>
        <v>Not Applicable</v>
      </c>
      <c r="K47" s="974"/>
      <c r="L47" s="975"/>
      <c r="M47" s="850" t="str">
        <f>'Dementia - Published'!B7</f>
        <v>Part 1: Worse</v>
      </c>
      <c r="N47" s="1032" t="str">
        <f>'Dementia - Published'!B5</f>
        <v>2014/15</v>
      </c>
      <c r="O47" s="1033"/>
      <c r="P47" s="864" t="s">
        <v>542</v>
      </c>
      <c r="Q47" s="867" t="s">
        <v>14</v>
      </c>
      <c r="R47" s="1026" t="s">
        <v>242</v>
      </c>
      <c r="S47" s="1024">
        <f>'Dementia - Published'!B3</f>
        <v>0.25470514429109159</v>
      </c>
      <c r="T47" s="1024"/>
      <c r="U47" s="1025"/>
      <c r="V47" s="830" t="str">
        <f>'Dementia - Published'!B5</f>
        <v>2014/15</v>
      </c>
      <c r="W47" s="835" t="s">
        <v>244</v>
      </c>
      <c r="X47" s="48" t="s">
        <v>85</v>
      </c>
      <c r="Y47" s="604"/>
    </row>
    <row r="48" spans="1:25" ht="15.75" customHeight="1" thickBot="1" x14ac:dyDescent="0.25">
      <c r="A48" s="917" t="s">
        <v>107</v>
      </c>
      <c r="B48" s="915"/>
      <c r="C48" s="916"/>
      <c r="D48" s="921"/>
      <c r="E48" s="84" t="s">
        <v>80</v>
      </c>
      <c r="F48" s="376" t="s">
        <v>110</v>
      </c>
      <c r="G48" s="928"/>
      <c r="H48" s="928"/>
      <c r="I48" s="572" t="s">
        <v>542</v>
      </c>
      <c r="J48" s="976"/>
      <c r="K48" s="977"/>
      <c r="L48" s="978"/>
      <c r="M48" s="851"/>
      <c r="N48" s="1034"/>
      <c r="O48" s="1035"/>
      <c r="P48" s="865"/>
      <c r="Q48" s="868"/>
      <c r="R48" s="855"/>
      <c r="S48" s="857"/>
      <c r="T48" s="857"/>
      <c r="U48" s="858"/>
      <c r="V48" s="831"/>
      <c r="W48" s="836"/>
      <c r="X48" s="510" t="s">
        <v>703</v>
      </c>
      <c r="Y48" s="604"/>
    </row>
    <row r="49" spans="1:25" ht="15.75" customHeight="1" thickBot="1" x14ac:dyDescent="0.25">
      <c r="A49" s="917" t="s">
        <v>109</v>
      </c>
      <c r="B49" s="915"/>
      <c r="C49" s="916"/>
      <c r="D49" s="921"/>
      <c r="E49" s="84" t="s">
        <v>80</v>
      </c>
      <c r="F49" s="376" t="s">
        <v>110</v>
      </c>
      <c r="G49" s="928"/>
      <c r="H49" s="928"/>
      <c r="I49" s="572" t="s">
        <v>542</v>
      </c>
      <c r="J49" s="976"/>
      <c r="K49" s="977"/>
      <c r="L49" s="978"/>
      <c r="M49" s="851" t="str">
        <f>'Dementia - Published'!B8</f>
        <v>Part 2: Worse</v>
      </c>
      <c r="N49" s="1034"/>
      <c r="O49" s="1035"/>
      <c r="P49" s="865"/>
      <c r="Q49" s="868"/>
      <c r="R49" s="855" t="s">
        <v>243</v>
      </c>
      <c r="S49" s="857">
        <f>'Dementia - Published'!B4</f>
        <v>0.64344941956882251</v>
      </c>
      <c r="T49" s="857"/>
      <c r="U49" s="858"/>
      <c r="V49" s="831"/>
      <c r="W49" s="836"/>
      <c r="X49" s="48" t="s">
        <v>91</v>
      </c>
      <c r="Y49" s="604"/>
    </row>
    <row r="50" spans="1:25" ht="15.75" customHeight="1" thickBot="1" x14ac:dyDescent="0.25">
      <c r="A50" s="917" t="s">
        <v>108</v>
      </c>
      <c r="B50" s="915"/>
      <c r="C50" s="916"/>
      <c r="D50" s="921"/>
      <c r="E50" s="84" t="s">
        <v>80</v>
      </c>
      <c r="F50" s="376" t="s">
        <v>110</v>
      </c>
      <c r="G50" s="929"/>
      <c r="H50" s="929"/>
      <c r="I50" s="572" t="s">
        <v>542</v>
      </c>
      <c r="J50" s="979"/>
      <c r="K50" s="980"/>
      <c r="L50" s="981"/>
      <c r="M50" s="852"/>
      <c r="N50" s="1036"/>
      <c r="O50" s="1037"/>
      <c r="P50" s="866"/>
      <c r="Q50" s="869"/>
      <c r="R50" s="856"/>
      <c r="S50" s="859"/>
      <c r="T50" s="859"/>
      <c r="U50" s="860"/>
      <c r="V50" s="832"/>
      <c r="W50" s="837"/>
      <c r="X50" s="48" t="s">
        <v>87</v>
      </c>
      <c r="Y50" s="604"/>
    </row>
    <row r="51" spans="1:25" ht="15.75" customHeight="1" thickBot="1" x14ac:dyDescent="0.25">
      <c r="A51" s="902" t="s">
        <v>10</v>
      </c>
      <c r="B51" s="903"/>
      <c r="C51" s="904"/>
      <c r="D51" s="922"/>
      <c r="E51" s="84" t="s">
        <v>76</v>
      </c>
      <c r="F51" s="376" t="s">
        <v>110</v>
      </c>
      <c r="G51" s="382" t="s">
        <v>280</v>
      </c>
      <c r="H51" s="384">
        <v>43040</v>
      </c>
      <c r="I51" s="45" t="str">
        <f>IF(R51&gt;=P51, "Met", "Not Met")</f>
        <v>Not Met</v>
      </c>
      <c r="J51" s="890" t="str">
        <f>'Patient Experience'!B6</f>
        <v>Deteriorating</v>
      </c>
      <c r="K51" s="891"/>
      <c r="L51" s="892"/>
      <c r="M51" s="42" t="str">
        <f>'Patient Experience'!B8</f>
        <v>Not Applicable</v>
      </c>
      <c r="N51" s="853" t="str">
        <f>'Patient Experience'!B9</f>
        <v>Not Applicable</v>
      </c>
      <c r="O51" s="854"/>
      <c r="P51" s="44">
        <v>9</v>
      </c>
      <c r="Q51" s="8" t="s">
        <v>127</v>
      </c>
      <c r="R51" s="982">
        <f>'Patient Experience'!B4</f>
        <v>8.8000000000000007</v>
      </c>
      <c r="S51" s="983"/>
      <c r="T51" s="983"/>
      <c r="U51" s="984"/>
      <c r="V51" s="43">
        <f>'Patient Experience'!B5</f>
        <v>43040</v>
      </c>
      <c r="W51" s="375" t="s">
        <v>28</v>
      </c>
      <c r="X51" s="48" t="s">
        <v>86</v>
      </c>
      <c r="Y51" s="604"/>
    </row>
    <row r="52" spans="1:25" x14ac:dyDescent="0.2">
      <c r="A52" s="581" t="s">
        <v>255</v>
      </c>
      <c r="B52" s="17"/>
      <c r="C52" s="17"/>
      <c r="D52" s="18"/>
      <c r="E52" s="19"/>
      <c r="F52" s="18"/>
      <c r="G52" s="16"/>
      <c r="H52" s="16"/>
      <c r="I52" s="16"/>
      <c r="J52" s="435"/>
      <c r="K52" s="435"/>
      <c r="L52" s="435"/>
      <c r="M52" s="16"/>
      <c r="N52" s="16"/>
      <c r="O52" s="16"/>
      <c r="P52" s="16"/>
      <c r="Q52" s="16"/>
      <c r="R52" s="16"/>
      <c r="S52" s="16"/>
      <c r="T52" s="16"/>
      <c r="U52" s="16"/>
      <c r="V52" s="16"/>
      <c r="W52" s="16"/>
      <c r="X52" s="16"/>
    </row>
    <row r="53" spans="1:25" x14ac:dyDescent="0.2">
      <c r="A53" s="582" t="s">
        <v>545</v>
      </c>
      <c r="B53" s="6"/>
      <c r="C53" s="17"/>
      <c r="D53" s="18"/>
      <c r="E53" s="19"/>
      <c r="F53" s="18"/>
      <c r="G53" s="16"/>
      <c r="H53" s="16"/>
      <c r="I53" s="16"/>
      <c r="J53" s="435"/>
      <c r="K53" s="435"/>
      <c r="L53" s="435"/>
      <c r="M53" s="16"/>
      <c r="N53" s="16"/>
      <c r="O53" s="16"/>
      <c r="P53" s="16"/>
      <c r="Q53" s="16"/>
      <c r="R53" s="16"/>
      <c r="S53" s="16"/>
      <c r="T53" s="16"/>
      <c r="U53" s="16"/>
      <c r="V53" s="16"/>
      <c r="W53" s="16"/>
      <c r="X53" s="16"/>
    </row>
    <row r="54" spans="1:25" x14ac:dyDescent="0.2">
      <c r="A54" s="582" t="s">
        <v>546</v>
      </c>
      <c r="B54" s="584" t="s">
        <v>540</v>
      </c>
      <c r="C54" s="17"/>
      <c r="D54" s="18"/>
      <c r="E54" s="19"/>
      <c r="F54" s="18"/>
      <c r="G54" s="16"/>
      <c r="H54" s="16"/>
      <c r="I54" s="16"/>
      <c r="J54" s="435"/>
      <c r="K54" s="435"/>
      <c r="L54" s="435"/>
      <c r="M54" s="16"/>
      <c r="N54" s="16"/>
      <c r="O54" s="16"/>
      <c r="P54" s="16"/>
      <c r="Q54" s="16"/>
      <c r="R54" s="16"/>
      <c r="S54" s="16"/>
      <c r="T54" s="16"/>
      <c r="U54" s="16"/>
      <c r="V54" s="16"/>
      <c r="W54" s="16"/>
      <c r="X54" s="16"/>
    </row>
    <row r="55" spans="1:25" x14ac:dyDescent="0.2">
      <c r="A55" s="582" t="s">
        <v>547</v>
      </c>
      <c r="B55" s="17"/>
      <c r="C55" s="17"/>
      <c r="D55" s="18"/>
      <c r="E55" s="19"/>
      <c r="F55" s="18"/>
      <c r="G55" s="16"/>
      <c r="H55" s="16"/>
      <c r="I55" s="16"/>
      <c r="J55" s="435"/>
      <c r="K55" s="435"/>
      <c r="L55" s="435"/>
      <c r="M55" s="16"/>
      <c r="N55" s="16"/>
      <c r="O55" s="16"/>
      <c r="P55" s="16"/>
      <c r="Q55" s="16"/>
      <c r="R55" s="16"/>
      <c r="S55" s="16"/>
      <c r="T55" s="16"/>
      <c r="U55" s="16"/>
      <c r="V55" s="16"/>
      <c r="W55" s="16"/>
      <c r="X55" s="16"/>
    </row>
    <row r="56" spans="1:25" x14ac:dyDescent="0.2">
      <c r="A56" s="582" t="s">
        <v>548</v>
      </c>
      <c r="B56" s="17"/>
      <c r="C56" s="17"/>
      <c r="D56" s="18"/>
      <c r="E56" s="19"/>
      <c r="F56" s="18"/>
      <c r="G56" s="16"/>
      <c r="H56" s="16"/>
      <c r="I56" s="16"/>
      <c r="J56" s="435"/>
      <c r="K56" s="435"/>
      <c r="L56" s="435"/>
      <c r="M56" s="16"/>
      <c r="N56" s="16"/>
      <c r="O56" s="16"/>
      <c r="P56" s="16"/>
      <c r="Q56" s="16"/>
      <c r="R56" s="16"/>
      <c r="S56" s="16"/>
      <c r="T56" s="16"/>
      <c r="U56" s="16"/>
      <c r="V56" s="16"/>
      <c r="W56" s="16"/>
      <c r="X56" s="16"/>
    </row>
    <row r="57" spans="1:25" x14ac:dyDescent="0.2">
      <c r="A57" s="582" t="s">
        <v>549</v>
      </c>
      <c r="B57" s="17"/>
      <c r="C57" s="17"/>
      <c r="D57" s="18"/>
      <c r="E57" s="19"/>
      <c r="F57" s="18"/>
      <c r="G57" s="16"/>
      <c r="H57" s="16"/>
      <c r="I57" s="16"/>
      <c r="J57" s="435"/>
      <c r="K57" s="435"/>
      <c r="L57" s="435"/>
      <c r="M57" s="16"/>
      <c r="N57" s="16"/>
      <c r="O57" s="16"/>
      <c r="P57" s="16"/>
      <c r="Q57" s="16"/>
      <c r="R57" s="16"/>
      <c r="S57" s="16"/>
      <c r="T57" s="16"/>
      <c r="U57" s="16"/>
      <c r="V57" s="16"/>
      <c r="W57" s="16"/>
      <c r="X57" s="16"/>
    </row>
    <row r="58" spans="1:25" x14ac:dyDescent="0.2">
      <c r="A58" s="582" t="s">
        <v>550</v>
      </c>
      <c r="B58" s="17"/>
      <c r="C58" s="17"/>
      <c r="D58" s="18"/>
      <c r="E58" s="19"/>
      <c r="F58" s="18"/>
      <c r="G58" s="16"/>
      <c r="H58" s="16"/>
      <c r="I58" s="16"/>
      <c r="J58" s="435"/>
      <c r="K58" s="435"/>
      <c r="L58" s="435"/>
      <c r="M58" s="16"/>
      <c r="N58" s="16"/>
      <c r="O58" s="16"/>
      <c r="P58" s="16"/>
      <c r="Q58" s="16"/>
      <c r="R58" s="16"/>
      <c r="S58" s="16"/>
      <c r="T58" s="16"/>
      <c r="U58" s="16"/>
      <c r="V58" s="16"/>
      <c r="W58" s="16"/>
      <c r="X58" s="16"/>
    </row>
    <row r="59" spans="1:25" x14ac:dyDescent="0.2">
      <c r="A59" s="582" t="s">
        <v>551</v>
      </c>
      <c r="B59" s="17"/>
      <c r="C59" s="17"/>
      <c r="D59" s="18"/>
      <c r="E59" s="19"/>
      <c r="F59" s="18"/>
      <c r="G59" s="16"/>
      <c r="H59" s="16"/>
      <c r="I59" s="16"/>
      <c r="J59" s="435"/>
      <c r="K59" s="435"/>
      <c r="L59" s="435"/>
      <c r="M59" s="16"/>
      <c r="N59" s="16"/>
      <c r="O59" s="16"/>
      <c r="P59" s="16"/>
      <c r="Q59" s="16"/>
      <c r="R59" s="16"/>
      <c r="S59" s="16"/>
      <c r="T59" s="16"/>
      <c r="U59" s="16"/>
      <c r="V59" s="16"/>
      <c r="W59" s="16"/>
      <c r="X59" s="16"/>
    </row>
    <row r="60" spans="1:25" x14ac:dyDescent="0.2">
      <c r="A60" s="582" t="s">
        <v>552</v>
      </c>
      <c r="B60" s="6"/>
      <c r="C60" s="17"/>
      <c r="D60" s="18"/>
      <c r="E60" s="16"/>
      <c r="F60" s="18"/>
      <c r="G60" s="16"/>
      <c r="H60" s="16"/>
      <c r="I60" s="16"/>
      <c r="J60" s="435"/>
      <c r="K60" s="435"/>
      <c r="L60" s="435"/>
      <c r="M60" s="16"/>
      <c r="N60" s="16"/>
      <c r="O60" s="16"/>
      <c r="P60" s="16"/>
      <c r="Q60" s="16"/>
      <c r="R60" s="16"/>
      <c r="S60" s="16"/>
      <c r="T60" s="16"/>
      <c r="U60" s="16"/>
      <c r="V60" s="16"/>
      <c r="W60" s="16"/>
      <c r="X60" s="16"/>
    </row>
    <row r="61" spans="1:25" x14ac:dyDescent="0.2">
      <c r="A61" s="582" t="s">
        <v>698</v>
      </c>
      <c r="B61" s="17"/>
      <c r="C61" s="584" t="s">
        <v>543</v>
      </c>
      <c r="D61" s="18"/>
      <c r="E61" s="19"/>
      <c r="F61" s="18"/>
      <c r="G61" s="16"/>
      <c r="H61" s="16"/>
      <c r="I61" s="16"/>
      <c r="J61" s="435"/>
      <c r="K61" s="435"/>
      <c r="L61" s="435"/>
      <c r="M61" s="16"/>
      <c r="N61" s="16"/>
      <c r="O61" s="16"/>
      <c r="P61" s="16"/>
      <c r="Q61" s="16"/>
      <c r="R61" s="16"/>
      <c r="S61" s="16"/>
      <c r="T61" s="16"/>
      <c r="U61" s="16"/>
      <c r="V61" s="16"/>
      <c r="W61" s="16"/>
      <c r="X61" s="16"/>
    </row>
    <row r="62" spans="1:25" x14ac:dyDescent="0.2">
      <c r="A62" s="582" t="s">
        <v>699</v>
      </c>
      <c r="B62" s="587"/>
      <c r="C62" s="587"/>
      <c r="D62" s="588"/>
      <c r="E62" s="589"/>
      <c r="F62" s="588"/>
      <c r="G62" s="93"/>
      <c r="H62" s="93"/>
      <c r="I62" s="93"/>
      <c r="J62" s="590"/>
      <c r="K62" s="590"/>
      <c r="L62" s="590"/>
      <c r="M62" s="93"/>
      <c r="N62" s="93"/>
      <c r="O62" s="93"/>
      <c r="P62" s="93"/>
      <c r="Q62" s="93"/>
      <c r="R62" s="93"/>
      <c r="S62" s="93"/>
      <c r="T62" s="477"/>
      <c r="U62" s="477"/>
      <c r="V62" s="477"/>
      <c r="W62" s="477"/>
      <c r="X62" s="477"/>
    </row>
    <row r="63" spans="1:25" x14ac:dyDescent="0.2">
      <c r="A63" s="586" t="s">
        <v>700</v>
      </c>
      <c r="B63" s="477"/>
      <c r="C63" s="477"/>
      <c r="D63" s="592"/>
      <c r="E63" s="477"/>
      <c r="F63" s="592"/>
      <c r="G63" s="593"/>
      <c r="H63" s="477"/>
      <c r="I63" s="477"/>
      <c r="J63" s="583"/>
      <c r="K63" s="583"/>
      <c r="L63" s="583"/>
      <c r="M63" s="477"/>
      <c r="N63" s="477"/>
      <c r="O63" s="477"/>
      <c r="P63" s="477"/>
      <c r="Q63" s="477"/>
      <c r="R63" s="477"/>
      <c r="S63" s="477"/>
      <c r="T63" s="477"/>
      <c r="U63" s="477"/>
      <c r="V63" s="477"/>
      <c r="W63" s="477"/>
      <c r="X63" s="477"/>
    </row>
    <row r="64" spans="1:25" x14ac:dyDescent="0.2">
      <c r="A64" s="591" t="s">
        <v>544</v>
      </c>
      <c r="B64" s="477"/>
      <c r="C64" s="477"/>
      <c r="D64" s="592"/>
      <c r="E64" s="477"/>
      <c r="F64" s="592"/>
      <c r="G64" s="477"/>
      <c r="H64" s="477"/>
      <c r="I64" s="477"/>
      <c r="J64" s="583"/>
      <c r="K64" s="583"/>
      <c r="L64" s="583"/>
      <c r="M64" s="477"/>
      <c r="N64" s="477"/>
      <c r="O64" s="477"/>
      <c r="P64" s="477"/>
      <c r="Q64" s="477"/>
      <c r="R64" s="477"/>
      <c r="S64" s="477"/>
      <c r="T64" s="477"/>
      <c r="U64" s="477"/>
      <c r="V64" s="477"/>
      <c r="W64" s="477"/>
      <c r="X64" s="477"/>
    </row>
  </sheetData>
  <mergeCells count="188">
    <mergeCell ref="W34:W40"/>
    <mergeCell ref="V17:V19"/>
    <mergeCell ref="W8:W9"/>
    <mergeCell ref="W17:W19"/>
    <mergeCell ref="X8:X9"/>
    <mergeCell ref="V20:V22"/>
    <mergeCell ref="W20:W22"/>
    <mergeCell ref="V34:V40"/>
    <mergeCell ref="J3:L3"/>
    <mergeCell ref="R29:U29"/>
    <mergeCell ref="R10:U10"/>
    <mergeCell ref="R11:U11"/>
    <mergeCell ref="P13:Q13"/>
    <mergeCell ref="J25:L25"/>
    <mergeCell ref="R28:U28"/>
    <mergeCell ref="J4:L4"/>
    <mergeCell ref="R3:U3"/>
    <mergeCell ref="N5:O5"/>
    <mergeCell ref="M17:M19"/>
    <mergeCell ref="R12:U12"/>
    <mergeCell ref="J5:L5"/>
    <mergeCell ref="J6:L6"/>
    <mergeCell ref="J7:L7"/>
    <mergeCell ref="N3:O3"/>
    <mergeCell ref="N4:O4"/>
    <mergeCell ref="J8:L9"/>
    <mergeCell ref="M8:M9"/>
    <mergeCell ref="J24:L24"/>
    <mergeCell ref="T23:U23"/>
    <mergeCell ref="R23:S23"/>
    <mergeCell ref="T25:U25"/>
    <mergeCell ref="R25:S25"/>
    <mergeCell ref="V3:W3"/>
    <mergeCell ref="P3:Q3"/>
    <mergeCell ref="Q8:Q9"/>
    <mergeCell ref="N8:O9"/>
    <mergeCell ref="R17:U19"/>
    <mergeCell ref="X17:X19"/>
    <mergeCell ref="R41:U41"/>
    <mergeCell ref="R42:U42"/>
    <mergeCell ref="S47:U48"/>
    <mergeCell ref="R47:R48"/>
    <mergeCell ref="W30:W33"/>
    <mergeCell ref="V8:V9"/>
    <mergeCell ref="R16:U16"/>
    <mergeCell ref="R13:U13"/>
    <mergeCell ref="V30:V33"/>
    <mergeCell ref="P8:P9"/>
    <mergeCell ref="N47:O50"/>
    <mergeCell ref="P17:P19"/>
    <mergeCell ref="N17:N19"/>
    <mergeCell ref="O17:O19"/>
    <mergeCell ref="X34:X35"/>
    <mergeCell ref="P30:P33"/>
    <mergeCell ref="P34:Q40"/>
    <mergeCell ref="N29:O29"/>
    <mergeCell ref="I8:I9"/>
    <mergeCell ref="J10:L10"/>
    <mergeCell ref="J11:L11"/>
    <mergeCell ref="J12:L12"/>
    <mergeCell ref="R51:U51"/>
    <mergeCell ref="R45:U45"/>
    <mergeCell ref="R44:U44"/>
    <mergeCell ref="R26:U26"/>
    <mergeCell ref="R46:U46"/>
    <mergeCell ref="R43:U43"/>
    <mergeCell ref="R30:U33"/>
    <mergeCell ref="R15:U15"/>
    <mergeCell ref="Q17:Q19"/>
    <mergeCell ref="R14:U14"/>
    <mergeCell ref="R27:U27"/>
    <mergeCell ref="J16:L16"/>
    <mergeCell ref="J14:L14"/>
    <mergeCell ref="J15:L15"/>
    <mergeCell ref="I17:I19"/>
    <mergeCell ref="J13:L13"/>
    <mergeCell ref="J44:L44"/>
    <mergeCell ref="R24:U24"/>
    <mergeCell ref="J28:L28"/>
    <mergeCell ref="J17:L19"/>
    <mergeCell ref="A42:C42"/>
    <mergeCell ref="J45:L45"/>
    <mergeCell ref="I34:I35"/>
    <mergeCell ref="J51:L51"/>
    <mergeCell ref="A51:C51"/>
    <mergeCell ref="J42:L42"/>
    <mergeCell ref="A43:C43"/>
    <mergeCell ref="J46:L46"/>
    <mergeCell ref="D44:D51"/>
    <mergeCell ref="A44:C44"/>
    <mergeCell ref="H47:H50"/>
    <mergeCell ref="J41:L41"/>
    <mergeCell ref="A45:C45"/>
    <mergeCell ref="A50:C50"/>
    <mergeCell ref="A48:C48"/>
    <mergeCell ref="D42:D43"/>
    <mergeCell ref="A49:C49"/>
    <mergeCell ref="A46:C46"/>
    <mergeCell ref="A41:C41"/>
    <mergeCell ref="A47:C47"/>
    <mergeCell ref="A36:C36"/>
    <mergeCell ref="G47:G50"/>
    <mergeCell ref="J47:L50"/>
    <mergeCell ref="J43:L43"/>
    <mergeCell ref="A3:C3"/>
    <mergeCell ref="A5:C5"/>
    <mergeCell ref="A23:C23"/>
    <mergeCell ref="A8:C9"/>
    <mergeCell ref="A15:C15"/>
    <mergeCell ref="A24:C24"/>
    <mergeCell ref="G8:G9"/>
    <mergeCell ref="H8:H9"/>
    <mergeCell ref="A17:C17"/>
    <mergeCell ref="D4:D9"/>
    <mergeCell ref="E8:E9"/>
    <mergeCell ref="F8:F9"/>
    <mergeCell ref="A22:C22"/>
    <mergeCell ref="A20:C20"/>
    <mergeCell ref="A21:C21"/>
    <mergeCell ref="A4:C4"/>
    <mergeCell ref="A7:C7"/>
    <mergeCell ref="A12:C12"/>
    <mergeCell ref="A11:C11"/>
    <mergeCell ref="A10:C10"/>
    <mergeCell ref="A13:C13"/>
    <mergeCell ref="A6:C6"/>
    <mergeCell ref="A14:C14"/>
    <mergeCell ref="A16:C16"/>
    <mergeCell ref="H30:H33"/>
    <mergeCell ref="J34:L40"/>
    <mergeCell ref="A34:C35"/>
    <mergeCell ref="D30:D33"/>
    <mergeCell ref="A38:C38"/>
    <mergeCell ref="E34:E35"/>
    <mergeCell ref="D34:D41"/>
    <mergeCell ref="A40:C40"/>
    <mergeCell ref="A30:C30"/>
    <mergeCell ref="A31:C31"/>
    <mergeCell ref="I30:I33"/>
    <mergeCell ref="G34:G35"/>
    <mergeCell ref="A32:C32"/>
    <mergeCell ref="J23:L23"/>
    <mergeCell ref="J29:L29"/>
    <mergeCell ref="A39:C39"/>
    <mergeCell ref="O20:O22"/>
    <mergeCell ref="A27:C27"/>
    <mergeCell ref="A33:C33"/>
    <mergeCell ref="J30:L33"/>
    <mergeCell ref="A18:C18"/>
    <mergeCell ref="A19:C19"/>
    <mergeCell ref="A26:C26"/>
    <mergeCell ref="A25:C25"/>
    <mergeCell ref="A29:C29"/>
    <mergeCell ref="D10:D29"/>
    <mergeCell ref="J26:L26"/>
    <mergeCell ref="J27:L27"/>
    <mergeCell ref="G20:G22"/>
    <mergeCell ref="H20:H22"/>
    <mergeCell ref="I20:I22"/>
    <mergeCell ref="J20:L22"/>
    <mergeCell ref="F34:F35"/>
    <mergeCell ref="G30:G33"/>
    <mergeCell ref="H34:H35"/>
    <mergeCell ref="A37:C37"/>
    <mergeCell ref="A28:C28"/>
    <mergeCell ref="V47:V50"/>
    <mergeCell ref="V46:W46"/>
    <mergeCell ref="W47:W50"/>
    <mergeCell ref="Q20:Q22"/>
    <mergeCell ref="R20:U22"/>
    <mergeCell ref="M47:M48"/>
    <mergeCell ref="M49:M50"/>
    <mergeCell ref="N51:O51"/>
    <mergeCell ref="N46:O46"/>
    <mergeCell ref="R49:R50"/>
    <mergeCell ref="S49:U50"/>
    <mergeCell ref="Q30:Q33"/>
    <mergeCell ref="P47:P50"/>
    <mergeCell ref="Q47:Q50"/>
    <mergeCell ref="M30:M33"/>
    <mergeCell ref="M20:M22"/>
    <mergeCell ref="N20:N22"/>
    <mergeCell ref="P20:P22"/>
    <mergeCell ref="M34:M40"/>
    <mergeCell ref="N28:O28"/>
    <mergeCell ref="N34:O40"/>
    <mergeCell ref="N30:N33"/>
    <mergeCell ref="O30:O33"/>
  </mergeCells>
  <phoneticPr fontId="0" type="noConversion"/>
  <conditionalFormatting sqref="I4:I20 I23:I43 I46:I51">
    <cfRule type="cellIs" dxfId="27" priority="19" stopIfTrue="1" operator="equal">
      <formula>"Met"</formula>
    </cfRule>
    <cfRule type="cellIs" dxfId="26" priority="20" stopIfTrue="1" operator="equal">
      <formula>"Not Met"</formula>
    </cfRule>
  </conditionalFormatting>
  <conditionalFormatting sqref="J23:L51 J4:L19 J20">
    <cfRule type="cellIs" dxfId="25" priority="18" stopIfTrue="1" operator="equal">
      <formula>0</formula>
    </cfRule>
  </conditionalFormatting>
  <conditionalFormatting sqref="M23:M47 M4:M20 M49 M51">
    <cfRule type="cellIs" dxfId="24" priority="15" stopIfTrue="1" operator="equal">
      <formula>"Not Applicable"</formula>
    </cfRule>
    <cfRule type="cellIs" dxfId="23" priority="16" stopIfTrue="1" operator="equal">
      <formula>"Worse"</formula>
    </cfRule>
    <cfRule type="cellIs" dxfId="22" priority="17" stopIfTrue="1" operator="equal">
      <formula>"Better"</formula>
    </cfRule>
  </conditionalFormatting>
  <hyperlinks>
    <hyperlink ref="A1" location="Content!A1" display="Return to Contents"/>
    <hyperlink ref="B54" r:id="rId1"/>
    <hyperlink ref="A64" r:id="rId2"/>
    <hyperlink ref="C61" r:id="rId3"/>
  </hyperlinks>
  <pageMargins left="0.70866141732283472" right="0.70866141732283472" top="0.74803149606299213" bottom="0.74803149606299213" header="0.31496062992125984" footer="0.31496062992125984"/>
  <pageSetup paperSize="8" scale="37" orientation="landscape" r:id="rId4"/>
  <ignoredErrors>
    <ignoredError sqref="I13 I2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N18"/>
  <sheetViews>
    <sheetView workbookViewId="0"/>
  </sheetViews>
  <sheetFormatPr defaultColWidth="9.140625" defaultRowHeight="12.75" x14ac:dyDescent="0.2"/>
  <cols>
    <col min="1" max="1" width="21.28515625" style="107" customWidth="1"/>
    <col min="2" max="2" width="31.5703125" style="107" customWidth="1"/>
    <col min="3" max="3" width="25.140625" style="107" bestFit="1" customWidth="1"/>
    <col min="4" max="4" width="26.42578125" style="107" bestFit="1" customWidth="1"/>
    <col min="5" max="5" width="7.42578125" style="107" bestFit="1" customWidth="1"/>
    <col min="6" max="6" width="21.85546875" style="107" bestFit="1" customWidth="1"/>
    <col min="7" max="7" width="22.5703125" style="107" bestFit="1" customWidth="1"/>
    <col min="8" max="8" width="15.28515625" style="107" customWidth="1"/>
    <col min="9" max="16384" width="9.140625" style="107"/>
  </cols>
  <sheetData>
    <row r="1" spans="1:14" x14ac:dyDescent="0.2">
      <c r="A1" s="106" t="s">
        <v>345</v>
      </c>
      <c r="B1" s="214"/>
    </row>
    <row r="2" spans="1:14" x14ac:dyDescent="0.2">
      <c r="A2" s="106"/>
      <c r="B2" s="214"/>
    </row>
    <row r="3" spans="1:14" x14ac:dyDescent="0.2">
      <c r="A3" s="108" t="s">
        <v>240</v>
      </c>
      <c r="B3" s="344">
        <f>D12</f>
        <v>0.25470514429109159</v>
      </c>
      <c r="C3" s="112"/>
      <c r="N3" s="215"/>
    </row>
    <row r="4" spans="1:14" x14ac:dyDescent="0.2">
      <c r="A4" s="108" t="s">
        <v>241</v>
      </c>
      <c r="B4" s="344">
        <f>H12</f>
        <v>0.64344941956882251</v>
      </c>
      <c r="C4" s="112"/>
    </row>
    <row r="5" spans="1:14" x14ac:dyDescent="0.2">
      <c r="A5" s="108" t="s">
        <v>144</v>
      </c>
      <c r="B5" s="128" t="s">
        <v>128</v>
      </c>
      <c r="C5" s="112"/>
    </row>
    <row r="6" spans="1:14" x14ac:dyDescent="0.2">
      <c r="A6" s="108" t="s">
        <v>438</v>
      </c>
      <c r="B6" s="129" t="s">
        <v>302</v>
      </c>
      <c r="C6" s="112"/>
    </row>
    <row r="7" spans="1:14" x14ac:dyDescent="0.2">
      <c r="A7" s="127" t="s">
        <v>715</v>
      </c>
      <c r="B7" s="745" t="s">
        <v>696</v>
      </c>
      <c r="C7" s="112"/>
    </row>
    <row r="8" spans="1:14" x14ac:dyDescent="0.2">
      <c r="A8" s="127" t="s">
        <v>716</v>
      </c>
      <c r="B8" s="745" t="s">
        <v>697</v>
      </c>
      <c r="C8" s="112"/>
    </row>
    <row r="9" spans="1:14" x14ac:dyDescent="0.2">
      <c r="A9" s="216"/>
    </row>
    <row r="10" spans="1:14" ht="27" x14ac:dyDescent="0.2">
      <c r="A10" s="333" t="s">
        <v>235</v>
      </c>
      <c r="B10" s="336" t="s">
        <v>3</v>
      </c>
      <c r="C10" s="173" t="s">
        <v>236</v>
      </c>
      <c r="D10" s="173" t="s">
        <v>237</v>
      </c>
      <c r="E10" s="334" t="s">
        <v>238</v>
      </c>
      <c r="F10" s="337" t="s">
        <v>4</v>
      </c>
      <c r="G10" s="337" t="s">
        <v>5</v>
      </c>
      <c r="H10" s="173" t="s">
        <v>239</v>
      </c>
    </row>
    <row r="11" spans="1:14" x14ac:dyDescent="0.2">
      <c r="A11" s="338" t="s">
        <v>369</v>
      </c>
      <c r="B11" s="339">
        <v>16660.86588615485</v>
      </c>
      <c r="C11" s="340">
        <v>6660</v>
      </c>
      <c r="D11" s="420">
        <f>C11/B11</f>
        <v>0.39973912793658872</v>
      </c>
      <c r="E11" s="334"/>
      <c r="F11" s="342">
        <v>6624</v>
      </c>
      <c r="G11" s="342">
        <v>4807</v>
      </c>
      <c r="H11" s="420">
        <f>G11/F11</f>
        <v>0.72569444444444442</v>
      </c>
    </row>
    <row r="12" spans="1:14" x14ac:dyDescent="0.2">
      <c r="A12" s="134" t="s">
        <v>370</v>
      </c>
      <c r="B12" s="269">
        <v>2391</v>
      </c>
      <c r="C12" s="226">
        <v>609</v>
      </c>
      <c r="D12" s="341">
        <f>C12/B12</f>
        <v>0.25470514429109159</v>
      </c>
      <c r="E12" s="335"/>
      <c r="F12" s="227">
        <v>603</v>
      </c>
      <c r="G12" s="227">
        <v>388</v>
      </c>
      <c r="H12" s="235">
        <f>G12/F12</f>
        <v>0.64344941956882251</v>
      </c>
    </row>
    <row r="13" spans="1:14" x14ac:dyDescent="0.2">
      <c r="D13" s="155"/>
    </row>
    <row r="14" spans="1:14" x14ac:dyDescent="0.2">
      <c r="D14" s="155"/>
    </row>
    <row r="15" spans="1:14" ht="15.75" customHeight="1" x14ac:dyDescent="0.2">
      <c r="A15" s="107" t="s">
        <v>6</v>
      </c>
    </row>
    <row r="16" spans="1:14" ht="15.75" customHeight="1" x14ac:dyDescent="0.2">
      <c r="A16" s="107" t="s">
        <v>7</v>
      </c>
    </row>
    <row r="17" spans="1:1" ht="14.25" x14ac:dyDescent="0.2">
      <c r="A17" s="107" t="s">
        <v>8</v>
      </c>
    </row>
    <row r="18" spans="1:1" x14ac:dyDescent="0.2">
      <c r="A18" s="216"/>
    </row>
  </sheetData>
  <phoneticPr fontId="58" type="noConversion"/>
  <hyperlinks>
    <hyperlink ref="A1" location="Content!A1" display="Return to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M16"/>
  <sheetViews>
    <sheetView workbookViewId="0"/>
  </sheetViews>
  <sheetFormatPr defaultColWidth="9.140625" defaultRowHeight="12.75" x14ac:dyDescent="0.2"/>
  <cols>
    <col min="1" max="1" width="19.5703125" style="107" bestFit="1" customWidth="1"/>
    <col min="2" max="2" width="16.42578125" style="107" bestFit="1" customWidth="1"/>
    <col min="3" max="7" width="16.42578125" style="107" customWidth="1"/>
    <col min="8" max="16384" width="9.140625" style="107"/>
  </cols>
  <sheetData>
    <row r="1" spans="1:13" x14ac:dyDescent="0.2">
      <c r="A1" s="106" t="s">
        <v>345</v>
      </c>
    </row>
    <row r="2" spans="1:13" x14ac:dyDescent="0.2">
      <c r="A2" s="106"/>
    </row>
    <row r="3" spans="1:13" x14ac:dyDescent="0.2">
      <c r="A3" s="108" t="s">
        <v>436</v>
      </c>
      <c r="B3" s="316" t="s">
        <v>692</v>
      </c>
      <c r="C3" s="322"/>
      <c r="D3" s="322"/>
      <c r="E3" s="322"/>
      <c r="F3" s="322"/>
      <c r="G3" s="322"/>
      <c r="H3" s="322"/>
      <c r="I3" s="322"/>
      <c r="J3" s="322"/>
      <c r="K3" s="322"/>
      <c r="L3" s="322"/>
      <c r="M3" s="322"/>
    </row>
    <row r="4" spans="1:13" x14ac:dyDescent="0.2">
      <c r="A4" s="108" t="s">
        <v>143</v>
      </c>
      <c r="B4" s="221">
        <v>0.26900000000000002</v>
      </c>
      <c r="C4" s="109"/>
      <c r="D4" s="109"/>
      <c r="E4" s="109"/>
      <c r="F4" s="109"/>
      <c r="G4" s="109"/>
      <c r="H4" s="109"/>
      <c r="I4" s="109"/>
      <c r="J4" s="109"/>
      <c r="K4" s="109"/>
      <c r="L4" s="109"/>
      <c r="M4" s="109"/>
    </row>
    <row r="5" spans="1:13" x14ac:dyDescent="0.2">
      <c r="A5" s="108" t="s">
        <v>118</v>
      </c>
      <c r="B5" s="598" t="s">
        <v>557</v>
      </c>
    </row>
    <row r="6" spans="1:13" x14ac:dyDescent="0.2">
      <c r="A6" s="108" t="s">
        <v>195</v>
      </c>
      <c r="B6" s="112" t="s">
        <v>175</v>
      </c>
    </row>
    <row r="7" spans="1:13" x14ac:dyDescent="0.2">
      <c r="A7" s="108" t="s">
        <v>438</v>
      </c>
      <c r="B7" s="162">
        <v>43305</v>
      </c>
    </row>
    <row r="8" spans="1:13" x14ac:dyDescent="0.2">
      <c r="A8" s="127" t="s">
        <v>710</v>
      </c>
      <c r="B8" s="129" t="s">
        <v>82</v>
      </c>
    </row>
    <row r="9" spans="1:13" x14ac:dyDescent="0.2">
      <c r="A9" s="127" t="s">
        <v>144</v>
      </c>
      <c r="B9" s="128" t="s">
        <v>129</v>
      </c>
    </row>
    <row r="10" spans="1:13" x14ac:dyDescent="0.2">
      <c r="A10" s="124"/>
    </row>
    <row r="11" spans="1:13" x14ac:dyDescent="0.2">
      <c r="A11" s="190"/>
      <c r="B11" s="1075" t="s">
        <v>198</v>
      </c>
      <c r="C11" s="1075"/>
      <c r="D11" s="1075"/>
      <c r="E11" s="1075"/>
      <c r="F11" s="1075"/>
      <c r="G11" s="1075"/>
    </row>
    <row r="12" spans="1:13" ht="38.25" x14ac:dyDescent="0.2">
      <c r="A12" s="218" t="s">
        <v>368</v>
      </c>
      <c r="B12" s="185" t="s">
        <v>371</v>
      </c>
      <c r="C12" s="185" t="s">
        <v>373</v>
      </c>
      <c r="D12" s="185" t="s">
        <v>374</v>
      </c>
      <c r="E12" s="185" t="s">
        <v>375</v>
      </c>
      <c r="F12" s="185" t="s">
        <v>372</v>
      </c>
      <c r="G12" s="185" t="s">
        <v>556</v>
      </c>
    </row>
    <row r="13" spans="1:13" x14ac:dyDescent="0.2">
      <c r="A13" s="218" t="s">
        <v>369</v>
      </c>
      <c r="B13" s="219">
        <v>0.23300000000000001</v>
      </c>
      <c r="C13" s="219">
        <v>0.24199999999999999</v>
      </c>
      <c r="D13" s="219">
        <v>0.246</v>
      </c>
      <c r="E13" s="219">
        <v>0.25</v>
      </c>
      <c r="F13" s="219">
        <v>0.253</v>
      </c>
      <c r="G13" s="219">
        <v>0.255</v>
      </c>
    </row>
    <row r="14" spans="1:13" x14ac:dyDescent="0.2">
      <c r="A14" s="218" t="s">
        <v>370</v>
      </c>
      <c r="B14" s="220">
        <v>0.22700000000000001</v>
      </c>
      <c r="C14" s="220">
        <v>0.249</v>
      </c>
      <c r="D14" s="220">
        <v>0.25800000000000001</v>
      </c>
      <c r="E14" s="220">
        <v>0.26200000000000001</v>
      </c>
      <c r="F14" s="220">
        <v>0.27100000000000002</v>
      </c>
      <c r="G14" s="220">
        <v>0.26900000000000002</v>
      </c>
    </row>
    <row r="15" spans="1:13" x14ac:dyDescent="0.2">
      <c r="A15" s="218" t="s">
        <v>15</v>
      </c>
      <c r="B15" s="219">
        <v>0.28999999999999998</v>
      </c>
      <c r="C15" s="219">
        <v>0.28999999999999998</v>
      </c>
      <c r="D15" s="219">
        <v>0.28999999999999998</v>
      </c>
      <c r="E15" s="219">
        <v>0.28999999999999998</v>
      </c>
      <c r="F15" s="219">
        <v>0.28999999999999998</v>
      </c>
      <c r="G15" s="219">
        <v>0.28999999999999998</v>
      </c>
    </row>
    <row r="16" spans="1:13" x14ac:dyDescent="0.2">
      <c r="A16" s="222"/>
      <c r="B16" s="223"/>
      <c r="C16" s="223"/>
      <c r="D16" s="223"/>
      <c r="E16" s="223"/>
      <c r="F16" s="223"/>
    </row>
  </sheetData>
  <mergeCells count="1">
    <mergeCell ref="B11:G11"/>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J453"/>
  <sheetViews>
    <sheetView workbookViewId="0">
      <pane xSplit="1" topLeftCell="B1" activePane="topRight" state="frozen"/>
      <selection activeCell="A67" sqref="A67"/>
      <selection pane="topRight"/>
    </sheetView>
  </sheetViews>
  <sheetFormatPr defaultColWidth="9.140625" defaultRowHeight="12.75" x14ac:dyDescent="0.2"/>
  <cols>
    <col min="1" max="1" width="26.28515625" style="107" customWidth="1"/>
    <col min="2" max="2" width="10.5703125" style="107" customWidth="1"/>
    <col min="3" max="25" width="9.140625" style="107" customWidth="1"/>
    <col min="26" max="26" width="9.140625" style="107"/>
    <col min="27" max="27" width="9.140625" style="186"/>
    <col min="28" max="16384" width="9.140625" style="107"/>
  </cols>
  <sheetData>
    <row r="1" spans="1:49" x14ac:dyDescent="0.2">
      <c r="A1" s="106" t="s">
        <v>345</v>
      </c>
      <c r="B1" s="599"/>
    </row>
    <row r="2" spans="1:49" x14ac:dyDescent="0.2">
      <c r="A2" s="106"/>
      <c r="B2" s="807"/>
    </row>
    <row r="3" spans="1:49" ht="30.75" customHeight="1" x14ac:dyDescent="0.2">
      <c r="A3" s="108" t="s">
        <v>436</v>
      </c>
      <c r="B3" s="1076" t="s">
        <v>229</v>
      </c>
      <c r="C3" s="1076"/>
      <c r="D3" s="1076"/>
      <c r="E3" s="1076"/>
      <c r="F3" s="1076"/>
      <c r="G3" s="1076"/>
      <c r="H3" s="1076"/>
      <c r="I3" s="1076"/>
      <c r="J3" s="1076"/>
      <c r="K3" s="1076"/>
      <c r="L3" s="1076"/>
      <c r="M3" s="1076"/>
      <c r="N3" s="1076"/>
      <c r="O3" s="1076"/>
      <c r="P3" s="1076"/>
      <c r="Q3" s="1076"/>
      <c r="R3" s="1076"/>
      <c r="S3" s="1076"/>
      <c r="T3" s="109"/>
      <c r="U3" s="109"/>
      <c r="V3" s="109"/>
      <c r="W3" s="109"/>
      <c r="X3" s="109"/>
      <c r="Y3" s="109"/>
    </row>
    <row r="4" spans="1:49" x14ac:dyDescent="0.2">
      <c r="A4" s="108" t="s">
        <v>143</v>
      </c>
      <c r="B4" s="233">
        <f>HLOOKUP(MAX(B30:AW30),B30:AW31,2,0)</f>
        <v>3799</v>
      </c>
      <c r="C4" s="109"/>
      <c r="D4" s="109"/>
      <c r="E4" s="109"/>
      <c r="F4" s="109"/>
      <c r="G4" s="109"/>
      <c r="H4" s="109"/>
      <c r="I4" s="109"/>
      <c r="J4" s="109"/>
      <c r="K4" s="109"/>
      <c r="L4" s="109"/>
      <c r="M4" s="109"/>
      <c r="N4" s="109"/>
      <c r="O4" s="109"/>
      <c r="P4" s="109"/>
      <c r="Q4" s="109"/>
      <c r="R4" s="109"/>
      <c r="S4" s="109"/>
      <c r="T4" s="109"/>
      <c r="U4" s="109"/>
      <c r="V4" s="109"/>
      <c r="W4" s="109"/>
      <c r="X4" s="109"/>
      <c r="Y4" s="109"/>
    </row>
    <row r="5" spans="1:49" x14ac:dyDescent="0.2">
      <c r="A5" s="108" t="s">
        <v>118</v>
      </c>
      <c r="B5" s="128">
        <f>MAX(B30:AW30)</f>
        <v>43070</v>
      </c>
    </row>
    <row r="6" spans="1:49" x14ac:dyDescent="0.2">
      <c r="A6" s="108" t="s">
        <v>195</v>
      </c>
      <c r="B6" s="409" t="s">
        <v>176</v>
      </c>
    </row>
    <row r="7" spans="1:49" x14ac:dyDescent="0.2">
      <c r="A7" s="108" t="s">
        <v>438</v>
      </c>
      <c r="B7" s="162" t="s">
        <v>137</v>
      </c>
    </row>
    <row r="9" spans="1:49" x14ac:dyDescent="0.2">
      <c r="A9" s="187" t="s">
        <v>381</v>
      </c>
      <c r="B9" s="145"/>
      <c r="C9" s="145"/>
      <c r="D9" s="145"/>
      <c r="E9" s="145"/>
      <c r="F9" s="145"/>
      <c r="G9" s="145"/>
      <c r="H9" s="145"/>
      <c r="I9" s="145"/>
      <c r="J9" s="145"/>
      <c r="K9" s="145"/>
      <c r="L9" s="145"/>
      <c r="M9" s="145"/>
      <c r="N9" s="145"/>
      <c r="O9" s="145"/>
      <c r="P9" s="145"/>
      <c r="Q9" s="145"/>
      <c r="R9" s="145"/>
      <c r="S9" s="145"/>
      <c r="T9" s="145"/>
      <c r="U9" s="145"/>
      <c r="V9" s="145"/>
      <c r="W9" s="145"/>
      <c r="X9" s="145"/>
      <c r="Y9" s="145"/>
    </row>
    <row r="10" spans="1:49" x14ac:dyDescent="0.2">
      <c r="A10" s="224"/>
      <c r="B10" s="163">
        <v>42095</v>
      </c>
      <c r="C10" s="163">
        <v>42125</v>
      </c>
      <c r="D10" s="163">
        <v>42156</v>
      </c>
      <c r="E10" s="163">
        <v>42186</v>
      </c>
      <c r="F10" s="163">
        <v>42217</v>
      </c>
      <c r="G10" s="163">
        <v>42248</v>
      </c>
      <c r="H10" s="163">
        <v>42278</v>
      </c>
      <c r="I10" s="164">
        <v>42309</v>
      </c>
      <c r="J10" s="164">
        <v>42339</v>
      </c>
      <c r="K10" s="164">
        <v>42370</v>
      </c>
      <c r="L10" s="164">
        <v>42401</v>
      </c>
      <c r="M10" s="164">
        <v>42430</v>
      </c>
      <c r="N10" s="164">
        <v>42461</v>
      </c>
      <c r="O10" s="164">
        <v>42491</v>
      </c>
      <c r="P10" s="164">
        <v>42522</v>
      </c>
      <c r="Q10" s="164">
        <v>42552</v>
      </c>
      <c r="R10" s="164">
        <v>42583</v>
      </c>
      <c r="S10" s="164">
        <v>42614</v>
      </c>
      <c r="T10" s="164">
        <v>42644</v>
      </c>
      <c r="U10" s="164">
        <v>42675</v>
      </c>
      <c r="V10" s="164">
        <v>42705</v>
      </c>
      <c r="W10" s="164">
        <v>42736</v>
      </c>
      <c r="X10" s="164">
        <v>42767</v>
      </c>
      <c r="Y10" s="164">
        <v>42795</v>
      </c>
      <c r="Z10" s="163">
        <v>42826</v>
      </c>
      <c r="AA10" s="209">
        <v>42856</v>
      </c>
      <c r="AB10" s="163">
        <v>42887</v>
      </c>
      <c r="AC10" s="209">
        <v>42917</v>
      </c>
      <c r="AD10" s="163">
        <v>42948</v>
      </c>
      <c r="AE10" s="209">
        <v>42979</v>
      </c>
      <c r="AF10" s="163">
        <v>43009</v>
      </c>
      <c r="AG10" s="209">
        <v>43040</v>
      </c>
      <c r="AH10" s="163">
        <v>43070</v>
      </c>
      <c r="AI10" s="164"/>
      <c r="AJ10" s="164"/>
      <c r="AK10" s="164"/>
      <c r="AL10" s="164"/>
      <c r="AM10" s="164"/>
      <c r="AN10" s="164"/>
      <c r="AO10" s="164"/>
      <c r="AP10" s="164"/>
      <c r="AQ10" s="164"/>
      <c r="AR10" s="164"/>
      <c r="AS10" s="164"/>
      <c r="AT10" s="164"/>
      <c r="AU10" s="164"/>
      <c r="AV10" s="164"/>
      <c r="AW10" s="164"/>
    </row>
    <row r="11" spans="1:49" x14ac:dyDescent="0.2">
      <c r="A11" s="225" t="s">
        <v>377</v>
      </c>
      <c r="B11" s="119">
        <v>654</v>
      </c>
      <c r="C11" s="119">
        <v>761</v>
      </c>
      <c r="D11" s="119">
        <v>841</v>
      </c>
      <c r="E11" s="119">
        <v>978</v>
      </c>
      <c r="F11" s="119">
        <v>846</v>
      </c>
      <c r="G11" s="119">
        <v>778</v>
      </c>
      <c r="H11" s="119">
        <v>850</v>
      </c>
      <c r="I11" s="269">
        <v>592</v>
      </c>
      <c r="J11" s="269">
        <v>497</v>
      </c>
      <c r="K11" s="269">
        <v>504</v>
      </c>
      <c r="L11" s="269">
        <v>389</v>
      </c>
      <c r="M11" s="269">
        <v>433</v>
      </c>
      <c r="N11" s="269">
        <v>552</v>
      </c>
      <c r="O11" s="269">
        <v>567</v>
      </c>
      <c r="P11" s="269">
        <v>620</v>
      </c>
      <c r="Q11" s="269">
        <v>730</v>
      </c>
      <c r="R11" s="269">
        <v>710</v>
      </c>
      <c r="S11" s="269">
        <v>792</v>
      </c>
      <c r="T11" s="269">
        <v>922</v>
      </c>
      <c r="U11" s="269">
        <v>873</v>
      </c>
      <c r="V11" s="269">
        <v>786</v>
      </c>
      <c r="W11" s="269">
        <v>807</v>
      </c>
      <c r="X11" s="269">
        <v>758</v>
      </c>
      <c r="Y11" s="269">
        <v>668</v>
      </c>
      <c r="Z11" s="119">
        <v>774</v>
      </c>
      <c r="AA11" s="286">
        <v>871</v>
      </c>
      <c r="AB11" s="119">
        <v>992</v>
      </c>
      <c r="AC11" s="119">
        <v>1120</v>
      </c>
      <c r="AD11" s="119">
        <v>1225</v>
      </c>
      <c r="AE11" s="119">
        <v>1224</v>
      </c>
      <c r="AF11" s="119">
        <v>1209</v>
      </c>
      <c r="AG11" s="269">
        <v>1189</v>
      </c>
      <c r="AH11" s="269">
        <v>1209</v>
      </c>
      <c r="AI11" s="269"/>
      <c r="AJ11" s="269"/>
      <c r="AK11" s="269"/>
      <c r="AL11" s="269"/>
      <c r="AM11" s="269"/>
      <c r="AN11" s="269"/>
      <c r="AO11" s="269"/>
      <c r="AP11" s="269"/>
      <c r="AQ11" s="269"/>
      <c r="AR11" s="269"/>
      <c r="AS11" s="269"/>
      <c r="AT11" s="269"/>
      <c r="AU11" s="269"/>
      <c r="AV11" s="269"/>
      <c r="AW11" s="269"/>
    </row>
    <row r="12" spans="1:49" x14ac:dyDescent="0.2">
      <c r="A12" s="225" t="s">
        <v>376</v>
      </c>
      <c r="B12" s="119">
        <v>285</v>
      </c>
      <c r="C12" s="119">
        <v>303</v>
      </c>
      <c r="D12" s="119">
        <v>421</v>
      </c>
      <c r="E12" s="119">
        <v>654</v>
      </c>
      <c r="F12" s="119">
        <v>674</v>
      </c>
      <c r="G12" s="119">
        <v>680</v>
      </c>
      <c r="H12" s="119">
        <v>639</v>
      </c>
      <c r="I12" s="269">
        <v>406</v>
      </c>
      <c r="J12" s="269">
        <v>457</v>
      </c>
      <c r="K12" s="269">
        <v>418</v>
      </c>
      <c r="L12" s="269">
        <v>210</v>
      </c>
      <c r="M12" s="269">
        <v>229</v>
      </c>
      <c r="N12" s="269">
        <v>448</v>
      </c>
      <c r="O12" s="269">
        <v>507</v>
      </c>
      <c r="P12" s="269">
        <v>568</v>
      </c>
      <c r="Q12" s="269">
        <v>682</v>
      </c>
      <c r="R12" s="269">
        <v>716</v>
      </c>
      <c r="S12" s="269">
        <v>742</v>
      </c>
      <c r="T12" s="269">
        <v>767</v>
      </c>
      <c r="U12" s="269">
        <v>780</v>
      </c>
      <c r="V12" s="269">
        <v>746</v>
      </c>
      <c r="W12" s="269">
        <v>728</v>
      </c>
      <c r="X12" s="269">
        <v>660</v>
      </c>
      <c r="Y12" s="269">
        <v>669</v>
      </c>
      <c r="Z12" s="119">
        <v>762</v>
      </c>
      <c r="AA12" s="286">
        <v>835</v>
      </c>
      <c r="AB12" s="119">
        <v>846</v>
      </c>
      <c r="AC12" s="119">
        <v>961</v>
      </c>
      <c r="AD12" s="119">
        <v>1065</v>
      </c>
      <c r="AE12" s="119">
        <v>1076</v>
      </c>
      <c r="AF12" s="119">
        <v>1050</v>
      </c>
      <c r="AG12" s="269">
        <v>986</v>
      </c>
      <c r="AH12" s="269">
        <v>1122</v>
      </c>
      <c r="AI12" s="269"/>
      <c r="AJ12" s="269"/>
      <c r="AK12" s="269"/>
      <c r="AL12" s="269"/>
      <c r="AM12" s="269"/>
      <c r="AN12" s="269"/>
      <c r="AO12" s="269"/>
      <c r="AP12" s="269"/>
      <c r="AQ12" s="269"/>
      <c r="AR12" s="269"/>
      <c r="AS12" s="269"/>
      <c r="AT12" s="269"/>
      <c r="AU12" s="269"/>
      <c r="AV12" s="269"/>
      <c r="AW12" s="269"/>
    </row>
    <row r="13" spans="1:49" ht="25.5" x14ac:dyDescent="0.2">
      <c r="A13" s="225" t="s">
        <v>378</v>
      </c>
      <c r="B13" s="119">
        <v>262</v>
      </c>
      <c r="C13" s="119">
        <v>284</v>
      </c>
      <c r="D13" s="119">
        <v>294</v>
      </c>
      <c r="E13" s="119">
        <v>310</v>
      </c>
      <c r="F13" s="119">
        <v>278</v>
      </c>
      <c r="G13" s="119">
        <v>235</v>
      </c>
      <c r="H13" s="119">
        <v>246</v>
      </c>
      <c r="I13" s="269">
        <v>171</v>
      </c>
      <c r="J13" s="269">
        <v>162</v>
      </c>
      <c r="K13" s="269">
        <v>173</v>
      </c>
      <c r="L13" s="269">
        <v>142</v>
      </c>
      <c r="M13" s="269">
        <v>162</v>
      </c>
      <c r="N13" s="269">
        <v>209</v>
      </c>
      <c r="O13" s="269">
        <v>198</v>
      </c>
      <c r="P13" s="269">
        <v>192</v>
      </c>
      <c r="Q13" s="269">
        <v>244</v>
      </c>
      <c r="R13" s="269">
        <v>347</v>
      </c>
      <c r="S13" s="269">
        <v>391</v>
      </c>
      <c r="T13" s="269">
        <v>395</v>
      </c>
      <c r="U13" s="269">
        <v>375</v>
      </c>
      <c r="V13" s="269">
        <v>308</v>
      </c>
      <c r="W13" s="269">
        <v>345</v>
      </c>
      <c r="X13" s="269">
        <v>299</v>
      </c>
      <c r="Y13" s="269">
        <v>311</v>
      </c>
      <c r="Z13" s="119">
        <v>372</v>
      </c>
      <c r="AA13" s="286">
        <v>377</v>
      </c>
      <c r="AB13" s="119">
        <v>420</v>
      </c>
      <c r="AC13" s="119">
        <v>450</v>
      </c>
      <c r="AD13" s="119">
        <v>459</v>
      </c>
      <c r="AE13" s="119">
        <v>495</v>
      </c>
      <c r="AF13" s="119">
        <v>508</v>
      </c>
      <c r="AG13" s="269">
        <v>479</v>
      </c>
      <c r="AH13" s="269">
        <v>483</v>
      </c>
      <c r="AI13" s="269"/>
      <c r="AJ13" s="269"/>
      <c r="AK13" s="269"/>
      <c r="AL13" s="269"/>
      <c r="AM13" s="269"/>
      <c r="AN13" s="269"/>
      <c r="AO13" s="269"/>
      <c r="AP13" s="269"/>
      <c r="AQ13" s="269"/>
      <c r="AR13" s="269"/>
      <c r="AS13" s="269"/>
      <c r="AT13" s="269"/>
      <c r="AU13" s="269"/>
      <c r="AV13" s="269"/>
      <c r="AW13" s="269"/>
    </row>
    <row r="14" spans="1:49" x14ac:dyDescent="0.2">
      <c r="A14" s="225" t="s">
        <v>379</v>
      </c>
      <c r="B14" s="119">
        <v>247</v>
      </c>
      <c r="C14" s="119">
        <v>224</v>
      </c>
      <c r="D14" s="119">
        <v>296</v>
      </c>
      <c r="E14" s="119">
        <v>410</v>
      </c>
      <c r="F14" s="119">
        <v>470</v>
      </c>
      <c r="G14" s="119">
        <v>487</v>
      </c>
      <c r="H14" s="119">
        <v>571</v>
      </c>
      <c r="I14" s="269">
        <v>179</v>
      </c>
      <c r="J14" s="269">
        <v>46</v>
      </c>
      <c r="K14" s="269">
        <v>28</v>
      </c>
      <c r="L14" s="269">
        <v>27</v>
      </c>
      <c r="M14" s="269">
        <v>37</v>
      </c>
      <c r="N14" s="269">
        <v>43</v>
      </c>
      <c r="O14" s="269">
        <v>73</v>
      </c>
      <c r="P14" s="269">
        <v>56</v>
      </c>
      <c r="Q14" s="269">
        <v>99</v>
      </c>
      <c r="R14" s="269">
        <v>55</v>
      </c>
      <c r="S14" s="269">
        <v>95</v>
      </c>
      <c r="T14" s="269">
        <v>186</v>
      </c>
      <c r="U14" s="269">
        <v>247</v>
      </c>
      <c r="V14" s="269">
        <v>326</v>
      </c>
      <c r="W14" s="269">
        <v>442</v>
      </c>
      <c r="X14" s="269">
        <v>429</v>
      </c>
      <c r="Y14" s="269">
        <v>495</v>
      </c>
      <c r="Z14" s="119">
        <v>570</v>
      </c>
      <c r="AA14" s="286">
        <v>649</v>
      </c>
      <c r="AB14" s="119">
        <v>724</v>
      </c>
      <c r="AC14" s="119">
        <v>722</v>
      </c>
      <c r="AD14" s="119">
        <v>753</v>
      </c>
      <c r="AE14" s="119">
        <v>727</v>
      </c>
      <c r="AF14" s="119">
        <v>765</v>
      </c>
      <c r="AG14" s="269">
        <v>773</v>
      </c>
      <c r="AH14" s="269">
        <v>774</v>
      </c>
      <c r="AI14" s="269"/>
      <c r="AJ14" s="269"/>
      <c r="AK14" s="269"/>
      <c r="AL14" s="269"/>
      <c r="AM14" s="269"/>
      <c r="AN14" s="269"/>
      <c r="AO14" s="269"/>
      <c r="AP14" s="269"/>
      <c r="AQ14" s="269"/>
      <c r="AR14" s="269"/>
      <c r="AS14" s="269"/>
      <c r="AT14" s="269"/>
      <c r="AU14" s="269"/>
      <c r="AV14" s="269"/>
      <c r="AW14" s="269"/>
    </row>
    <row r="15" spans="1:49" ht="38.25" x14ac:dyDescent="0.2">
      <c r="A15" s="367" t="s">
        <v>248</v>
      </c>
      <c r="B15" s="368">
        <v>1448</v>
      </c>
      <c r="C15" s="368">
        <v>1572</v>
      </c>
      <c r="D15" s="368">
        <v>1852</v>
      </c>
      <c r="E15" s="368">
        <v>2352</v>
      </c>
      <c r="F15" s="368">
        <v>2268</v>
      </c>
      <c r="G15" s="368">
        <v>2180</v>
      </c>
      <c r="H15" s="368">
        <v>2306</v>
      </c>
      <c r="I15" s="369">
        <v>1348</v>
      </c>
      <c r="J15" s="369">
        <v>1162</v>
      </c>
      <c r="K15" s="369">
        <v>1123</v>
      </c>
      <c r="L15" s="369">
        <v>768</v>
      </c>
      <c r="M15" s="369">
        <v>861</v>
      </c>
      <c r="N15" s="369">
        <v>1252</v>
      </c>
      <c r="O15" s="369">
        <v>1345</v>
      </c>
      <c r="P15" s="369">
        <v>1436</v>
      </c>
      <c r="Q15" s="369">
        <v>1755</v>
      </c>
      <c r="R15" s="369">
        <v>1828</v>
      </c>
      <c r="S15" s="369">
        <v>2020</v>
      </c>
      <c r="T15" s="369">
        <v>2270</v>
      </c>
      <c r="U15" s="369">
        <v>2275</v>
      </c>
      <c r="V15" s="369">
        <v>2166</v>
      </c>
      <c r="W15" s="369">
        <v>2322</v>
      </c>
      <c r="X15" s="369">
        <v>2146</v>
      </c>
      <c r="Y15" s="228">
        <v>2143</v>
      </c>
      <c r="Z15" s="368">
        <v>2478</v>
      </c>
      <c r="AA15" s="500">
        <v>2732</v>
      </c>
      <c r="AB15" s="368">
        <v>2982</v>
      </c>
      <c r="AC15" s="368">
        <v>3253</v>
      </c>
      <c r="AD15" s="368">
        <v>3502</v>
      </c>
      <c r="AE15" s="368">
        <v>3522</v>
      </c>
      <c r="AF15" s="368">
        <v>3532</v>
      </c>
      <c r="AG15" s="369">
        <v>3427</v>
      </c>
      <c r="AH15" s="369">
        <v>3588</v>
      </c>
      <c r="AI15" s="369"/>
      <c r="AJ15" s="369"/>
      <c r="AK15" s="369"/>
      <c r="AL15" s="369"/>
      <c r="AM15" s="369"/>
      <c r="AN15" s="369"/>
      <c r="AO15" s="369"/>
      <c r="AP15" s="369"/>
      <c r="AQ15" s="369"/>
      <c r="AR15" s="369"/>
      <c r="AS15" s="369"/>
      <c r="AT15" s="369"/>
      <c r="AU15" s="369"/>
      <c r="AV15" s="369"/>
      <c r="AW15" s="228"/>
    </row>
    <row r="17" spans="1:49" x14ac:dyDescent="0.2">
      <c r="A17" s="187" t="s">
        <v>488</v>
      </c>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330"/>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row>
    <row r="18" spans="1:49" s="186" customFormat="1" x14ac:dyDescent="0.2">
      <c r="A18" s="229"/>
      <c r="B18" s="163">
        <v>42095</v>
      </c>
      <c r="C18" s="163">
        <v>42125</v>
      </c>
      <c r="D18" s="163">
        <v>42156</v>
      </c>
      <c r="E18" s="163">
        <v>42186</v>
      </c>
      <c r="F18" s="163">
        <v>42217</v>
      </c>
      <c r="G18" s="163">
        <v>42248</v>
      </c>
      <c r="H18" s="163">
        <v>42278</v>
      </c>
      <c r="I18" s="164">
        <v>42309</v>
      </c>
      <c r="J18" s="164">
        <v>42339</v>
      </c>
      <c r="K18" s="164">
        <v>42370</v>
      </c>
      <c r="L18" s="164">
        <v>42401</v>
      </c>
      <c r="M18" s="164">
        <v>42430</v>
      </c>
      <c r="N18" s="164">
        <v>42461</v>
      </c>
      <c r="O18" s="164">
        <v>42491</v>
      </c>
      <c r="P18" s="164">
        <v>42522</v>
      </c>
      <c r="Q18" s="164">
        <v>42552</v>
      </c>
      <c r="R18" s="164">
        <v>42583</v>
      </c>
      <c r="S18" s="164">
        <v>42614</v>
      </c>
      <c r="T18" s="164">
        <v>42644</v>
      </c>
      <c r="U18" s="164">
        <v>42675</v>
      </c>
      <c r="V18" s="164">
        <v>42705</v>
      </c>
      <c r="W18" s="164">
        <v>42736</v>
      </c>
      <c r="X18" s="164">
        <v>42767</v>
      </c>
      <c r="Y18" s="164">
        <v>42795</v>
      </c>
      <c r="Z18" s="164">
        <v>42826</v>
      </c>
      <c r="AA18" s="209">
        <v>42856</v>
      </c>
      <c r="AB18" s="164">
        <v>42887</v>
      </c>
      <c r="AC18" s="209">
        <v>42917</v>
      </c>
      <c r="AD18" s="164">
        <v>42948</v>
      </c>
      <c r="AE18" s="209">
        <v>42979</v>
      </c>
      <c r="AF18" s="164">
        <v>43009</v>
      </c>
      <c r="AG18" s="209">
        <v>43040</v>
      </c>
      <c r="AH18" s="164">
        <v>43070</v>
      </c>
      <c r="AI18" s="164"/>
      <c r="AJ18" s="164"/>
      <c r="AK18" s="164"/>
      <c r="AL18" s="164"/>
      <c r="AM18" s="164"/>
      <c r="AN18" s="164"/>
      <c r="AO18" s="164"/>
      <c r="AP18" s="164"/>
      <c r="AQ18" s="164"/>
      <c r="AR18" s="164"/>
      <c r="AS18" s="164"/>
      <c r="AT18" s="164"/>
      <c r="AU18" s="164"/>
      <c r="AV18" s="164"/>
      <c r="AW18" s="164"/>
    </row>
    <row r="19" spans="1:49" s="186" customFormat="1" x14ac:dyDescent="0.2">
      <c r="A19" s="229" t="s">
        <v>383</v>
      </c>
      <c r="B19" s="226">
        <v>108</v>
      </c>
      <c r="C19" s="226">
        <v>123</v>
      </c>
      <c r="D19" s="226">
        <v>106</v>
      </c>
      <c r="E19" s="226">
        <v>60</v>
      </c>
      <c r="F19" s="226">
        <v>38</v>
      </c>
      <c r="G19" s="226">
        <v>111</v>
      </c>
      <c r="H19" s="226">
        <v>77</v>
      </c>
      <c r="I19" s="227">
        <v>6</v>
      </c>
      <c r="J19" s="227">
        <v>11</v>
      </c>
      <c r="K19" s="227">
        <v>12</v>
      </c>
      <c r="L19" s="227">
        <v>17</v>
      </c>
      <c r="M19" s="227">
        <v>16</v>
      </c>
      <c r="N19" s="227">
        <v>204</v>
      </c>
      <c r="O19" s="227">
        <v>172</v>
      </c>
      <c r="P19" s="227">
        <v>176</v>
      </c>
      <c r="Q19" s="227">
        <v>45</v>
      </c>
      <c r="R19" s="227">
        <v>43</v>
      </c>
      <c r="S19" s="227">
        <v>22</v>
      </c>
      <c r="T19" s="227">
        <v>28</v>
      </c>
      <c r="U19" s="227">
        <v>20</v>
      </c>
      <c r="V19" s="227">
        <v>68</v>
      </c>
      <c r="W19" s="227">
        <v>90</v>
      </c>
      <c r="X19" s="227">
        <v>26</v>
      </c>
      <c r="Y19" s="227">
        <v>29</v>
      </c>
      <c r="Z19" s="226">
        <v>68</v>
      </c>
      <c r="AA19" s="499">
        <v>44</v>
      </c>
      <c r="AB19" s="226">
        <v>45</v>
      </c>
      <c r="AC19" s="226">
        <v>69</v>
      </c>
      <c r="AD19" s="226">
        <v>38</v>
      </c>
      <c r="AE19" s="226">
        <v>48</v>
      </c>
      <c r="AF19" s="226">
        <v>85</v>
      </c>
      <c r="AG19" s="227">
        <v>81</v>
      </c>
      <c r="AH19" s="227">
        <v>93</v>
      </c>
      <c r="AI19" s="227"/>
      <c r="AJ19" s="227"/>
      <c r="AK19" s="227"/>
      <c r="AL19" s="227"/>
      <c r="AM19" s="227"/>
      <c r="AN19" s="227"/>
      <c r="AO19" s="227"/>
      <c r="AP19" s="227"/>
      <c r="AQ19" s="227"/>
      <c r="AR19" s="227"/>
      <c r="AS19" s="227"/>
      <c r="AT19" s="227"/>
      <c r="AU19" s="227"/>
      <c r="AV19" s="227"/>
      <c r="AW19" s="227"/>
    </row>
    <row r="20" spans="1:49" s="186" customFormat="1" x14ac:dyDescent="0.2">
      <c r="A20" s="229" t="s">
        <v>382</v>
      </c>
      <c r="B20" s="226">
        <v>15</v>
      </c>
      <c r="C20" s="226">
        <v>8</v>
      </c>
      <c r="D20" s="226">
        <v>6</v>
      </c>
      <c r="E20" s="226">
        <v>12</v>
      </c>
      <c r="F20" s="226">
        <v>9</v>
      </c>
      <c r="G20" s="226">
        <v>9</v>
      </c>
      <c r="H20" s="226">
        <v>3</v>
      </c>
      <c r="I20" s="227">
        <v>2</v>
      </c>
      <c r="J20" s="227">
        <v>6</v>
      </c>
      <c r="K20" s="227">
        <v>2</v>
      </c>
      <c r="L20" s="227">
        <v>5</v>
      </c>
      <c r="M20" s="227">
        <v>6</v>
      </c>
      <c r="N20" s="227">
        <v>7</v>
      </c>
      <c r="O20" s="227">
        <v>3</v>
      </c>
      <c r="P20" s="227">
        <v>19</v>
      </c>
      <c r="Q20" s="227">
        <v>5</v>
      </c>
      <c r="R20" s="227">
        <v>7</v>
      </c>
      <c r="S20" s="227">
        <v>4</v>
      </c>
      <c r="T20" s="227">
        <v>8</v>
      </c>
      <c r="U20" s="227">
        <v>4</v>
      </c>
      <c r="V20" s="227">
        <v>3</v>
      </c>
      <c r="W20" s="227">
        <v>10</v>
      </c>
      <c r="X20" s="227">
        <v>7</v>
      </c>
      <c r="Y20" s="227">
        <v>1</v>
      </c>
      <c r="Z20" s="226">
        <v>6</v>
      </c>
      <c r="AA20" s="499">
        <v>3</v>
      </c>
      <c r="AB20" s="226">
        <v>7</v>
      </c>
      <c r="AC20" s="226">
        <v>5</v>
      </c>
      <c r="AD20" s="226">
        <v>5</v>
      </c>
      <c r="AE20" s="226">
        <v>2</v>
      </c>
      <c r="AF20" s="226">
        <v>4</v>
      </c>
      <c r="AG20" s="227">
        <v>8</v>
      </c>
      <c r="AH20" s="227">
        <v>3</v>
      </c>
      <c r="AI20" s="227"/>
      <c r="AJ20" s="227"/>
      <c r="AK20" s="227"/>
      <c r="AL20" s="227"/>
      <c r="AM20" s="227"/>
      <c r="AN20" s="227"/>
      <c r="AO20" s="227"/>
      <c r="AP20" s="227"/>
      <c r="AQ20" s="227"/>
      <c r="AR20" s="227"/>
      <c r="AS20" s="227"/>
      <c r="AT20" s="227"/>
      <c r="AU20" s="227"/>
      <c r="AV20" s="227"/>
      <c r="AW20" s="227"/>
    </row>
    <row r="21" spans="1:49" s="186" customFormat="1" ht="25.5" x14ac:dyDescent="0.2">
      <c r="A21" s="739" t="s">
        <v>500</v>
      </c>
      <c r="B21" s="226">
        <v>23</v>
      </c>
      <c r="C21" s="226">
        <v>13</v>
      </c>
      <c r="D21" s="226">
        <v>30</v>
      </c>
      <c r="E21" s="226">
        <v>4</v>
      </c>
      <c r="F21" s="226">
        <v>5</v>
      </c>
      <c r="G21" s="226">
        <v>10</v>
      </c>
      <c r="H21" s="226">
        <v>1</v>
      </c>
      <c r="I21" s="227">
        <v>5</v>
      </c>
      <c r="J21" s="227">
        <v>5</v>
      </c>
      <c r="K21" s="227">
        <v>3</v>
      </c>
      <c r="L21" s="227">
        <v>9</v>
      </c>
      <c r="M21" s="227">
        <v>3</v>
      </c>
      <c r="N21" s="227">
        <v>3</v>
      </c>
      <c r="O21" s="227">
        <v>3</v>
      </c>
      <c r="P21" s="227">
        <v>3</v>
      </c>
      <c r="Q21" s="227">
        <v>5</v>
      </c>
      <c r="R21" s="227">
        <v>5</v>
      </c>
      <c r="S21" s="227">
        <v>1</v>
      </c>
      <c r="T21" s="227">
        <v>2</v>
      </c>
      <c r="U21" s="227">
        <v>9</v>
      </c>
      <c r="V21" s="227">
        <v>9</v>
      </c>
      <c r="W21" s="227">
        <v>6</v>
      </c>
      <c r="X21" s="227">
        <v>8</v>
      </c>
      <c r="Y21" s="227">
        <v>3</v>
      </c>
      <c r="Z21" s="226">
        <v>4</v>
      </c>
      <c r="AA21" s="532">
        <v>3</v>
      </c>
      <c r="AB21" s="226">
        <v>0</v>
      </c>
      <c r="AC21" s="226">
        <v>2</v>
      </c>
      <c r="AD21" s="226">
        <v>4</v>
      </c>
      <c r="AE21" s="226">
        <v>9</v>
      </c>
      <c r="AF21" s="226">
        <v>8</v>
      </c>
      <c r="AG21" s="186">
        <v>8</v>
      </c>
      <c r="AH21" s="227">
        <v>6</v>
      </c>
      <c r="AI21" s="227"/>
      <c r="AJ21" s="227"/>
      <c r="AK21" s="227"/>
      <c r="AL21" s="227"/>
      <c r="AM21" s="227"/>
      <c r="AN21" s="227"/>
      <c r="AO21" s="227"/>
      <c r="AP21" s="227"/>
      <c r="AQ21" s="227"/>
      <c r="AR21" s="227"/>
      <c r="AS21" s="227"/>
      <c r="AT21" s="227"/>
      <c r="AU21" s="227"/>
      <c r="AV21" s="227"/>
      <c r="AW21" s="227"/>
    </row>
    <row r="22" spans="1:49" s="186" customFormat="1" x14ac:dyDescent="0.2">
      <c r="A22" s="232" t="s">
        <v>384</v>
      </c>
      <c r="B22" s="226">
        <v>0</v>
      </c>
      <c r="C22" s="226">
        <v>0</v>
      </c>
      <c r="D22" s="226">
        <v>0</v>
      </c>
      <c r="E22" s="226">
        <v>0</v>
      </c>
      <c r="F22" s="226">
        <v>0</v>
      </c>
      <c r="G22" s="226">
        <v>0</v>
      </c>
      <c r="H22" s="226">
        <v>0</v>
      </c>
      <c r="I22" s="227">
        <v>0</v>
      </c>
      <c r="J22" s="227">
        <v>0</v>
      </c>
      <c r="K22" s="227">
        <v>0</v>
      </c>
      <c r="L22" s="227">
        <v>0</v>
      </c>
      <c r="M22" s="227">
        <v>0</v>
      </c>
      <c r="N22" s="227">
        <v>0</v>
      </c>
      <c r="O22" s="227">
        <v>0</v>
      </c>
      <c r="P22" s="227">
        <v>0</v>
      </c>
      <c r="Q22" s="227">
        <v>0</v>
      </c>
      <c r="R22" s="227">
        <v>0</v>
      </c>
      <c r="S22" s="227">
        <v>0</v>
      </c>
      <c r="T22" s="227">
        <v>0</v>
      </c>
      <c r="U22" s="230">
        <v>0</v>
      </c>
      <c r="V22" s="227">
        <v>0</v>
      </c>
      <c r="W22" s="227">
        <v>0</v>
      </c>
      <c r="X22" s="227">
        <v>0</v>
      </c>
      <c r="Y22" s="227">
        <v>0</v>
      </c>
      <c r="Z22" s="226">
        <v>0</v>
      </c>
      <c r="AA22" s="532">
        <v>0</v>
      </c>
      <c r="AB22" s="226">
        <v>0</v>
      </c>
      <c r="AC22" s="226">
        <v>0</v>
      </c>
      <c r="AD22" s="226">
        <v>0</v>
      </c>
      <c r="AE22" s="226">
        <v>0</v>
      </c>
      <c r="AF22" s="226">
        <v>0</v>
      </c>
      <c r="AG22" s="227">
        <v>0</v>
      </c>
      <c r="AH22" s="227">
        <v>0</v>
      </c>
      <c r="AI22" s="227"/>
      <c r="AJ22" s="227"/>
      <c r="AK22" s="227"/>
      <c r="AL22" s="227"/>
      <c r="AM22" s="227"/>
      <c r="AN22" s="227"/>
      <c r="AO22" s="227"/>
      <c r="AP22" s="227"/>
      <c r="AQ22" s="227"/>
      <c r="AR22" s="227"/>
      <c r="AS22" s="230"/>
      <c r="AT22" s="227"/>
      <c r="AU22" s="227"/>
      <c r="AV22" s="227"/>
      <c r="AW22" s="227"/>
    </row>
    <row r="23" spans="1:49" s="186" customFormat="1" ht="38.25" x14ac:dyDescent="0.2">
      <c r="A23" s="740" t="s">
        <v>501</v>
      </c>
      <c r="B23" s="540">
        <v>146</v>
      </c>
      <c r="C23" s="540">
        <v>144</v>
      </c>
      <c r="D23" s="540">
        <v>142</v>
      </c>
      <c r="E23" s="540">
        <v>76</v>
      </c>
      <c r="F23" s="540">
        <v>52</v>
      </c>
      <c r="G23" s="540">
        <v>130</v>
      </c>
      <c r="H23" s="540">
        <v>81</v>
      </c>
      <c r="I23" s="541">
        <v>13</v>
      </c>
      <c r="J23" s="541">
        <v>22</v>
      </c>
      <c r="K23" s="541">
        <v>17</v>
      </c>
      <c r="L23" s="541">
        <v>31</v>
      </c>
      <c r="M23" s="541">
        <v>25</v>
      </c>
      <c r="N23" s="541">
        <v>214</v>
      </c>
      <c r="O23" s="541">
        <v>178</v>
      </c>
      <c r="P23" s="541">
        <v>198</v>
      </c>
      <c r="Q23" s="541">
        <v>55</v>
      </c>
      <c r="R23" s="541">
        <v>55</v>
      </c>
      <c r="S23" s="541">
        <v>27</v>
      </c>
      <c r="T23" s="541">
        <v>38</v>
      </c>
      <c r="U23" s="541">
        <v>33</v>
      </c>
      <c r="V23" s="541">
        <v>80</v>
      </c>
      <c r="W23" s="541">
        <v>106</v>
      </c>
      <c r="X23" s="541">
        <v>41</v>
      </c>
      <c r="Y23" s="541">
        <v>33</v>
      </c>
      <c r="Z23" s="540">
        <v>78</v>
      </c>
      <c r="AA23" s="542">
        <v>50</v>
      </c>
      <c r="AB23" s="540">
        <v>52</v>
      </c>
      <c r="AC23" s="540">
        <v>76</v>
      </c>
      <c r="AD23" s="540">
        <v>47</v>
      </c>
      <c r="AE23" s="540">
        <v>59</v>
      </c>
      <c r="AF23" s="540">
        <v>97</v>
      </c>
      <c r="AG23" s="541">
        <v>97</v>
      </c>
      <c r="AH23" s="541">
        <v>102</v>
      </c>
      <c r="AI23" s="541"/>
      <c r="AJ23" s="541"/>
      <c r="AK23" s="541"/>
      <c r="AL23" s="541"/>
      <c r="AM23" s="541"/>
      <c r="AN23" s="541"/>
      <c r="AO23" s="541"/>
      <c r="AP23" s="541"/>
      <c r="AQ23" s="541"/>
      <c r="AR23" s="541"/>
      <c r="AS23" s="541"/>
      <c r="AT23" s="541"/>
      <c r="AU23" s="541"/>
      <c r="AV23" s="541"/>
      <c r="AW23" s="541"/>
    </row>
    <row r="24" spans="1:49" s="186" customFormat="1" x14ac:dyDescent="0.2"/>
    <row r="25" spans="1:49" s="186" customFormat="1" x14ac:dyDescent="0.2">
      <c r="A25" s="187" t="s">
        <v>387</v>
      </c>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330"/>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row>
    <row r="26" spans="1:49" s="186" customFormat="1" x14ac:dyDescent="0.2">
      <c r="A26" s="229"/>
      <c r="B26" s="163">
        <v>42095</v>
      </c>
      <c r="C26" s="163">
        <v>42125</v>
      </c>
      <c r="D26" s="163">
        <v>42156</v>
      </c>
      <c r="E26" s="163">
        <v>42186</v>
      </c>
      <c r="F26" s="163">
        <v>42217</v>
      </c>
      <c r="G26" s="163">
        <v>42248</v>
      </c>
      <c r="H26" s="163">
        <v>42278</v>
      </c>
      <c r="I26" s="164">
        <v>42309</v>
      </c>
      <c r="J26" s="164">
        <v>42339</v>
      </c>
      <c r="K26" s="164">
        <v>42370</v>
      </c>
      <c r="L26" s="164">
        <v>42401</v>
      </c>
      <c r="M26" s="164">
        <v>42430</v>
      </c>
      <c r="N26" s="164">
        <v>42461</v>
      </c>
      <c r="O26" s="164">
        <v>42491</v>
      </c>
      <c r="P26" s="164">
        <v>42522</v>
      </c>
      <c r="Q26" s="164">
        <v>42552</v>
      </c>
      <c r="R26" s="164">
        <v>42583</v>
      </c>
      <c r="S26" s="164">
        <v>42614</v>
      </c>
      <c r="T26" s="164">
        <v>42644</v>
      </c>
      <c r="U26" s="99">
        <v>42675</v>
      </c>
      <c r="V26" s="164">
        <v>42705</v>
      </c>
      <c r="W26" s="164">
        <v>42736</v>
      </c>
      <c r="X26" s="164">
        <v>42767</v>
      </c>
      <c r="Y26" s="164">
        <v>42795</v>
      </c>
      <c r="Z26" s="164">
        <v>42826</v>
      </c>
      <c r="AA26" s="209">
        <v>42856</v>
      </c>
      <c r="AB26" s="164">
        <v>42887</v>
      </c>
      <c r="AC26" s="209">
        <v>42917</v>
      </c>
      <c r="AD26" s="164">
        <v>42948</v>
      </c>
      <c r="AE26" s="209">
        <v>42979</v>
      </c>
      <c r="AF26" s="164">
        <v>43009</v>
      </c>
      <c r="AG26" s="209">
        <v>43040</v>
      </c>
      <c r="AH26" s="164">
        <v>43070</v>
      </c>
      <c r="AI26" s="164"/>
      <c r="AJ26" s="164"/>
      <c r="AK26" s="164"/>
      <c r="AL26" s="164"/>
      <c r="AM26" s="164"/>
      <c r="AN26" s="164"/>
      <c r="AO26" s="164"/>
      <c r="AP26" s="164"/>
      <c r="AQ26" s="164"/>
      <c r="AR26" s="164"/>
      <c r="AS26" s="99"/>
      <c r="AT26" s="164"/>
      <c r="AU26" s="164"/>
      <c r="AV26" s="164"/>
      <c r="AW26" s="164"/>
    </row>
    <row r="27" spans="1:49" s="186" customFormat="1" ht="25.5" x14ac:dyDescent="0.2">
      <c r="A27" s="367" t="s">
        <v>254</v>
      </c>
      <c r="B27" s="505">
        <v>0</v>
      </c>
      <c r="C27" s="505">
        <v>0</v>
      </c>
      <c r="D27" s="505">
        <v>0</v>
      </c>
      <c r="E27" s="505">
        <v>0</v>
      </c>
      <c r="F27" s="505">
        <v>0</v>
      </c>
      <c r="G27" s="505">
        <v>0</v>
      </c>
      <c r="H27" s="370">
        <v>11</v>
      </c>
      <c r="I27" s="352">
        <v>22</v>
      </c>
      <c r="J27" s="352">
        <v>29</v>
      </c>
      <c r="K27" s="352">
        <v>55</v>
      </c>
      <c r="L27" s="352">
        <v>27</v>
      </c>
      <c r="M27" s="352">
        <v>29</v>
      </c>
      <c r="N27" s="352">
        <v>47</v>
      </c>
      <c r="O27" s="352">
        <v>26</v>
      </c>
      <c r="P27" s="352">
        <v>6</v>
      </c>
      <c r="Q27" s="352">
        <v>0</v>
      </c>
      <c r="R27" s="352">
        <v>4</v>
      </c>
      <c r="S27" s="352">
        <v>0</v>
      </c>
      <c r="T27" s="352">
        <v>0</v>
      </c>
      <c r="U27" s="371">
        <v>0</v>
      </c>
      <c r="V27" s="352">
        <v>4</v>
      </c>
      <c r="W27" s="352">
        <v>11</v>
      </c>
      <c r="X27" s="352">
        <v>22</v>
      </c>
      <c r="Y27" s="352">
        <v>11</v>
      </c>
      <c r="Z27" s="370">
        <v>5</v>
      </c>
      <c r="AA27" s="503">
        <v>5</v>
      </c>
      <c r="AB27" s="370">
        <v>4</v>
      </c>
      <c r="AC27" s="370">
        <v>0</v>
      </c>
      <c r="AD27" s="370">
        <v>4</v>
      </c>
      <c r="AE27" s="370">
        <v>2</v>
      </c>
      <c r="AF27" s="370">
        <v>17</v>
      </c>
      <c r="AG27" s="352">
        <v>34</v>
      </c>
      <c r="AH27" s="352">
        <v>109</v>
      </c>
      <c r="AI27" s="352"/>
      <c r="AJ27" s="352"/>
      <c r="AK27" s="352"/>
      <c r="AL27" s="352"/>
      <c r="AM27" s="352"/>
      <c r="AN27" s="352"/>
      <c r="AO27" s="352"/>
      <c r="AP27" s="352"/>
      <c r="AQ27" s="352"/>
      <c r="AR27" s="352"/>
      <c r="AS27" s="371"/>
      <c r="AT27" s="352"/>
      <c r="AU27" s="352"/>
      <c r="AV27" s="352"/>
      <c r="AW27" s="352"/>
    </row>
    <row r="28" spans="1:49" s="186" customFormat="1" x14ac:dyDescent="0.2"/>
    <row r="29" spans="1:49" s="186" customFormat="1" x14ac:dyDescent="0.2">
      <c r="A29" s="602" t="s">
        <v>617</v>
      </c>
    </row>
    <row r="30" spans="1:49" s="186" customFormat="1" x14ac:dyDescent="0.2">
      <c r="A30" s="190"/>
      <c r="B30" s="163">
        <v>42095</v>
      </c>
      <c r="C30" s="163">
        <v>42125</v>
      </c>
      <c r="D30" s="163">
        <v>42156</v>
      </c>
      <c r="E30" s="163">
        <v>42186</v>
      </c>
      <c r="F30" s="163">
        <v>42217</v>
      </c>
      <c r="G30" s="163">
        <v>42248</v>
      </c>
      <c r="H30" s="163">
        <v>42278</v>
      </c>
      <c r="I30" s="164">
        <v>42309</v>
      </c>
      <c r="J30" s="164">
        <v>42339</v>
      </c>
      <c r="K30" s="164">
        <v>42370</v>
      </c>
      <c r="L30" s="164">
        <v>42401</v>
      </c>
      <c r="M30" s="164">
        <v>42430</v>
      </c>
      <c r="N30" s="164">
        <v>42461</v>
      </c>
      <c r="O30" s="164">
        <v>42491</v>
      </c>
      <c r="P30" s="164">
        <v>42522</v>
      </c>
      <c r="Q30" s="164">
        <v>42552</v>
      </c>
      <c r="R30" s="164">
        <v>42583</v>
      </c>
      <c r="S30" s="164">
        <v>42614</v>
      </c>
      <c r="T30" s="164">
        <v>42644</v>
      </c>
      <c r="U30" s="99">
        <v>42675</v>
      </c>
      <c r="V30" s="164">
        <v>42705</v>
      </c>
      <c r="W30" s="164">
        <v>42736</v>
      </c>
      <c r="X30" s="164">
        <v>42767</v>
      </c>
      <c r="Y30" s="164">
        <v>42795</v>
      </c>
      <c r="Z30" s="164">
        <v>42826</v>
      </c>
      <c r="AA30" s="209">
        <v>42856</v>
      </c>
      <c r="AB30" s="164">
        <v>42887</v>
      </c>
      <c r="AC30" s="209">
        <v>42917</v>
      </c>
      <c r="AD30" s="164">
        <v>42948</v>
      </c>
      <c r="AE30" s="209">
        <v>42979</v>
      </c>
      <c r="AF30" s="164">
        <v>43009</v>
      </c>
      <c r="AG30" s="209">
        <v>43040</v>
      </c>
      <c r="AH30" s="164">
        <v>43070</v>
      </c>
      <c r="AI30" s="164"/>
      <c r="AJ30" s="164"/>
      <c r="AK30" s="164"/>
      <c r="AL30" s="164"/>
      <c r="AM30" s="164"/>
      <c r="AN30" s="164"/>
      <c r="AO30" s="164"/>
      <c r="AP30" s="164"/>
      <c r="AQ30" s="164"/>
      <c r="AR30" s="164"/>
      <c r="AS30" s="99"/>
      <c r="AT30" s="164"/>
      <c r="AU30" s="164"/>
      <c r="AV30" s="164"/>
      <c r="AW30" s="164"/>
    </row>
    <row r="31" spans="1:49" s="186" customFormat="1" ht="25.5" x14ac:dyDescent="0.2">
      <c r="A31" s="372" t="s">
        <v>247</v>
      </c>
      <c r="B31" s="373">
        <f>B15+B23+B27</f>
        <v>1594</v>
      </c>
      <c r="C31" s="373">
        <f t="shared" ref="C31:AF31" si="0">C15+C23+C27</f>
        <v>1716</v>
      </c>
      <c r="D31" s="373">
        <f t="shared" si="0"/>
        <v>1994</v>
      </c>
      <c r="E31" s="373">
        <f t="shared" si="0"/>
        <v>2428</v>
      </c>
      <c r="F31" s="373">
        <f t="shared" si="0"/>
        <v>2320</v>
      </c>
      <c r="G31" s="373">
        <f t="shared" si="0"/>
        <v>2310</v>
      </c>
      <c r="H31" s="373">
        <f t="shared" si="0"/>
        <v>2398</v>
      </c>
      <c r="I31" s="373">
        <f t="shared" si="0"/>
        <v>1383</v>
      </c>
      <c r="J31" s="373">
        <f t="shared" si="0"/>
        <v>1213</v>
      </c>
      <c r="K31" s="373">
        <f t="shared" si="0"/>
        <v>1195</v>
      </c>
      <c r="L31" s="373">
        <f t="shared" si="0"/>
        <v>826</v>
      </c>
      <c r="M31" s="373">
        <f t="shared" si="0"/>
        <v>915</v>
      </c>
      <c r="N31" s="373">
        <f t="shared" si="0"/>
        <v>1513</v>
      </c>
      <c r="O31" s="373">
        <f t="shared" si="0"/>
        <v>1549</v>
      </c>
      <c r="P31" s="373">
        <f t="shared" si="0"/>
        <v>1640</v>
      </c>
      <c r="Q31" s="373">
        <f t="shared" si="0"/>
        <v>1810</v>
      </c>
      <c r="R31" s="373">
        <f t="shared" si="0"/>
        <v>1887</v>
      </c>
      <c r="S31" s="373">
        <f t="shared" si="0"/>
        <v>2047</v>
      </c>
      <c r="T31" s="373">
        <f t="shared" si="0"/>
        <v>2308</v>
      </c>
      <c r="U31" s="373">
        <f t="shared" si="0"/>
        <v>2308</v>
      </c>
      <c r="V31" s="373">
        <f t="shared" si="0"/>
        <v>2250</v>
      </c>
      <c r="W31" s="373">
        <f t="shared" si="0"/>
        <v>2439</v>
      </c>
      <c r="X31" s="373">
        <f t="shared" si="0"/>
        <v>2209</v>
      </c>
      <c r="Y31" s="373">
        <f t="shared" si="0"/>
        <v>2187</v>
      </c>
      <c r="Z31" s="373">
        <f t="shared" si="0"/>
        <v>2561</v>
      </c>
      <c r="AA31" s="373">
        <f t="shared" si="0"/>
        <v>2787</v>
      </c>
      <c r="AB31" s="373">
        <f t="shared" si="0"/>
        <v>3038</v>
      </c>
      <c r="AC31" s="373">
        <f t="shared" si="0"/>
        <v>3329</v>
      </c>
      <c r="AD31" s="373">
        <f t="shared" si="0"/>
        <v>3553</v>
      </c>
      <c r="AE31" s="373">
        <f t="shared" si="0"/>
        <v>3583</v>
      </c>
      <c r="AF31" s="373">
        <f t="shared" si="0"/>
        <v>3646</v>
      </c>
      <c r="AG31" s="373">
        <f>AG15+AG23+AG27</f>
        <v>3558</v>
      </c>
      <c r="AH31" s="373">
        <v>3799</v>
      </c>
      <c r="AI31" s="373"/>
      <c r="AJ31" s="373"/>
      <c r="AK31" s="373"/>
      <c r="AL31" s="373"/>
      <c r="AM31" s="373"/>
      <c r="AN31" s="373"/>
      <c r="AO31" s="373"/>
      <c r="AP31" s="373"/>
      <c r="AQ31" s="373"/>
      <c r="AR31" s="373"/>
      <c r="AS31" s="373"/>
      <c r="AT31" s="373"/>
      <c r="AU31" s="373"/>
      <c r="AV31" s="373"/>
      <c r="AW31" s="373"/>
    </row>
    <row r="32" spans="1:49" s="186" customFormat="1" x14ac:dyDescent="0.2"/>
    <row r="33" spans="1:49" ht="15.75" x14ac:dyDescent="0.2">
      <c r="A33" s="689" t="s">
        <v>629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216"/>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row>
    <row r="34" spans="1:49" x14ac:dyDescent="0.2">
      <c r="A34" s="127" t="s">
        <v>630</v>
      </c>
      <c r="N34" s="187" t="s">
        <v>634</v>
      </c>
    </row>
    <row r="35" spans="1:49" x14ac:dyDescent="0.2">
      <c r="A35" s="127"/>
    </row>
    <row r="59" spans="1:14" x14ac:dyDescent="0.2">
      <c r="A59" s="187" t="s">
        <v>631</v>
      </c>
      <c r="N59" s="187" t="s">
        <v>632</v>
      </c>
    </row>
    <row r="84" spans="1:14" ht="15.75" x14ac:dyDescent="0.2">
      <c r="A84" s="686" t="s">
        <v>618</v>
      </c>
    </row>
    <row r="85" spans="1:14" x14ac:dyDescent="0.2">
      <c r="A85" s="187" t="s">
        <v>634</v>
      </c>
    </row>
    <row r="86" spans="1:14" x14ac:dyDescent="0.2">
      <c r="A86" s="468"/>
      <c r="N86" s="187" t="s">
        <v>633</v>
      </c>
    </row>
    <row r="87" spans="1:14" x14ac:dyDescent="0.2">
      <c r="A87" s="468"/>
    </row>
    <row r="88" spans="1:14" x14ac:dyDescent="0.2">
      <c r="A88" s="468"/>
    </row>
    <row r="89" spans="1:14" x14ac:dyDescent="0.2">
      <c r="A89" s="468"/>
    </row>
    <row r="90" spans="1:14" x14ac:dyDescent="0.2">
      <c r="A90" s="468"/>
    </row>
    <row r="91" spans="1:14" x14ac:dyDescent="0.2">
      <c r="A91" s="468"/>
    </row>
    <row r="92" spans="1:14" x14ac:dyDescent="0.2">
      <c r="A92" s="468"/>
    </row>
    <row r="93" spans="1:14" x14ac:dyDescent="0.2">
      <c r="A93" s="468"/>
    </row>
    <row r="94" spans="1:14" x14ac:dyDescent="0.2">
      <c r="A94" s="468"/>
    </row>
    <row r="95" spans="1:14" x14ac:dyDescent="0.2">
      <c r="A95" s="468"/>
    </row>
    <row r="96" spans="1:14" x14ac:dyDescent="0.2">
      <c r="A96" s="468"/>
    </row>
    <row r="97" spans="1:14" x14ac:dyDescent="0.2">
      <c r="A97" s="468"/>
    </row>
    <row r="98" spans="1:14" x14ac:dyDescent="0.2">
      <c r="A98" s="468"/>
    </row>
    <row r="99" spans="1:14" x14ac:dyDescent="0.2">
      <c r="A99" s="468"/>
    </row>
    <row r="100" spans="1:14" x14ac:dyDescent="0.2">
      <c r="A100" s="468"/>
    </row>
    <row r="101" spans="1:14" x14ac:dyDescent="0.2">
      <c r="A101" s="468"/>
    </row>
    <row r="102" spans="1:14" x14ac:dyDescent="0.2">
      <c r="A102" s="468"/>
    </row>
    <row r="103" spans="1:14" x14ac:dyDescent="0.2">
      <c r="A103" s="468"/>
    </row>
    <row r="104" spans="1:14" x14ac:dyDescent="0.2">
      <c r="A104" s="468"/>
    </row>
    <row r="105" spans="1:14" x14ac:dyDescent="0.2">
      <c r="A105" s="468"/>
    </row>
    <row r="106" spans="1:14" x14ac:dyDescent="0.2">
      <c r="A106" s="468"/>
    </row>
    <row r="107" spans="1:14" x14ac:dyDescent="0.2">
      <c r="A107" s="463"/>
    </row>
    <row r="108" spans="1:14" x14ac:dyDescent="0.2">
      <c r="A108" s="463"/>
    </row>
    <row r="109" spans="1:14" x14ac:dyDescent="0.2">
      <c r="A109" s="463"/>
    </row>
    <row r="110" spans="1:14" x14ac:dyDescent="0.2">
      <c r="A110" s="463"/>
    </row>
    <row r="111" spans="1:14" x14ac:dyDescent="0.2">
      <c r="A111" s="187" t="s">
        <v>635</v>
      </c>
      <c r="N111" s="187" t="s">
        <v>636</v>
      </c>
    </row>
    <row r="112" spans="1:14" x14ac:dyDescent="0.2">
      <c r="A112" s="463"/>
    </row>
    <row r="113" spans="1:1" x14ac:dyDescent="0.2">
      <c r="A113" s="463"/>
    </row>
    <row r="114" spans="1:1" x14ac:dyDescent="0.2">
      <c r="A114" s="463"/>
    </row>
    <row r="115" spans="1:1" x14ac:dyDescent="0.2">
      <c r="A115" s="463"/>
    </row>
    <row r="116" spans="1:1" x14ac:dyDescent="0.2">
      <c r="A116" s="463"/>
    </row>
    <row r="117" spans="1:1" x14ac:dyDescent="0.2">
      <c r="A117" s="463"/>
    </row>
    <row r="118" spans="1:1" x14ac:dyDescent="0.2">
      <c r="A118" s="463"/>
    </row>
    <row r="119" spans="1:1" x14ac:dyDescent="0.2">
      <c r="A119" s="463"/>
    </row>
    <row r="120" spans="1:1" x14ac:dyDescent="0.2">
      <c r="A120" s="463"/>
    </row>
    <row r="121" spans="1:1" x14ac:dyDescent="0.2">
      <c r="A121" s="463"/>
    </row>
    <row r="122" spans="1:1" x14ac:dyDescent="0.2">
      <c r="A122" s="463"/>
    </row>
    <row r="123" spans="1:1" x14ac:dyDescent="0.2">
      <c r="A123" s="463"/>
    </row>
    <row r="124" spans="1:1" x14ac:dyDescent="0.2">
      <c r="A124" s="463"/>
    </row>
    <row r="125" spans="1:1" x14ac:dyDescent="0.2">
      <c r="A125" s="463"/>
    </row>
    <row r="126" spans="1:1" x14ac:dyDescent="0.2">
      <c r="A126" s="463"/>
    </row>
    <row r="127" spans="1:1" x14ac:dyDescent="0.2">
      <c r="A127" s="463"/>
    </row>
    <row r="128" spans="1:1" x14ac:dyDescent="0.2">
      <c r="A128" s="463"/>
    </row>
    <row r="129" spans="1:1" x14ac:dyDescent="0.2">
      <c r="A129" s="463"/>
    </row>
    <row r="130" spans="1:1" x14ac:dyDescent="0.2">
      <c r="A130" s="463"/>
    </row>
    <row r="131" spans="1:1" x14ac:dyDescent="0.2">
      <c r="A131" s="463"/>
    </row>
    <row r="132" spans="1:1" x14ac:dyDescent="0.2">
      <c r="A132" s="463"/>
    </row>
    <row r="133" spans="1:1" x14ac:dyDescent="0.2">
      <c r="A133" s="463"/>
    </row>
    <row r="134" spans="1:1" x14ac:dyDescent="0.2">
      <c r="A134" s="463"/>
    </row>
    <row r="135" spans="1:1" x14ac:dyDescent="0.2">
      <c r="A135" s="463"/>
    </row>
    <row r="136" spans="1:1" x14ac:dyDescent="0.2">
      <c r="A136" s="187" t="s">
        <v>637</v>
      </c>
    </row>
    <row r="137" spans="1:1" x14ac:dyDescent="0.2">
      <c r="A137" s="463"/>
    </row>
    <row r="138" spans="1:1" x14ac:dyDescent="0.2">
      <c r="A138" s="463"/>
    </row>
    <row r="139" spans="1:1" x14ac:dyDescent="0.2">
      <c r="A139" s="463"/>
    </row>
    <row r="140" spans="1:1" x14ac:dyDescent="0.2">
      <c r="A140" s="463"/>
    </row>
    <row r="141" spans="1:1" x14ac:dyDescent="0.2">
      <c r="A141" s="463"/>
    </row>
    <row r="142" spans="1:1" x14ac:dyDescent="0.2">
      <c r="A142" s="463"/>
    </row>
    <row r="143" spans="1:1" x14ac:dyDescent="0.2">
      <c r="A143" s="463"/>
    </row>
    <row r="144" spans="1:1" x14ac:dyDescent="0.2">
      <c r="A144" s="463"/>
    </row>
    <row r="145" spans="1:1" x14ac:dyDescent="0.2">
      <c r="A145" s="463"/>
    </row>
    <row r="146" spans="1:1" x14ac:dyDescent="0.2">
      <c r="A146" s="463"/>
    </row>
    <row r="147" spans="1:1" x14ac:dyDescent="0.2">
      <c r="A147" s="463"/>
    </row>
    <row r="148" spans="1:1" x14ac:dyDescent="0.2">
      <c r="A148" s="463"/>
    </row>
    <row r="149" spans="1:1" x14ac:dyDescent="0.2">
      <c r="A149" s="463"/>
    </row>
    <row r="150" spans="1:1" x14ac:dyDescent="0.2">
      <c r="A150" s="463"/>
    </row>
    <row r="151" spans="1:1" x14ac:dyDescent="0.2">
      <c r="A151" s="463"/>
    </row>
    <row r="152" spans="1:1" x14ac:dyDescent="0.2">
      <c r="A152" s="463"/>
    </row>
    <row r="153" spans="1:1" x14ac:dyDescent="0.2">
      <c r="A153" s="463"/>
    </row>
    <row r="154" spans="1:1" x14ac:dyDescent="0.2">
      <c r="A154" s="463"/>
    </row>
    <row r="155" spans="1:1" x14ac:dyDescent="0.2">
      <c r="A155" s="463"/>
    </row>
    <row r="156" spans="1:1" x14ac:dyDescent="0.2">
      <c r="A156" s="463"/>
    </row>
    <row r="157" spans="1:1" x14ac:dyDescent="0.2">
      <c r="A157" s="463"/>
    </row>
    <row r="158" spans="1:1" x14ac:dyDescent="0.2">
      <c r="A158" s="463"/>
    </row>
    <row r="159" spans="1:1" x14ac:dyDescent="0.2">
      <c r="A159" s="463"/>
    </row>
    <row r="160" spans="1:1" x14ac:dyDescent="0.2">
      <c r="A160" s="463"/>
    </row>
    <row r="161" spans="1:14" ht="15" x14ac:dyDescent="0.2">
      <c r="A161" s="687" t="s">
        <v>386</v>
      </c>
    </row>
    <row r="162" spans="1:14" x14ac:dyDescent="0.2">
      <c r="A162" s="127" t="s">
        <v>619</v>
      </c>
      <c r="N162" s="127" t="s">
        <v>620</v>
      </c>
    </row>
    <row r="163" spans="1:14" x14ac:dyDescent="0.2">
      <c r="A163" s="463"/>
    </row>
    <row r="164" spans="1:14" x14ac:dyDescent="0.2">
      <c r="A164" s="463"/>
    </row>
    <row r="165" spans="1:14" x14ac:dyDescent="0.2">
      <c r="A165" s="463"/>
    </row>
    <row r="166" spans="1:14" x14ac:dyDescent="0.2">
      <c r="A166" s="463"/>
    </row>
    <row r="167" spans="1:14" x14ac:dyDescent="0.2">
      <c r="A167" s="463"/>
    </row>
    <row r="168" spans="1:14" x14ac:dyDescent="0.2">
      <c r="A168" s="463"/>
    </row>
    <row r="169" spans="1:14" x14ac:dyDescent="0.2">
      <c r="A169" s="463"/>
    </row>
    <row r="170" spans="1:14" x14ac:dyDescent="0.2">
      <c r="A170" s="463"/>
    </row>
    <row r="171" spans="1:14" x14ac:dyDescent="0.2">
      <c r="A171" s="463"/>
    </row>
    <row r="172" spans="1:14" x14ac:dyDescent="0.2">
      <c r="A172" s="463"/>
    </row>
    <row r="173" spans="1:14" x14ac:dyDescent="0.2">
      <c r="A173" s="463"/>
    </row>
    <row r="174" spans="1:14" x14ac:dyDescent="0.2">
      <c r="A174" s="463"/>
    </row>
    <row r="175" spans="1:14" x14ac:dyDescent="0.2">
      <c r="A175" s="463"/>
    </row>
    <row r="176" spans="1:14" x14ac:dyDescent="0.2">
      <c r="A176" s="463"/>
    </row>
    <row r="177" spans="1:14" x14ac:dyDescent="0.2">
      <c r="A177" s="463"/>
    </row>
    <row r="178" spans="1:14" x14ac:dyDescent="0.2">
      <c r="A178" s="463"/>
    </row>
    <row r="179" spans="1:14" x14ac:dyDescent="0.2">
      <c r="A179" s="463"/>
    </row>
    <row r="180" spans="1:14" x14ac:dyDescent="0.2">
      <c r="A180" s="463"/>
    </row>
    <row r="181" spans="1:14" x14ac:dyDescent="0.2">
      <c r="A181" s="463"/>
    </row>
    <row r="182" spans="1:14" x14ac:dyDescent="0.2">
      <c r="A182" s="463"/>
    </row>
    <row r="183" spans="1:14" x14ac:dyDescent="0.2">
      <c r="A183" s="463"/>
    </row>
    <row r="184" spans="1:14" x14ac:dyDescent="0.2">
      <c r="A184" s="463"/>
    </row>
    <row r="185" spans="1:14" x14ac:dyDescent="0.2">
      <c r="A185" s="463"/>
    </row>
    <row r="186" spans="1:14" x14ac:dyDescent="0.2">
      <c r="A186" s="463"/>
    </row>
    <row r="187" spans="1:14" x14ac:dyDescent="0.2">
      <c r="A187" s="127" t="s">
        <v>621</v>
      </c>
      <c r="N187" s="127" t="s">
        <v>622</v>
      </c>
    </row>
    <row r="188" spans="1:14" x14ac:dyDescent="0.2">
      <c r="A188" s="463"/>
    </row>
    <row r="189" spans="1:14" x14ac:dyDescent="0.2">
      <c r="A189" s="463"/>
    </row>
    <row r="190" spans="1:14" x14ac:dyDescent="0.2">
      <c r="A190" s="463"/>
    </row>
    <row r="191" spans="1:14" x14ac:dyDescent="0.2">
      <c r="A191" s="463"/>
    </row>
    <row r="192" spans="1:14" x14ac:dyDescent="0.2">
      <c r="A192" s="463"/>
    </row>
    <row r="193" spans="1:1" x14ac:dyDescent="0.2">
      <c r="A193" s="463"/>
    </row>
    <row r="194" spans="1:1" x14ac:dyDescent="0.2">
      <c r="A194" s="463"/>
    </row>
    <row r="195" spans="1:1" x14ac:dyDescent="0.2">
      <c r="A195" s="463"/>
    </row>
    <row r="196" spans="1:1" x14ac:dyDescent="0.2">
      <c r="A196" s="463"/>
    </row>
    <row r="197" spans="1:1" x14ac:dyDescent="0.2">
      <c r="A197" s="463"/>
    </row>
    <row r="198" spans="1:1" x14ac:dyDescent="0.2">
      <c r="A198" s="463"/>
    </row>
    <row r="199" spans="1:1" x14ac:dyDescent="0.2">
      <c r="A199" s="463"/>
    </row>
    <row r="200" spans="1:1" x14ac:dyDescent="0.2">
      <c r="A200" s="463"/>
    </row>
    <row r="201" spans="1:1" x14ac:dyDescent="0.2">
      <c r="A201" s="463"/>
    </row>
    <row r="202" spans="1:1" x14ac:dyDescent="0.2">
      <c r="A202" s="463"/>
    </row>
    <row r="203" spans="1:1" x14ac:dyDescent="0.2">
      <c r="A203" s="463"/>
    </row>
    <row r="204" spans="1:1" x14ac:dyDescent="0.2">
      <c r="A204" s="463"/>
    </row>
    <row r="205" spans="1:1" x14ac:dyDescent="0.2">
      <c r="A205" s="463"/>
    </row>
    <row r="206" spans="1:1" x14ac:dyDescent="0.2">
      <c r="A206" s="463"/>
    </row>
    <row r="207" spans="1:1" x14ac:dyDescent="0.2">
      <c r="A207" s="463"/>
    </row>
    <row r="208" spans="1:1" x14ac:dyDescent="0.2">
      <c r="A208" s="463"/>
    </row>
    <row r="209" spans="1:62" x14ac:dyDescent="0.2">
      <c r="A209" s="463"/>
    </row>
    <row r="210" spans="1:62" x14ac:dyDescent="0.2">
      <c r="A210" s="463"/>
    </row>
    <row r="211" spans="1:62" x14ac:dyDescent="0.2">
      <c r="A211" s="463"/>
    </row>
    <row r="212" spans="1:62" x14ac:dyDescent="0.2">
      <c r="A212" s="127" t="s">
        <v>623</v>
      </c>
      <c r="C212" s="145" t="s">
        <v>628</v>
      </c>
    </row>
    <row r="213" spans="1:62" x14ac:dyDescent="0.2">
      <c r="A213" s="463"/>
    </row>
    <row r="214" spans="1:62" x14ac:dyDescent="0.2">
      <c r="A214" s="463"/>
    </row>
    <row r="215" spans="1:62" x14ac:dyDescent="0.2">
      <c r="A215" s="463"/>
    </row>
    <row r="216" spans="1:62" x14ac:dyDescent="0.2">
      <c r="A216" s="463"/>
    </row>
    <row r="218" spans="1:62" x14ac:dyDescent="0.2">
      <c r="BG218" s="442"/>
      <c r="BH218" s="186"/>
      <c r="BI218" s="186"/>
      <c r="BJ218" s="441"/>
    </row>
    <row r="237" spans="1:20" ht="15" x14ac:dyDescent="0.25">
      <c r="A237" s="808" t="s">
        <v>624</v>
      </c>
    </row>
    <row r="238" spans="1:20" x14ac:dyDescent="0.2">
      <c r="A238" s="127" t="s">
        <v>625</v>
      </c>
      <c r="D238" s="145"/>
      <c r="N238" s="127"/>
      <c r="T238" s="688"/>
    </row>
    <row r="266" spans="1:1" ht="15" x14ac:dyDescent="0.25">
      <c r="A266" s="451" t="s">
        <v>626</v>
      </c>
    </row>
    <row r="267" spans="1:1" x14ac:dyDescent="0.2">
      <c r="A267" s="127" t="s">
        <v>627</v>
      </c>
    </row>
    <row r="292" spans="1:49" ht="15.75" x14ac:dyDescent="0.25">
      <c r="A292" s="292" t="s">
        <v>736</v>
      </c>
    </row>
    <row r="294" spans="1:49" x14ac:dyDescent="0.2">
      <c r="A294" s="187" t="s">
        <v>381</v>
      </c>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row>
    <row r="295" spans="1:49" x14ac:dyDescent="0.2">
      <c r="A295" s="224"/>
      <c r="B295" s="163">
        <v>42095</v>
      </c>
      <c r="C295" s="163">
        <v>42125</v>
      </c>
      <c r="D295" s="163">
        <v>42156</v>
      </c>
      <c r="E295" s="163">
        <v>42186</v>
      </c>
      <c r="F295" s="163">
        <v>42217</v>
      </c>
      <c r="G295" s="163">
        <v>42248</v>
      </c>
      <c r="H295" s="163">
        <v>42278</v>
      </c>
      <c r="I295" s="164">
        <v>42309</v>
      </c>
      <c r="J295" s="164">
        <v>42339</v>
      </c>
      <c r="K295" s="164">
        <v>42370</v>
      </c>
      <c r="L295" s="164">
        <v>42401</v>
      </c>
      <c r="M295" s="164">
        <v>42430</v>
      </c>
      <c r="N295" s="164">
        <v>42461</v>
      </c>
      <c r="O295" s="164">
        <v>42491</v>
      </c>
      <c r="P295" s="164">
        <v>42522</v>
      </c>
      <c r="Q295" s="164">
        <v>42552</v>
      </c>
      <c r="R295" s="164">
        <v>42583</v>
      </c>
      <c r="S295" s="164">
        <v>42614</v>
      </c>
      <c r="T295" s="164">
        <v>42644</v>
      </c>
      <c r="U295" s="164">
        <v>42675</v>
      </c>
      <c r="V295" s="164">
        <v>42705</v>
      </c>
      <c r="W295" s="164">
        <v>42736</v>
      </c>
      <c r="X295" s="164">
        <v>42767</v>
      </c>
      <c r="Y295" s="164">
        <v>42795</v>
      </c>
      <c r="Z295" s="163">
        <v>42826</v>
      </c>
      <c r="AA295" s="209">
        <v>42856</v>
      </c>
      <c r="AB295" s="163">
        <v>42887</v>
      </c>
      <c r="AC295" s="209">
        <v>42917</v>
      </c>
      <c r="AD295" s="163">
        <v>42948</v>
      </c>
      <c r="AE295" s="209">
        <v>42979</v>
      </c>
      <c r="AF295" s="163">
        <v>43009</v>
      </c>
      <c r="AG295" s="209">
        <v>43040</v>
      </c>
      <c r="AH295" s="163">
        <v>43070</v>
      </c>
      <c r="AI295" s="164"/>
      <c r="AJ295" s="164"/>
      <c r="AK295" s="164"/>
      <c r="AL295" s="164"/>
      <c r="AM295" s="164"/>
      <c r="AN295" s="164"/>
      <c r="AO295" s="164"/>
      <c r="AP295" s="164"/>
      <c r="AQ295" s="164"/>
      <c r="AR295" s="164"/>
      <c r="AS295" s="164"/>
      <c r="AT295" s="164"/>
      <c r="AU295" s="164"/>
      <c r="AV295" s="164"/>
      <c r="AW295" s="164"/>
    </row>
    <row r="296" spans="1:49" x14ac:dyDescent="0.2">
      <c r="A296" s="225" t="s">
        <v>377</v>
      </c>
      <c r="B296" s="119">
        <f t="shared" ref="B296:AF296" si="1">B11</f>
        <v>654</v>
      </c>
      <c r="C296" s="119">
        <f t="shared" si="1"/>
        <v>761</v>
      </c>
      <c r="D296" s="119">
        <f t="shared" si="1"/>
        <v>841</v>
      </c>
      <c r="E296" s="119">
        <f t="shared" si="1"/>
        <v>978</v>
      </c>
      <c r="F296" s="119">
        <f t="shared" si="1"/>
        <v>846</v>
      </c>
      <c r="G296" s="119">
        <f t="shared" si="1"/>
        <v>778</v>
      </c>
      <c r="H296" s="119">
        <f t="shared" si="1"/>
        <v>850</v>
      </c>
      <c r="I296" s="119">
        <f t="shared" si="1"/>
        <v>592</v>
      </c>
      <c r="J296" s="119">
        <f t="shared" si="1"/>
        <v>497</v>
      </c>
      <c r="K296" s="119">
        <f t="shared" si="1"/>
        <v>504</v>
      </c>
      <c r="L296" s="119">
        <f t="shared" si="1"/>
        <v>389</v>
      </c>
      <c r="M296" s="119">
        <f t="shared" si="1"/>
        <v>433</v>
      </c>
      <c r="N296" s="119">
        <f t="shared" si="1"/>
        <v>552</v>
      </c>
      <c r="O296" s="119">
        <f t="shared" si="1"/>
        <v>567</v>
      </c>
      <c r="P296" s="119">
        <f t="shared" si="1"/>
        <v>620</v>
      </c>
      <c r="Q296" s="119">
        <f t="shared" si="1"/>
        <v>730</v>
      </c>
      <c r="R296" s="119">
        <f t="shared" si="1"/>
        <v>710</v>
      </c>
      <c r="S296" s="119">
        <f t="shared" si="1"/>
        <v>792</v>
      </c>
      <c r="T296" s="119">
        <f t="shared" si="1"/>
        <v>922</v>
      </c>
      <c r="U296" s="119">
        <f t="shared" si="1"/>
        <v>873</v>
      </c>
      <c r="V296" s="119">
        <f t="shared" si="1"/>
        <v>786</v>
      </c>
      <c r="W296" s="119">
        <f t="shared" si="1"/>
        <v>807</v>
      </c>
      <c r="X296" s="119">
        <f t="shared" si="1"/>
        <v>758</v>
      </c>
      <c r="Y296" s="119">
        <f t="shared" si="1"/>
        <v>668</v>
      </c>
      <c r="Z296" s="119">
        <f t="shared" si="1"/>
        <v>774</v>
      </c>
      <c r="AA296" s="119">
        <f t="shared" si="1"/>
        <v>871</v>
      </c>
      <c r="AB296" s="119">
        <f t="shared" si="1"/>
        <v>992</v>
      </c>
      <c r="AC296" s="119">
        <f t="shared" si="1"/>
        <v>1120</v>
      </c>
      <c r="AD296" s="119">
        <f t="shared" si="1"/>
        <v>1225</v>
      </c>
      <c r="AE296" s="119">
        <f t="shared" si="1"/>
        <v>1224</v>
      </c>
      <c r="AF296" s="119">
        <f t="shared" si="1"/>
        <v>1209</v>
      </c>
      <c r="AG296" s="119">
        <f t="shared" ref="AG296:AH296" si="2">AG11</f>
        <v>1189</v>
      </c>
      <c r="AH296" s="119">
        <f t="shared" si="2"/>
        <v>1209</v>
      </c>
      <c r="AI296" s="269"/>
      <c r="AJ296" s="269"/>
      <c r="AK296" s="269"/>
      <c r="AL296" s="269"/>
      <c r="AM296" s="269"/>
      <c r="AN296" s="269"/>
      <c r="AO296" s="269"/>
      <c r="AP296" s="269"/>
      <c r="AQ296" s="269"/>
      <c r="AR296" s="269"/>
      <c r="AS296" s="269"/>
      <c r="AT296" s="269"/>
      <c r="AU296" s="269"/>
      <c r="AV296" s="269"/>
      <c r="AW296" s="269"/>
    </row>
    <row r="297" spans="1:49" x14ac:dyDescent="0.2">
      <c r="A297" s="225" t="s">
        <v>376</v>
      </c>
      <c r="B297" s="119">
        <f t="shared" ref="B297:AF297" si="3">B12</f>
        <v>285</v>
      </c>
      <c r="C297" s="119">
        <f t="shared" si="3"/>
        <v>303</v>
      </c>
      <c r="D297" s="119">
        <f t="shared" si="3"/>
        <v>421</v>
      </c>
      <c r="E297" s="119">
        <f t="shared" si="3"/>
        <v>654</v>
      </c>
      <c r="F297" s="119">
        <f t="shared" si="3"/>
        <v>674</v>
      </c>
      <c r="G297" s="119">
        <f t="shared" si="3"/>
        <v>680</v>
      </c>
      <c r="H297" s="119">
        <f t="shared" si="3"/>
        <v>639</v>
      </c>
      <c r="I297" s="119">
        <f t="shared" si="3"/>
        <v>406</v>
      </c>
      <c r="J297" s="119">
        <f t="shared" si="3"/>
        <v>457</v>
      </c>
      <c r="K297" s="119">
        <f t="shared" si="3"/>
        <v>418</v>
      </c>
      <c r="L297" s="119">
        <f t="shared" si="3"/>
        <v>210</v>
      </c>
      <c r="M297" s="119">
        <f t="shared" si="3"/>
        <v>229</v>
      </c>
      <c r="N297" s="119">
        <f t="shared" si="3"/>
        <v>448</v>
      </c>
      <c r="O297" s="119">
        <f t="shared" si="3"/>
        <v>507</v>
      </c>
      <c r="P297" s="119">
        <f t="shared" si="3"/>
        <v>568</v>
      </c>
      <c r="Q297" s="119">
        <f t="shared" si="3"/>
        <v>682</v>
      </c>
      <c r="R297" s="119">
        <f t="shared" si="3"/>
        <v>716</v>
      </c>
      <c r="S297" s="119">
        <f t="shared" si="3"/>
        <v>742</v>
      </c>
      <c r="T297" s="119">
        <f t="shared" si="3"/>
        <v>767</v>
      </c>
      <c r="U297" s="119">
        <f t="shared" si="3"/>
        <v>780</v>
      </c>
      <c r="V297" s="119">
        <f t="shared" si="3"/>
        <v>746</v>
      </c>
      <c r="W297" s="119">
        <f t="shared" si="3"/>
        <v>728</v>
      </c>
      <c r="X297" s="119">
        <f t="shared" si="3"/>
        <v>660</v>
      </c>
      <c r="Y297" s="119">
        <f t="shared" si="3"/>
        <v>669</v>
      </c>
      <c r="Z297" s="119">
        <f t="shared" si="3"/>
        <v>762</v>
      </c>
      <c r="AA297" s="119">
        <f t="shared" si="3"/>
        <v>835</v>
      </c>
      <c r="AB297" s="119">
        <f t="shared" si="3"/>
        <v>846</v>
      </c>
      <c r="AC297" s="119">
        <f t="shared" si="3"/>
        <v>961</v>
      </c>
      <c r="AD297" s="119">
        <f t="shared" si="3"/>
        <v>1065</v>
      </c>
      <c r="AE297" s="119">
        <f t="shared" si="3"/>
        <v>1076</v>
      </c>
      <c r="AF297" s="119">
        <f t="shared" si="3"/>
        <v>1050</v>
      </c>
      <c r="AG297" s="119">
        <f t="shared" ref="AG297:AH297" si="4">AG12</f>
        <v>986</v>
      </c>
      <c r="AH297" s="119">
        <f t="shared" si="4"/>
        <v>1122</v>
      </c>
      <c r="AI297" s="269"/>
      <c r="AJ297" s="269"/>
      <c r="AK297" s="269"/>
      <c r="AL297" s="269"/>
      <c r="AM297" s="269"/>
      <c r="AN297" s="269"/>
      <c r="AO297" s="269"/>
      <c r="AP297" s="269"/>
      <c r="AQ297" s="269"/>
      <c r="AR297" s="269"/>
      <c r="AS297" s="269"/>
      <c r="AT297" s="269"/>
      <c r="AU297" s="269"/>
      <c r="AV297" s="269"/>
      <c r="AW297" s="269"/>
    </row>
    <row r="298" spans="1:49" ht="25.5" x14ac:dyDescent="0.2">
      <c r="A298" s="225" t="s">
        <v>378</v>
      </c>
      <c r="B298" s="119">
        <f t="shared" ref="B298:AF298" si="5">B13</f>
        <v>262</v>
      </c>
      <c r="C298" s="119">
        <f t="shared" si="5"/>
        <v>284</v>
      </c>
      <c r="D298" s="119">
        <f t="shared" si="5"/>
        <v>294</v>
      </c>
      <c r="E298" s="119">
        <f t="shared" si="5"/>
        <v>310</v>
      </c>
      <c r="F298" s="119">
        <f t="shared" si="5"/>
        <v>278</v>
      </c>
      <c r="G298" s="119">
        <f t="shared" si="5"/>
        <v>235</v>
      </c>
      <c r="H298" s="119">
        <f t="shared" si="5"/>
        <v>246</v>
      </c>
      <c r="I298" s="119">
        <f t="shared" si="5"/>
        <v>171</v>
      </c>
      <c r="J298" s="119">
        <f t="shared" si="5"/>
        <v>162</v>
      </c>
      <c r="K298" s="119">
        <f t="shared" si="5"/>
        <v>173</v>
      </c>
      <c r="L298" s="119">
        <f t="shared" si="5"/>
        <v>142</v>
      </c>
      <c r="M298" s="119">
        <f t="shared" si="5"/>
        <v>162</v>
      </c>
      <c r="N298" s="119">
        <f t="shared" si="5"/>
        <v>209</v>
      </c>
      <c r="O298" s="119">
        <f t="shared" si="5"/>
        <v>198</v>
      </c>
      <c r="P298" s="119">
        <f t="shared" si="5"/>
        <v>192</v>
      </c>
      <c r="Q298" s="119">
        <f t="shared" si="5"/>
        <v>244</v>
      </c>
      <c r="R298" s="119">
        <f t="shared" si="5"/>
        <v>347</v>
      </c>
      <c r="S298" s="119">
        <f t="shared" si="5"/>
        <v>391</v>
      </c>
      <c r="T298" s="119">
        <f t="shared" si="5"/>
        <v>395</v>
      </c>
      <c r="U298" s="119">
        <f t="shared" si="5"/>
        <v>375</v>
      </c>
      <c r="V298" s="119">
        <f t="shared" si="5"/>
        <v>308</v>
      </c>
      <c r="W298" s="119">
        <f t="shared" si="5"/>
        <v>345</v>
      </c>
      <c r="X298" s="119">
        <f t="shared" si="5"/>
        <v>299</v>
      </c>
      <c r="Y298" s="119">
        <f t="shared" si="5"/>
        <v>311</v>
      </c>
      <c r="Z298" s="119">
        <f t="shared" si="5"/>
        <v>372</v>
      </c>
      <c r="AA298" s="119">
        <f t="shared" si="5"/>
        <v>377</v>
      </c>
      <c r="AB298" s="119">
        <f t="shared" si="5"/>
        <v>420</v>
      </c>
      <c r="AC298" s="119">
        <f t="shared" si="5"/>
        <v>450</v>
      </c>
      <c r="AD298" s="119">
        <f t="shared" si="5"/>
        <v>459</v>
      </c>
      <c r="AE298" s="119">
        <f t="shared" si="5"/>
        <v>495</v>
      </c>
      <c r="AF298" s="119">
        <f t="shared" si="5"/>
        <v>508</v>
      </c>
      <c r="AG298" s="119">
        <f t="shared" ref="AG298:AH298" si="6">AG13</f>
        <v>479</v>
      </c>
      <c r="AH298" s="119">
        <f t="shared" si="6"/>
        <v>483</v>
      </c>
      <c r="AI298" s="269"/>
      <c r="AJ298" s="269"/>
      <c r="AK298" s="269"/>
      <c r="AL298" s="269"/>
      <c r="AM298" s="269"/>
      <c r="AN298" s="269"/>
      <c r="AO298" s="269"/>
      <c r="AP298" s="269"/>
      <c r="AQ298" s="269"/>
      <c r="AR298" s="269"/>
      <c r="AS298" s="269"/>
      <c r="AT298" s="269"/>
      <c r="AU298" s="269"/>
      <c r="AV298" s="269"/>
      <c r="AW298" s="269"/>
    </row>
    <row r="299" spans="1:49" x14ac:dyDescent="0.2">
      <c r="A299" s="225" t="s">
        <v>379</v>
      </c>
      <c r="B299" s="119">
        <f t="shared" ref="B299:AF299" si="7">B14</f>
        <v>247</v>
      </c>
      <c r="C299" s="119">
        <f t="shared" si="7"/>
        <v>224</v>
      </c>
      <c r="D299" s="119">
        <f t="shared" si="7"/>
        <v>296</v>
      </c>
      <c r="E299" s="119">
        <f t="shared" si="7"/>
        <v>410</v>
      </c>
      <c r="F299" s="119">
        <f t="shared" si="7"/>
        <v>470</v>
      </c>
      <c r="G299" s="119">
        <f t="shared" si="7"/>
        <v>487</v>
      </c>
      <c r="H299" s="119">
        <f t="shared" si="7"/>
        <v>571</v>
      </c>
      <c r="I299" s="119">
        <f t="shared" si="7"/>
        <v>179</v>
      </c>
      <c r="J299" s="119">
        <f t="shared" si="7"/>
        <v>46</v>
      </c>
      <c r="K299" s="119">
        <f t="shared" si="7"/>
        <v>28</v>
      </c>
      <c r="L299" s="119">
        <f t="shared" si="7"/>
        <v>27</v>
      </c>
      <c r="M299" s="119">
        <f t="shared" si="7"/>
        <v>37</v>
      </c>
      <c r="N299" s="119">
        <f t="shared" si="7"/>
        <v>43</v>
      </c>
      <c r="O299" s="119">
        <f t="shared" si="7"/>
        <v>73</v>
      </c>
      <c r="P299" s="119">
        <f t="shared" si="7"/>
        <v>56</v>
      </c>
      <c r="Q299" s="119">
        <f t="shared" si="7"/>
        <v>99</v>
      </c>
      <c r="R299" s="119">
        <f t="shared" si="7"/>
        <v>55</v>
      </c>
      <c r="S299" s="119">
        <f t="shared" si="7"/>
        <v>95</v>
      </c>
      <c r="T299" s="119">
        <f t="shared" si="7"/>
        <v>186</v>
      </c>
      <c r="U299" s="119">
        <f t="shared" si="7"/>
        <v>247</v>
      </c>
      <c r="V299" s="119">
        <f t="shared" si="7"/>
        <v>326</v>
      </c>
      <c r="W299" s="119">
        <f t="shared" si="7"/>
        <v>442</v>
      </c>
      <c r="X299" s="119">
        <f t="shared" si="7"/>
        <v>429</v>
      </c>
      <c r="Y299" s="119">
        <f t="shared" si="7"/>
        <v>495</v>
      </c>
      <c r="Z299" s="119">
        <f t="shared" si="7"/>
        <v>570</v>
      </c>
      <c r="AA299" s="119">
        <f t="shared" si="7"/>
        <v>649</v>
      </c>
      <c r="AB299" s="119">
        <f t="shared" si="7"/>
        <v>724</v>
      </c>
      <c r="AC299" s="119">
        <f t="shared" si="7"/>
        <v>722</v>
      </c>
      <c r="AD299" s="119">
        <f t="shared" si="7"/>
        <v>753</v>
      </c>
      <c r="AE299" s="119">
        <f t="shared" si="7"/>
        <v>727</v>
      </c>
      <c r="AF299" s="119">
        <f t="shared" si="7"/>
        <v>765</v>
      </c>
      <c r="AG299" s="119">
        <f t="shared" ref="AG299:AH299" si="8">AG14</f>
        <v>773</v>
      </c>
      <c r="AH299" s="119">
        <f t="shared" si="8"/>
        <v>774</v>
      </c>
      <c r="AI299" s="269"/>
      <c r="AJ299" s="269"/>
      <c r="AK299" s="269"/>
      <c r="AL299" s="269"/>
      <c r="AM299" s="269"/>
      <c r="AN299" s="269"/>
      <c r="AO299" s="269"/>
      <c r="AP299" s="269"/>
      <c r="AQ299" s="269"/>
      <c r="AR299" s="269"/>
      <c r="AS299" s="269"/>
      <c r="AT299" s="269"/>
      <c r="AU299" s="269"/>
      <c r="AV299" s="269"/>
      <c r="AW299" s="269"/>
    </row>
    <row r="300" spans="1:49" ht="38.25" x14ac:dyDescent="0.2">
      <c r="A300" s="367" t="s">
        <v>248</v>
      </c>
      <c r="B300" s="684">
        <f t="shared" ref="B300:AF300" si="9">B15</f>
        <v>1448</v>
      </c>
      <c r="C300" s="684">
        <f t="shared" si="9"/>
        <v>1572</v>
      </c>
      <c r="D300" s="684">
        <f t="shared" si="9"/>
        <v>1852</v>
      </c>
      <c r="E300" s="684">
        <f t="shared" si="9"/>
        <v>2352</v>
      </c>
      <c r="F300" s="684">
        <f t="shared" si="9"/>
        <v>2268</v>
      </c>
      <c r="G300" s="684">
        <f t="shared" si="9"/>
        <v>2180</v>
      </c>
      <c r="H300" s="684">
        <f t="shared" si="9"/>
        <v>2306</v>
      </c>
      <c r="I300" s="684">
        <f t="shared" si="9"/>
        <v>1348</v>
      </c>
      <c r="J300" s="684">
        <f t="shared" si="9"/>
        <v>1162</v>
      </c>
      <c r="K300" s="684">
        <f t="shared" si="9"/>
        <v>1123</v>
      </c>
      <c r="L300" s="684">
        <f t="shared" si="9"/>
        <v>768</v>
      </c>
      <c r="M300" s="684">
        <f t="shared" si="9"/>
        <v>861</v>
      </c>
      <c r="N300" s="684">
        <f t="shared" si="9"/>
        <v>1252</v>
      </c>
      <c r="O300" s="684">
        <f t="shared" si="9"/>
        <v>1345</v>
      </c>
      <c r="P300" s="684">
        <f t="shared" si="9"/>
        <v>1436</v>
      </c>
      <c r="Q300" s="684">
        <f t="shared" si="9"/>
        <v>1755</v>
      </c>
      <c r="R300" s="684">
        <f t="shared" si="9"/>
        <v>1828</v>
      </c>
      <c r="S300" s="684">
        <f t="shared" si="9"/>
        <v>2020</v>
      </c>
      <c r="T300" s="684">
        <f t="shared" si="9"/>
        <v>2270</v>
      </c>
      <c r="U300" s="684">
        <f t="shared" si="9"/>
        <v>2275</v>
      </c>
      <c r="V300" s="684">
        <f t="shared" si="9"/>
        <v>2166</v>
      </c>
      <c r="W300" s="684">
        <f t="shared" si="9"/>
        <v>2322</v>
      </c>
      <c r="X300" s="684">
        <f t="shared" si="9"/>
        <v>2146</v>
      </c>
      <c r="Y300" s="684">
        <f t="shared" si="9"/>
        <v>2143</v>
      </c>
      <c r="Z300" s="684">
        <f t="shared" si="9"/>
        <v>2478</v>
      </c>
      <c r="AA300" s="684">
        <f t="shared" si="9"/>
        <v>2732</v>
      </c>
      <c r="AB300" s="684">
        <f t="shared" si="9"/>
        <v>2982</v>
      </c>
      <c r="AC300" s="684">
        <f t="shared" si="9"/>
        <v>3253</v>
      </c>
      <c r="AD300" s="684">
        <f t="shared" si="9"/>
        <v>3502</v>
      </c>
      <c r="AE300" s="684">
        <f t="shared" si="9"/>
        <v>3522</v>
      </c>
      <c r="AF300" s="684">
        <f t="shared" si="9"/>
        <v>3532</v>
      </c>
      <c r="AG300" s="684">
        <f t="shared" ref="AG300:AH300" si="10">AG15</f>
        <v>3427</v>
      </c>
      <c r="AH300" s="684">
        <f t="shared" si="10"/>
        <v>3588</v>
      </c>
      <c r="AI300" s="369"/>
      <c r="AJ300" s="369"/>
      <c r="AK300" s="369"/>
      <c r="AL300" s="369"/>
      <c r="AM300" s="369"/>
      <c r="AN300" s="369"/>
      <c r="AO300" s="369"/>
      <c r="AP300" s="369"/>
      <c r="AQ300" s="369"/>
      <c r="AR300" s="369"/>
      <c r="AS300" s="369"/>
      <c r="AT300" s="369"/>
      <c r="AU300" s="369"/>
      <c r="AV300" s="369"/>
      <c r="AW300" s="228"/>
    </row>
    <row r="301" spans="1:49" ht="15" x14ac:dyDescent="0.2">
      <c r="A301" s="533" t="s">
        <v>377</v>
      </c>
      <c r="B301" s="478" t="s">
        <v>491</v>
      </c>
      <c r="C301" s="623"/>
      <c r="D301" s="623"/>
      <c r="E301" s="472"/>
      <c r="F301" s="472"/>
      <c r="G301" s="472"/>
      <c r="H301" s="472"/>
      <c r="I301" s="473"/>
      <c r="J301" s="473"/>
      <c r="K301" s="473"/>
      <c r="L301" s="474"/>
      <c r="M301" s="474"/>
      <c r="N301" s="473"/>
      <c r="O301" s="473"/>
      <c r="P301" s="473"/>
      <c r="Q301" s="473"/>
      <c r="R301" s="473"/>
      <c r="S301" s="473"/>
      <c r="T301" s="473"/>
      <c r="U301" s="473"/>
      <c r="V301" s="473"/>
      <c r="W301" s="473"/>
      <c r="X301" s="473"/>
      <c r="Y301" s="473"/>
      <c r="Z301" s="368"/>
      <c r="AA301" s="500"/>
      <c r="AB301" s="368"/>
      <c r="AC301" s="368"/>
      <c r="AD301" s="368"/>
      <c r="AE301" s="368"/>
      <c r="AF301" s="368"/>
      <c r="AG301" s="369"/>
      <c r="AH301" s="369"/>
      <c r="AI301" s="369"/>
      <c r="AJ301" s="352"/>
      <c r="AK301" s="352"/>
      <c r="AL301" s="369"/>
      <c r="AM301" s="369"/>
      <c r="AN301" s="369"/>
      <c r="AO301" s="369"/>
      <c r="AP301" s="369"/>
      <c r="AQ301" s="369"/>
      <c r="AR301" s="369"/>
      <c r="AS301" s="369"/>
      <c r="AT301" s="369"/>
      <c r="AU301" s="369"/>
      <c r="AV301" s="369"/>
      <c r="AW301" s="228"/>
    </row>
    <row r="302" spans="1:49" x14ac:dyDescent="0.2">
      <c r="A302" s="469" t="s">
        <v>130</v>
      </c>
      <c r="B302" s="472"/>
      <c r="C302" s="472"/>
      <c r="D302" s="472"/>
      <c r="E302" s="472"/>
      <c r="F302" s="472"/>
      <c r="G302" s="472"/>
      <c r="H302" s="472"/>
      <c r="I302" s="473"/>
      <c r="J302" s="473"/>
      <c r="K302" s="473"/>
      <c r="L302" s="474"/>
      <c r="M302" s="474"/>
      <c r="N302" s="473"/>
      <c r="O302" s="473"/>
      <c r="P302" s="473"/>
      <c r="Q302" s="473"/>
      <c r="R302" s="473"/>
      <c r="S302" s="473"/>
      <c r="T302" s="473"/>
      <c r="U302" s="473"/>
      <c r="V302" s="473"/>
      <c r="W302" s="473"/>
      <c r="X302" s="473"/>
      <c r="Y302" s="473"/>
      <c r="Z302" s="368"/>
      <c r="AA302" s="500"/>
      <c r="AB302" s="368"/>
      <c r="AC302" s="368"/>
      <c r="AD302" s="368"/>
      <c r="AE302" s="368"/>
      <c r="AF302" s="368"/>
      <c r="AG302" s="369"/>
      <c r="AH302" s="369"/>
      <c r="AI302" s="369"/>
      <c r="AJ302" s="352"/>
      <c r="AK302" s="352"/>
      <c r="AL302" s="369"/>
      <c r="AM302" s="369"/>
      <c r="AN302" s="369"/>
      <c r="AO302" s="369"/>
      <c r="AP302" s="369"/>
      <c r="AQ302" s="369"/>
      <c r="AR302" s="369"/>
      <c r="AS302" s="369"/>
      <c r="AT302" s="369"/>
      <c r="AU302" s="369"/>
      <c r="AV302" s="369"/>
      <c r="AW302" s="228"/>
    </row>
    <row r="303" spans="1:49" x14ac:dyDescent="0.2">
      <c r="A303" s="469" t="s">
        <v>178</v>
      </c>
      <c r="B303" s="472"/>
      <c r="C303" s="472"/>
      <c r="D303" s="472"/>
      <c r="E303" s="472"/>
      <c r="F303" s="472"/>
      <c r="G303" s="472"/>
      <c r="H303" s="472"/>
      <c r="I303" s="473"/>
      <c r="J303" s="473"/>
      <c r="K303" s="473"/>
      <c r="L303" s="474"/>
      <c r="M303" s="474"/>
      <c r="N303" s="473"/>
      <c r="O303" s="473"/>
      <c r="P303" s="473"/>
      <c r="Q303" s="473"/>
      <c r="R303" s="473"/>
      <c r="S303" s="473"/>
      <c r="T303" s="473"/>
      <c r="U303" s="473"/>
      <c r="V303" s="473"/>
      <c r="W303" s="473"/>
      <c r="X303" s="473"/>
      <c r="Y303" s="473"/>
      <c r="Z303" s="368"/>
      <c r="AA303" s="500"/>
      <c r="AB303" s="368"/>
      <c r="AC303" s="368"/>
      <c r="AD303" s="368"/>
      <c r="AE303" s="368"/>
      <c r="AF303" s="368"/>
      <c r="AG303" s="369"/>
      <c r="AH303" s="369"/>
      <c r="AI303" s="369"/>
      <c r="AJ303" s="352"/>
      <c r="AK303" s="352"/>
      <c r="AL303" s="369"/>
      <c r="AM303" s="369"/>
      <c r="AN303" s="369"/>
      <c r="AO303" s="369"/>
      <c r="AP303" s="369"/>
      <c r="AQ303" s="369"/>
      <c r="AR303" s="369"/>
      <c r="AS303" s="369"/>
      <c r="AT303" s="369"/>
      <c r="AU303" s="369"/>
      <c r="AV303" s="369"/>
      <c r="AW303" s="228"/>
    </row>
    <row r="304" spans="1:49" x14ac:dyDescent="0.2">
      <c r="A304" s="496" t="s">
        <v>466</v>
      </c>
      <c r="B304" s="497"/>
      <c r="C304" s="497">
        <f>SUM(C296-B296)</f>
        <v>107</v>
      </c>
      <c r="D304" s="497">
        <f t="shared" ref="D304:W304" si="11">SUM(D296-C296)</f>
        <v>80</v>
      </c>
      <c r="E304" s="497">
        <f t="shared" si="11"/>
        <v>137</v>
      </c>
      <c r="F304" s="497">
        <f>SUM(F296-E296)*-1</f>
        <v>132</v>
      </c>
      <c r="G304" s="497">
        <f>SUM(G296-F296)*-1</f>
        <v>68</v>
      </c>
      <c r="H304" s="497">
        <f t="shared" si="11"/>
        <v>72</v>
      </c>
      <c r="I304" s="497">
        <f>SUM(I296-H296)*-1</f>
        <v>258</v>
      </c>
      <c r="J304" s="497">
        <f>SUM(J296-I296)*-1</f>
        <v>95</v>
      </c>
      <c r="K304" s="497">
        <f t="shared" si="11"/>
        <v>7</v>
      </c>
      <c r="L304" s="497">
        <f>SUM(L296-K296)*-1</f>
        <v>115</v>
      </c>
      <c r="M304" s="497">
        <f t="shared" si="11"/>
        <v>44</v>
      </c>
      <c r="N304" s="497">
        <f t="shared" si="11"/>
        <v>119</v>
      </c>
      <c r="O304" s="497">
        <f t="shared" si="11"/>
        <v>15</v>
      </c>
      <c r="P304" s="497">
        <f t="shared" si="11"/>
        <v>53</v>
      </c>
      <c r="Q304" s="497">
        <f t="shared" si="11"/>
        <v>110</v>
      </c>
      <c r="R304" s="497">
        <f>SUM(R296-Q296)*-1</f>
        <v>20</v>
      </c>
      <c r="S304" s="497">
        <f t="shared" si="11"/>
        <v>82</v>
      </c>
      <c r="T304" s="497">
        <f t="shared" si="11"/>
        <v>130</v>
      </c>
      <c r="U304" s="497">
        <f>SUM(U296-T296)*-1</f>
        <v>49</v>
      </c>
      <c r="V304" s="497">
        <f>SUM(V296-U296)*-1</f>
        <v>87</v>
      </c>
      <c r="W304" s="497">
        <f t="shared" si="11"/>
        <v>21</v>
      </c>
      <c r="X304" s="497">
        <f>SUM(X296-W296)*-1</f>
        <v>49</v>
      </c>
      <c r="Y304" s="497">
        <f>SUM(Y296-X296)*-1</f>
        <v>90</v>
      </c>
      <c r="Z304" s="497">
        <f>SUM(Z296-Y296)</f>
        <v>106</v>
      </c>
      <c r="AA304" s="497">
        <f>SUM(AA296-Z296)</f>
        <v>97</v>
      </c>
      <c r="AB304" s="497">
        <f>SUM(AB296-AA296)</f>
        <v>121</v>
      </c>
      <c r="AC304" s="497">
        <f>SUM(AC296-AB296)</f>
        <v>128</v>
      </c>
      <c r="AD304" s="497">
        <f>SUM(AD296-AC296)</f>
        <v>105</v>
      </c>
      <c r="AE304" s="497">
        <f>SUM(AE296-AD296)*-1</f>
        <v>1</v>
      </c>
      <c r="AF304" s="497">
        <f>SUM(AF296-AE296)*-1</f>
        <v>15</v>
      </c>
      <c r="AG304" s="497">
        <f>SUM(AG296-AF296)*-1</f>
        <v>20</v>
      </c>
      <c r="AH304" s="497">
        <f>SUM(AH296-AG296)</f>
        <v>20</v>
      </c>
      <c r="AI304" s="497" t="s">
        <v>368</v>
      </c>
      <c r="AJ304" s="497" t="s">
        <v>368</v>
      </c>
      <c r="AK304" s="497" t="s">
        <v>368</v>
      </c>
      <c r="AL304" s="497" t="s">
        <v>368</v>
      </c>
      <c r="AM304" s="497" t="s">
        <v>368</v>
      </c>
      <c r="AN304" s="497" t="s">
        <v>368</v>
      </c>
      <c r="AO304" s="497" t="s">
        <v>368</v>
      </c>
      <c r="AP304" s="497" t="s">
        <v>368</v>
      </c>
      <c r="AQ304" s="497" t="s">
        <v>368</v>
      </c>
      <c r="AR304" s="497" t="s">
        <v>368</v>
      </c>
      <c r="AS304" s="497" t="s">
        <v>368</v>
      </c>
      <c r="AT304" s="497" t="s">
        <v>368</v>
      </c>
      <c r="AU304" s="497" t="s">
        <v>368</v>
      </c>
      <c r="AV304" s="497" t="s">
        <v>368</v>
      </c>
      <c r="AW304" s="497" t="s">
        <v>368</v>
      </c>
    </row>
    <row r="305" spans="1:49" ht="63.75" x14ac:dyDescent="0.2">
      <c r="A305" s="495" t="s">
        <v>495</v>
      </c>
      <c r="B305" s="472"/>
      <c r="C305" s="472"/>
      <c r="D305" s="472"/>
      <c r="E305" s="472"/>
      <c r="F305" s="472"/>
      <c r="G305" s="472"/>
      <c r="H305" s="472"/>
      <c r="I305" s="473"/>
      <c r="J305" s="473"/>
      <c r="K305" s="473"/>
      <c r="L305" s="474"/>
      <c r="M305" s="474"/>
      <c r="N305" s="473"/>
      <c r="O305" s="473"/>
      <c r="P305" s="473"/>
      <c r="Q305" s="473"/>
      <c r="R305" s="473"/>
      <c r="S305" s="473"/>
      <c r="T305" s="473"/>
      <c r="U305" s="473"/>
      <c r="V305" s="473"/>
      <c r="W305" s="473"/>
      <c r="X305" s="473"/>
      <c r="Y305" s="473"/>
      <c r="Z305" s="368"/>
      <c r="AA305" s="500"/>
      <c r="AB305" s="368"/>
      <c r="AC305" s="368"/>
      <c r="AD305" s="368"/>
      <c r="AE305" s="368"/>
      <c r="AF305" s="368"/>
      <c r="AG305" s="369"/>
      <c r="AH305" s="369"/>
      <c r="AI305" s="369"/>
      <c r="AJ305" s="352"/>
      <c r="AK305" s="352"/>
      <c r="AL305" s="369"/>
      <c r="AM305" s="369"/>
      <c r="AN305" s="369"/>
      <c r="AO305" s="369"/>
      <c r="AP305" s="369"/>
      <c r="AQ305" s="369"/>
      <c r="AR305" s="369"/>
      <c r="AS305" s="369"/>
      <c r="AT305" s="369"/>
      <c r="AU305" s="369"/>
      <c r="AV305" s="369"/>
      <c r="AW305" s="228"/>
    </row>
    <row r="306" spans="1:49" x14ac:dyDescent="0.2">
      <c r="A306" s="461" t="s">
        <v>468</v>
      </c>
      <c r="B306" s="472">
        <f t="shared" ref="B306:AW306" si="12">AVERAGE($B$296:$AW$296)</f>
        <v>809.72727272727275</v>
      </c>
      <c r="C306" s="472">
        <f t="shared" si="12"/>
        <v>809.72727272727275</v>
      </c>
      <c r="D306" s="472">
        <f t="shared" si="12"/>
        <v>809.72727272727275</v>
      </c>
      <c r="E306" s="472">
        <f t="shared" si="12"/>
        <v>809.72727272727275</v>
      </c>
      <c r="F306" s="472">
        <f t="shared" si="12"/>
        <v>809.72727272727275</v>
      </c>
      <c r="G306" s="472">
        <f t="shared" si="12"/>
        <v>809.72727272727275</v>
      </c>
      <c r="H306" s="472">
        <f t="shared" si="12"/>
        <v>809.72727272727275</v>
      </c>
      <c r="I306" s="472">
        <f t="shared" si="12"/>
        <v>809.72727272727275</v>
      </c>
      <c r="J306" s="472">
        <f t="shared" si="12"/>
        <v>809.72727272727275</v>
      </c>
      <c r="K306" s="472">
        <f t="shared" si="12"/>
        <v>809.72727272727275</v>
      </c>
      <c r="L306" s="472">
        <f t="shared" si="12"/>
        <v>809.72727272727275</v>
      </c>
      <c r="M306" s="472">
        <f t="shared" si="12"/>
        <v>809.72727272727275</v>
      </c>
      <c r="N306" s="472">
        <f t="shared" si="12"/>
        <v>809.72727272727275</v>
      </c>
      <c r="O306" s="472">
        <f t="shared" si="12"/>
        <v>809.72727272727275</v>
      </c>
      <c r="P306" s="472">
        <f t="shared" si="12"/>
        <v>809.72727272727275</v>
      </c>
      <c r="Q306" s="472">
        <f t="shared" si="12"/>
        <v>809.72727272727275</v>
      </c>
      <c r="R306" s="472">
        <f t="shared" si="12"/>
        <v>809.72727272727275</v>
      </c>
      <c r="S306" s="472">
        <f t="shared" si="12"/>
        <v>809.72727272727275</v>
      </c>
      <c r="T306" s="472">
        <f t="shared" si="12"/>
        <v>809.72727272727275</v>
      </c>
      <c r="U306" s="472">
        <f t="shared" si="12"/>
        <v>809.72727272727275</v>
      </c>
      <c r="V306" s="472">
        <f t="shared" si="12"/>
        <v>809.72727272727275</v>
      </c>
      <c r="W306" s="472">
        <f t="shared" si="12"/>
        <v>809.72727272727275</v>
      </c>
      <c r="X306" s="472">
        <f t="shared" si="12"/>
        <v>809.72727272727275</v>
      </c>
      <c r="Y306" s="472">
        <f t="shared" si="12"/>
        <v>809.72727272727275</v>
      </c>
      <c r="Z306" s="472">
        <f t="shared" si="12"/>
        <v>809.72727272727275</v>
      </c>
      <c r="AA306" s="501">
        <f t="shared" si="12"/>
        <v>809.72727272727275</v>
      </c>
      <c r="AB306" s="472">
        <f t="shared" si="12"/>
        <v>809.72727272727275</v>
      </c>
      <c r="AC306" s="472">
        <f t="shared" si="12"/>
        <v>809.72727272727275</v>
      </c>
      <c r="AD306" s="472">
        <f t="shared" si="12"/>
        <v>809.72727272727275</v>
      </c>
      <c r="AE306" s="472">
        <f t="shared" si="12"/>
        <v>809.72727272727275</v>
      </c>
      <c r="AF306" s="472">
        <f t="shared" si="12"/>
        <v>809.72727272727275</v>
      </c>
      <c r="AG306" s="472">
        <f t="shared" si="12"/>
        <v>809.72727272727275</v>
      </c>
      <c r="AH306" s="472">
        <f t="shared" si="12"/>
        <v>809.72727272727275</v>
      </c>
      <c r="AI306" s="472">
        <f t="shared" si="12"/>
        <v>809.72727272727275</v>
      </c>
      <c r="AJ306" s="472">
        <f t="shared" si="12"/>
        <v>809.72727272727275</v>
      </c>
      <c r="AK306" s="472">
        <f t="shared" si="12"/>
        <v>809.72727272727275</v>
      </c>
      <c r="AL306" s="472">
        <f t="shared" si="12"/>
        <v>809.72727272727275</v>
      </c>
      <c r="AM306" s="472">
        <f t="shared" si="12"/>
        <v>809.72727272727275</v>
      </c>
      <c r="AN306" s="472">
        <f t="shared" si="12"/>
        <v>809.72727272727275</v>
      </c>
      <c r="AO306" s="472">
        <f t="shared" si="12"/>
        <v>809.72727272727275</v>
      </c>
      <c r="AP306" s="472">
        <f t="shared" si="12"/>
        <v>809.72727272727275</v>
      </c>
      <c r="AQ306" s="472">
        <f t="shared" si="12"/>
        <v>809.72727272727275</v>
      </c>
      <c r="AR306" s="472">
        <f t="shared" si="12"/>
        <v>809.72727272727275</v>
      </c>
      <c r="AS306" s="472">
        <f t="shared" si="12"/>
        <v>809.72727272727275</v>
      </c>
      <c r="AT306" s="472">
        <f t="shared" si="12"/>
        <v>809.72727272727275</v>
      </c>
      <c r="AU306" s="472">
        <f t="shared" si="12"/>
        <v>809.72727272727275</v>
      </c>
      <c r="AV306" s="472">
        <f t="shared" si="12"/>
        <v>809.72727272727275</v>
      </c>
      <c r="AW306" s="472">
        <f t="shared" si="12"/>
        <v>809.72727272727275</v>
      </c>
    </row>
    <row r="307" spans="1:49" x14ac:dyDescent="0.2">
      <c r="A307" s="470" t="s">
        <v>467</v>
      </c>
      <c r="B307" s="472">
        <f>SUM(C304:AW304)/(COUNT(C304:AW304))</f>
        <v>79.78125</v>
      </c>
      <c r="C307" s="472"/>
      <c r="D307" s="472"/>
      <c r="E307" s="472"/>
      <c r="F307" s="472"/>
      <c r="G307" s="472"/>
      <c r="H307" s="472"/>
      <c r="I307" s="473"/>
      <c r="J307" s="473"/>
      <c r="K307" s="473"/>
      <c r="L307" s="474"/>
      <c r="M307" s="474"/>
      <c r="N307" s="473"/>
      <c r="O307" s="473"/>
      <c r="P307" s="473"/>
      <c r="Q307" s="473"/>
      <c r="R307" s="473"/>
      <c r="S307" s="473"/>
      <c r="T307" s="473"/>
      <c r="U307" s="473"/>
      <c r="V307" s="473"/>
      <c r="W307" s="473"/>
      <c r="X307" s="473"/>
      <c r="Y307" s="473"/>
      <c r="Z307" s="368"/>
      <c r="AA307" s="500"/>
      <c r="AB307" s="368"/>
      <c r="AC307" s="368"/>
      <c r="AD307" s="368"/>
      <c r="AE307" s="368"/>
      <c r="AF307" s="368"/>
      <c r="AG307" s="369"/>
      <c r="AH307" s="369"/>
      <c r="AI307" s="369"/>
      <c r="AJ307" s="352"/>
      <c r="AK307" s="352"/>
      <c r="AL307" s="369"/>
      <c r="AM307" s="369"/>
      <c r="AN307" s="369"/>
      <c r="AO307" s="369"/>
      <c r="AP307" s="369"/>
      <c r="AQ307" s="369"/>
      <c r="AR307" s="369"/>
      <c r="AS307" s="369"/>
      <c r="AT307" s="369"/>
      <c r="AU307" s="369"/>
      <c r="AV307" s="369"/>
      <c r="AW307" s="228"/>
    </row>
    <row r="308" spans="1:49" ht="25.5" x14ac:dyDescent="0.2">
      <c r="A308" s="470" t="s">
        <v>470</v>
      </c>
      <c r="B308" s="472">
        <f>SUM(B307/1.128)</f>
        <v>70.728058510638306</v>
      </c>
      <c r="C308" s="472"/>
      <c r="D308" s="472"/>
      <c r="E308" s="472"/>
      <c r="F308" s="472"/>
      <c r="G308" s="472"/>
      <c r="H308" s="472"/>
      <c r="I308" s="473"/>
      <c r="J308" s="473"/>
      <c r="K308" s="473"/>
      <c r="L308" s="474"/>
      <c r="M308" s="474"/>
      <c r="N308" s="473"/>
      <c r="O308" s="473"/>
      <c r="P308" s="473"/>
      <c r="Q308" s="473"/>
      <c r="R308" s="473"/>
      <c r="S308" s="473"/>
      <c r="T308" s="473"/>
      <c r="U308" s="473"/>
      <c r="V308" s="473"/>
      <c r="W308" s="473"/>
      <c r="X308" s="473"/>
      <c r="Y308" s="473"/>
      <c r="Z308" s="368"/>
      <c r="AA308" s="500"/>
      <c r="AB308" s="368"/>
      <c r="AC308" s="368"/>
      <c r="AD308" s="368"/>
      <c r="AE308" s="368"/>
      <c r="AF308" s="368"/>
      <c r="AG308" s="369"/>
      <c r="AH308" s="369"/>
      <c r="AI308" s="369"/>
      <c r="AJ308" s="352"/>
      <c r="AK308" s="352"/>
      <c r="AL308" s="369"/>
      <c r="AM308" s="369"/>
      <c r="AN308" s="369"/>
      <c r="AO308" s="369"/>
      <c r="AP308" s="369"/>
      <c r="AQ308" s="369"/>
      <c r="AR308" s="369"/>
      <c r="AS308" s="369"/>
      <c r="AT308" s="369"/>
      <c r="AU308" s="369"/>
      <c r="AV308" s="369"/>
      <c r="AW308" s="228"/>
    </row>
    <row r="309" spans="1:49" x14ac:dyDescent="0.2">
      <c r="A309" s="470" t="s">
        <v>473</v>
      </c>
      <c r="B309" s="472">
        <f t="shared" ref="B309:AW309" si="13">$B$306+(3*$B$308)</f>
        <v>1021.9114482591876</v>
      </c>
      <c r="C309" s="472">
        <f t="shared" si="13"/>
        <v>1021.9114482591876</v>
      </c>
      <c r="D309" s="472">
        <f t="shared" si="13"/>
        <v>1021.9114482591876</v>
      </c>
      <c r="E309" s="472">
        <f t="shared" si="13"/>
        <v>1021.9114482591876</v>
      </c>
      <c r="F309" s="472">
        <f t="shared" si="13"/>
        <v>1021.9114482591876</v>
      </c>
      <c r="G309" s="472">
        <f t="shared" si="13"/>
        <v>1021.9114482591876</v>
      </c>
      <c r="H309" s="472">
        <f t="shared" si="13"/>
        <v>1021.9114482591876</v>
      </c>
      <c r="I309" s="472">
        <f t="shared" si="13"/>
        <v>1021.9114482591876</v>
      </c>
      <c r="J309" s="472">
        <f t="shared" si="13"/>
        <v>1021.9114482591876</v>
      </c>
      <c r="K309" s="472">
        <f t="shared" si="13"/>
        <v>1021.9114482591876</v>
      </c>
      <c r="L309" s="472">
        <f t="shared" si="13"/>
        <v>1021.9114482591876</v>
      </c>
      <c r="M309" s="472">
        <f t="shared" si="13"/>
        <v>1021.9114482591876</v>
      </c>
      <c r="N309" s="472">
        <f t="shared" si="13"/>
        <v>1021.9114482591876</v>
      </c>
      <c r="O309" s="472">
        <f t="shared" si="13"/>
        <v>1021.9114482591876</v>
      </c>
      <c r="P309" s="472">
        <f t="shared" si="13"/>
        <v>1021.9114482591876</v>
      </c>
      <c r="Q309" s="472">
        <f t="shared" si="13"/>
        <v>1021.9114482591876</v>
      </c>
      <c r="R309" s="472">
        <f t="shared" si="13"/>
        <v>1021.9114482591876</v>
      </c>
      <c r="S309" s="472">
        <f t="shared" si="13"/>
        <v>1021.9114482591876</v>
      </c>
      <c r="T309" s="472">
        <f t="shared" si="13"/>
        <v>1021.9114482591876</v>
      </c>
      <c r="U309" s="472">
        <f t="shared" si="13"/>
        <v>1021.9114482591876</v>
      </c>
      <c r="V309" s="472">
        <f t="shared" si="13"/>
        <v>1021.9114482591876</v>
      </c>
      <c r="W309" s="472">
        <f t="shared" si="13"/>
        <v>1021.9114482591876</v>
      </c>
      <c r="X309" s="472">
        <f t="shared" si="13"/>
        <v>1021.9114482591876</v>
      </c>
      <c r="Y309" s="472">
        <f t="shared" si="13"/>
        <v>1021.9114482591876</v>
      </c>
      <c r="Z309" s="472">
        <f t="shared" si="13"/>
        <v>1021.9114482591876</v>
      </c>
      <c r="AA309" s="501">
        <f t="shared" si="13"/>
        <v>1021.9114482591876</v>
      </c>
      <c r="AB309" s="472">
        <f t="shared" si="13"/>
        <v>1021.9114482591876</v>
      </c>
      <c r="AC309" s="472">
        <f t="shared" si="13"/>
        <v>1021.9114482591876</v>
      </c>
      <c r="AD309" s="472">
        <f t="shared" si="13"/>
        <v>1021.9114482591876</v>
      </c>
      <c r="AE309" s="472">
        <f t="shared" si="13"/>
        <v>1021.9114482591876</v>
      </c>
      <c r="AF309" s="472">
        <f t="shared" si="13"/>
        <v>1021.9114482591876</v>
      </c>
      <c r="AG309" s="472">
        <f t="shared" si="13"/>
        <v>1021.9114482591876</v>
      </c>
      <c r="AH309" s="472">
        <f t="shared" si="13"/>
        <v>1021.9114482591876</v>
      </c>
      <c r="AI309" s="472">
        <f t="shared" si="13"/>
        <v>1021.9114482591876</v>
      </c>
      <c r="AJ309" s="472">
        <f t="shared" si="13"/>
        <v>1021.9114482591876</v>
      </c>
      <c r="AK309" s="472">
        <f t="shared" si="13"/>
        <v>1021.9114482591876</v>
      </c>
      <c r="AL309" s="472">
        <f t="shared" si="13"/>
        <v>1021.9114482591876</v>
      </c>
      <c r="AM309" s="472">
        <f t="shared" si="13"/>
        <v>1021.9114482591876</v>
      </c>
      <c r="AN309" s="472">
        <f t="shared" si="13"/>
        <v>1021.9114482591876</v>
      </c>
      <c r="AO309" s="472">
        <f t="shared" si="13"/>
        <v>1021.9114482591876</v>
      </c>
      <c r="AP309" s="472">
        <f t="shared" si="13"/>
        <v>1021.9114482591876</v>
      </c>
      <c r="AQ309" s="472">
        <f t="shared" si="13"/>
        <v>1021.9114482591876</v>
      </c>
      <c r="AR309" s="472">
        <f t="shared" si="13"/>
        <v>1021.9114482591876</v>
      </c>
      <c r="AS309" s="472">
        <f t="shared" si="13"/>
        <v>1021.9114482591876</v>
      </c>
      <c r="AT309" s="472">
        <f t="shared" si="13"/>
        <v>1021.9114482591876</v>
      </c>
      <c r="AU309" s="472">
        <f t="shared" si="13"/>
        <v>1021.9114482591876</v>
      </c>
      <c r="AV309" s="472">
        <f t="shared" si="13"/>
        <v>1021.9114482591876</v>
      </c>
      <c r="AW309" s="472">
        <f t="shared" si="13"/>
        <v>1021.9114482591876</v>
      </c>
    </row>
    <row r="310" spans="1:49" x14ac:dyDescent="0.2">
      <c r="A310" s="470" t="s">
        <v>475</v>
      </c>
      <c r="B310" s="472">
        <f t="shared" ref="B310:AW310" si="14">$B$306-(3*$B$308)</f>
        <v>597.54309719535786</v>
      </c>
      <c r="C310" s="472">
        <f t="shared" si="14"/>
        <v>597.54309719535786</v>
      </c>
      <c r="D310" s="472">
        <f t="shared" si="14"/>
        <v>597.54309719535786</v>
      </c>
      <c r="E310" s="472">
        <f t="shared" si="14"/>
        <v>597.54309719535786</v>
      </c>
      <c r="F310" s="472">
        <f t="shared" si="14"/>
        <v>597.54309719535786</v>
      </c>
      <c r="G310" s="472">
        <f t="shared" si="14"/>
        <v>597.54309719535786</v>
      </c>
      <c r="H310" s="472">
        <f t="shared" si="14"/>
        <v>597.54309719535786</v>
      </c>
      <c r="I310" s="472">
        <f t="shared" si="14"/>
        <v>597.54309719535786</v>
      </c>
      <c r="J310" s="472">
        <f t="shared" si="14"/>
        <v>597.54309719535786</v>
      </c>
      <c r="K310" s="472">
        <f t="shared" si="14"/>
        <v>597.54309719535786</v>
      </c>
      <c r="L310" s="472">
        <f t="shared" si="14"/>
        <v>597.54309719535786</v>
      </c>
      <c r="M310" s="472">
        <f t="shared" si="14"/>
        <v>597.54309719535786</v>
      </c>
      <c r="N310" s="472">
        <f t="shared" si="14"/>
        <v>597.54309719535786</v>
      </c>
      <c r="O310" s="472">
        <f t="shared" si="14"/>
        <v>597.54309719535786</v>
      </c>
      <c r="P310" s="472">
        <f t="shared" si="14"/>
        <v>597.54309719535786</v>
      </c>
      <c r="Q310" s="472">
        <f t="shared" si="14"/>
        <v>597.54309719535786</v>
      </c>
      <c r="R310" s="472">
        <f t="shared" si="14"/>
        <v>597.54309719535786</v>
      </c>
      <c r="S310" s="472">
        <f t="shared" si="14"/>
        <v>597.54309719535786</v>
      </c>
      <c r="T310" s="472">
        <f t="shared" si="14"/>
        <v>597.54309719535786</v>
      </c>
      <c r="U310" s="472">
        <f t="shared" si="14"/>
        <v>597.54309719535786</v>
      </c>
      <c r="V310" s="472">
        <f t="shared" si="14"/>
        <v>597.54309719535786</v>
      </c>
      <c r="W310" s="472">
        <f t="shared" si="14"/>
        <v>597.54309719535786</v>
      </c>
      <c r="X310" s="472">
        <f t="shared" si="14"/>
        <v>597.54309719535786</v>
      </c>
      <c r="Y310" s="472">
        <f t="shared" si="14"/>
        <v>597.54309719535786</v>
      </c>
      <c r="Z310" s="472">
        <f t="shared" si="14"/>
        <v>597.54309719535786</v>
      </c>
      <c r="AA310" s="501">
        <f t="shared" si="14"/>
        <v>597.54309719535786</v>
      </c>
      <c r="AB310" s="472">
        <f t="shared" si="14"/>
        <v>597.54309719535786</v>
      </c>
      <c r="AC310" s="472">
        <f t="shared" si="14"/>
        <v>597.54309719535786</v>
      </c>
      <c r="AD310" s="472">
        <f t="shared" si="14"/>
        <v>597.54309719535786</v>
      </c>
      <c r="AE310" s="472">
        <f t="shared" si="14"/>
        <v>597.54309719535786</v>
      </c>
      <c r="AF310" s="472">
        <f t="shared" si="14"/>
        <v>597.54309719535786</v>
      </c>
      <c r="AG310" s="472">
        <f t="shared" si="14"/>
        <v>597.54309719535786</v>
      </c>
      <c r="AH310" s="472">
        <f t="shared" si="14"/>
        <v>597.54309719535786</v>
      </c>
      <c r="AI310" s="472">
        <f t="shared" si="14"/>
        <v>597.54309719535786</v>
      </c>
      <c r="AJ310" s="472">
        <f t="shared" si="14"/>
        <v>597.54309719535786</v>
      </c>
      <c r="AK310" s="472">
        <f t="shared" si="14"/>
        <v>597.54309719535786</v>
      </c>
      <c r="AL310" s="472">
        <f t="shared" si="14"/>
        <v>597.54309719535786</v>
      </c>
      <c r="AM310" s="472">
        <f t="shared" si="14"/>
        <v>597.54309719535786</v>
      </c>
      <c r="AN310" s="472">
        <f t="shared" si="14"/>
        <v>597.54309719535786</v>
      </c>
      <c r="AO310" s="472">
        <f t="shared" si="14"/>
        <v>597.54309719535786</v>
      </c>
      <c r="AP310" s="472">
        <f t="shared" si="14"/>
        <v>597.54309719535786</v>
      </c>
      <c r="AQ310" s="472">
        <f t="shared" si="14"/>
        <v>597.54309719535786</v>
      </c>
      <c r="AR310" s="472">
        <f t="shared" si="14"/>
        <v>597.54309719535786</v>
      </c>
      <c r="AS310" s="472">
        <f t="shared" si="14"/>
        <v>597.54309719535786</v>
      </c>
      <c r="AT310" s="472">
        <f t="shared" si="14"/>
        <v>597.54309719535786</v>
      </c>
      <c r="AU310" s="472">
        <f t="shared" si="14"/>
        <v>597.54309719535786</v>
      </c>
      <c r="AV310" s="472">
        <f t="shared" si="14"/>
        <v>597.54309719535786</v>
      </c>
      <c r="AW310" s="472">
        <f t="shared" si="14"/>
        <v>597.54309719535786</v>
      </c>
    </row>
    <row r="311" spans="1:49" x14ac:dyDescent="0.2">
      <c r="A311" s="480"/>
      <c r="B311" s="472"/>
      <c r="C311" s="472"/>
      <c r="D311" s="472"/>
      <c r="E311" s="472"/>
      <c r="F311" s="472"/>
      <c r="G311" s="472"/>
      <c r="H311" s="472"/>
      <c r="I311" s="473"/>
      <c r="J311" s="473"/>
      <c r="K311" s="473"/>
      <c r="L311" s="474"/>
      <c r="M311" s="474"/>
      <c r="N311" s="473"/>
      <c r="O311" s="473"/>
      <c r="P311" s="473"/>
      <c r="Q311" s="473"/>
      <c r="R311" s="473"/>
      <c r="S311" s="473"/>
      <c r="T311" s="473"/>
      <c r="U311" s="473"/>
      <c r="V311" s="473"/>
      <c r="W311" s="473"/>
      <c r="X311" s="473"/>
      <c r="Y311" s="473"/>
      <c r="Z311" s="368"/>
      <c r="AA311" s="500"/>
      <c r="AB311" s="368"/>
      <c r="AC311" s="368"/>
      <c r="AD311" s="368"/>
      <c r="AE311" s="368"/>
      <c r="AF311" s="368"/>
      <c r="AG311" s="369"/>
      <c r="AH311" s="369"/>
      <c r="AI311" s="369"/>
      <c r="AJ311" s="352"/>
      <c r="AK311" s="352"/>
      <c r="AL311" s="369"/>
      <c r="AM311" s="369"/>
      <c r="AN311" s="369"/>
      <c r="AO311" s="369"/>
      <c r="AP311" s="369"/>
      <c r="AQ311" s="369"/>
      <c r="AR311" s="369"/>
      <c r="AS311" s="369"/>
      <c r="AT311" s="369"/>
      <c r="AU311" s="369"/>
      <c r="AV311" s="369"/>
      <c r="AW311" s="228"/>
    </row>
    <row r="312" spans="1:49" x14ac:dyDescent="0.2">
      <c r="A312" s="539" t="s">
        <v>376</v>
      </c>
      <c r="B312" s="478" t="s">
        <v>491</v>
      </c>
      <c r="C312" s="472" t="s">
        <v>492</v>
      </c>
      <c r="D312" s="472"/>
      <c r="E312" s="472"/>
      <c r="F312" s="472"/>
      <c r="G312" s="472"/>
      <c r="H312" s="472"/>
      <c r="I312" s="473"/>
      <c r="J312" s="473"/>
      <c r="K312" s="473"/>
      <c r="L312" s="474"/>
      <c r="M312" s="474"/>
      <c r="N312" s="473"/>
      <c r="O312" s="473"/>
      <c r="P312" s="473"/>
      <c r="Q312" s="473"/>
      <c r="R312" s="473"/>
      <c r="S312" s="473"/>
      <c r="T312" s="473"/>
      <c r="U312" s="473"/>
      <c r="V312" s="473"/>
      <c r="W312" s="473"/>
      <c r="X312" s="473"/>
      <c r="Y312" s="473"/>
      <c r="Z312" s="368"/>
      <c r="AA312" s="500"/>
      <c r="AB312" s="368"/>
      <c r="AC312" s="368"/>
      <c r="AD312" s="368"/>
      <c r="AE312" s="368"/>
      <c r="AF312" s="368"/>
      <c r="AG312" s="369"/>
      <c r="AH312" s="369"/>
      <c r="AI312" s="369"/>
      <c r="AJ312" s="352"/>
      <c r="AK312" s="352"/>
      <c r="AL312" s="369"/>
      <c r="AM312" s="369"/>
      <c r="AN312" s="369"/>
      <c r="AO312" s="369"/>
      <c r="AP312" s="369"/>
      <c r="AQ312" s="369"/>
      <c r="AR312" s="369"/>
      <c r="AS312" s="369"/>
      <c r="AT312" s="369"/>
      <c r="AU312" s="369"/>
      <c r="AV312" s="369"/>
      <c r="AW312" s="228"/>
    </row>
    <row r="313" spans="1:49" x14ac:dyDescent="0.2">
      <c r="A313" s="469" t="s">
        <v>130</v>
      </c>
      <c r="B313" s="472"/>
      <c r="C313" s="472"/>
      <c r="D313" s="472"/>
      <c r="E313" s="472"/>
      <c r="F313" s="472"/>
      <c r="G313" s="472"/>
      <c r="H313" s="472"/>
      <c r="I313" s="473"/>
      <c r="J313" s="473"/>
      <c r="K313" s="473"/>
      <c r="L313" s="474"/>
      <c r="M313" s="474"/>
      <c r="N313" s="473"/>
      <c r="O313" s="473"/>
      <c r="P313" s="473"/>
      <c r="Q313" s="473"/>
      <c r="R313" s="473"/>
      <c r="S313" s="473"/>
      <c r="T313" s="473"/>
      <c r="U313" s="473"/>
      <c r="V313" s="473"/>
      <c r="W313" s="473"/>
      <c r="X313" s="473"/>
      <c r="Y313" s="473"/>
      <c r="Z313" s="368"/>
      <c r="AA313" s="500"/>
      <c r="AB313" s="368"/>
      <c r="AC313" s="368"/>
      <c r="AD313" s="368"/>
      <c r="AE313" s="368"/>
      <c r="AF313" s="368"/>
      <c r="AG313" s="369"/>
      <c r="AH313" s="369"/>
      <c r="AI313" s="369"/>
      <c r="AJ313" s="352"/>
      <c r="AK313" s="352"/>
      <c r="AL313" s="369"/>
      <c r="AM313" s="369"/>
      <c r="AN313" s="369"/>
      <c r="AO313" s="369"/>
      <c r="AP313" s="369"/>
      <c r="AQ313" s="369"/>
      <c r="AR313" s="369"/>
      <c r="AS313" s="369"/>
      <c r="AT313" s="369"/>
      <c r="AU313" s="369"/>
      <c r="AV313" s="369"/>
      <c r="AW313" s="228"/>
    </row>
    <row r="314" spans="1:49" x14ac:dyDescent="0.2">
      <c r="A314" s="469" t="s">
        <v>178</v>
      </c>
      <c r="B314" s="472"/>
      <c r="C314" s="472"/>
      <c r="D314" s="472"/>
      <c r="E314" s="472"/>
      <c r="F314" s="472"/>
      <c r="G314" s="472"/>
      <c r="H314" s="472"/>
      <c r="I314" s="473"/>
      <c r="J314" s="473"/>
      <c r="K314" s="473"/>
      <c r="L314" s="474"/>
      <c r="M314" s="474"/>
      <c r="N314" s="473"/>
      <c r="O314" s="473"/>
      <c r="P314" s="473"/>
      <c r="Q314" s="473"/>
      <c r="R314" s="473"/>
      <c r="S314" s="473"/>
      <c r="T314" s="473"/>
      <c r="U314" s="473"/>
      <c r="V314" s="473"/>
      <c r="W314" s="473"/>
      <c r="X314" s="473"/>
      <c r="Y314" s="473"/>
      <c r="Z314" s="368"/>
      <c r="AA314" s="500"/>
      <c r="AB314" s="368"/>
      <c r="AC314" s="368"/>
      <c r="AD314" s="368"/>
      <c r="AE314" s="368"/>
      <c r="AF314" s="368"/>
      <c r="AG314" s="369"/>
      <c r="AH314" s="369"/>
      <c r="AI314" s="369"/>
      <c r="AJ314" s="352"/>
      <c r="AK314" s="352"/>
      <c r="AL314" s="369"/>
      <c r="AM314" s="369"/>
      <c r="AN314" s="369"/>
      <c r="AO314" s="369"/>
      <c r="AP314" s="369"/>
      <c r="AQ314" s="369"/>
      <c r="AR314" s="369"/>
      <c r="AS314" s="369"/>
      <c r="AT314" s="369"/>
      <c r="AU314" s="369"/>
      <c r="AV314" s="369"/>
      <c r="AW314" s="228"/>
    </row>
    <row r="315" spans="1:49" x14ac:dyDescent="0.2">
      <c r="A315" s="496" t="s">
        <v>466</v>
      </c>
      <c r="B315" s="497"/>
      <c r="C315" s="497">
        <f>SUM(C297-B297)</f>
        <v>18</v>
      </c>
      <c r="D315" s="497">
        <f t="shared" ref="D315:Y315" si="15">SUM(D297-C297)</f>
        <v>118</v>
      </c>
      <c r="E315" s="497">
        <f t="shared" si="15"/>
        <v>233</v>
      </c>
      <c r="F315" s="497">
        <f t="shared" si="15"/>
        <v>20</v>
      </c>
      <c r="G315" s="497">
        <f t="shared" si="15"/>
        <v>6</v>
      </c>
      <c r="H315" s="497">
        <f>SUM(H297-G297)*-1</f>
        <v>41</v>
      </c>
      <c r="I315" s="497">
        <f>SUM(I297-H297)*-1</f>
        <v>233</v>
      </c>
      <c r="J315" s="497">
        <f t="shared" si="15"/>
        <v>51</v>
      </c>
      <c r="K315" s="497">
        <f>SUM(K297-J297)*-1</f>
        <v>39</v>
      </c>
      <c r="L315" s="497">
        <f>SUM(L297-K297)*-1</f>
        <v>208</v>
      </c>
      <c r="M315" s="497">
        <f t="shared" si="15"/>
        <v>19</v>
      </c>
      <c r="N315" s="497">
        <f t="shared" si="15"/>
        <v>219</v>
      </c>
      <c r="O315" s="497">
        <f t="shared" si="15"/>
        <v>59</v>
      </c>
      <c r="P315" s="497">
        <f t="shared" si="15"/>
        <v>61</v>
      </c>
      <c r="Q315" s="497">
        <f t="shared" si="15"/>
        <v>114</v>
      </c>
      <c r="R315" s="497">
        <f t="shared" si="15"/>
        <v>34</v>
      </c>
      <c r="S315" s="497">
        <f t="shared" si="15"/>
        <v>26</v>
      </c>
      <c r="T315" s="497">
        <f t="shared" si="15"/>
        <v>25</v>
      </c>
      <c r="U315" s="497">
        <f t="shared" si="15"/>
        <v>13</v>
      </c>
      <c r="V315" s="497">
        <f>SUM(V297-U297)*-1</f>
        <v>34</v>
      </c>
      <c r="W315" s="497">
        <f>SUM(W297-V297)*-1</f>
        <v>18</v>
      </c>
      <c r="X315" s="497">
        <f>SUM(X297-W297)*-1</f>
        <v>68</v>
      </c>
      <c r="Y315" s="497">
        <f t="shared" si="15"/>
        <v>9</v>
      </c>
      <c r="Z315" s="497">
        <f t="shared" ref="Z315:AE315" si="16">SUM(Z297-Y297)</f>
        <v>93</v>
      </c>
      <c r="AA315" s="497">
        <f t="shared" si="16"/>
        <v>73</v>
      </c>
      <c r="AB315" s="497">
        <f t="shared" si="16"/>
        <v>11</v>
      </c>
      <c r="AC315" s="497">
        <f t="shared" si="16"/>
        <v>115</v>
      </c>
      <c r="AD315" s="497">
        <f t="shared" si="16"/>
        <v>104</v>
      </c>
      <c r="AE315" s="497">
        <f t="shared" si="16"/>
        <v>11</v>
      </c>
      <c r="AF315" s="497">
        <f>SUM(AF297-AE297)*-1</f>
        <v>26</v>
      </c>
      <c r="AG315" s="497">
        <f>SUM(AG297-AF297)*-1</f>
        <v>64</v>
      </c>
      <c r="AH315" s="497">
        <f>SUM(AH297-AG297)</f>
        <v>136</v>
      </c>
      <c r="AI315" s="497" t="s">
        <v>368</v>
      </c>
      <c r="AJ315" s="497" t="s">
        <v>368</v>
      </c>
      <c r="AK315" s="497" t="s">
        <v>368</v>
      </c>
      <c r="AL315" s="497" t="s">
        <v>368</v>
      </c>
      <c r="AM315" s="497" t="s">
        <v>368</v>
      </c>
      <c r="AN315" s="497" t="s">
        <v>368</v>
      </c>
      <c r="AO315" s="497" t="s">
        <v>368</v>
      </c>
      <c r="AP315" s="497" t="s">
        <v>368</v>
      </c>
      <c r="AQ315" s="497" t="s">
        <v>368</v>
      </c>
      <c r="AR315" s="497" t="s">
        <v>368</v>
      </c>
      <c r="AS315" s="497" t="s">
        <v>368</v>
      </c>
      <c r="AT315" s="497" t="s">
        <v>368</v>
      </c>
      <c r="AU315" s="497" t="s">
        <v>368</v>
      </c>
      <c r="AV315" s="497" t="s">
        <v>368</v>
      </c>
      <c r="AW315" s="497" t="s">
        <v>368</v>
      </c>
    </row>
    <row r="316" spans="1:49" ht="53.25" x14ac:dyDescent="0.2">
      <c r="A316" s="471" t="s">
        <v>496</v>
      </c>
      <c r="B316" s="472"/>
      <c r="C316" s="472"/>
      <c r="D316" s="472"/>
      <c r="E316" s="472"/>
      <c r="F316" s="472"/>
      <c r="G316" s="472"/>
      <c r="H316" s="472"/>
      <c r="I316" s="473"/>
      <c r="J316" s="473"/>
      <c r="K316" s="473"/>
      <c r="L316" s="474"/>
      <c r="M316" s="474"/>
      <c r="N316" s="473"/>
      <c r="O316" s="473"/>
      <c r="P316" s="473"/>
      <c r="Q316" s="473"/>
      <c r="R316" s="473"/>
      <c r="S316" s="473"/>
      <c r="T316" s="473"/>
      <c r="U316" s="473"/>
      <c r="V316" s="473"/>
      <c r="W316" s="473"/>
      <c r="X316" s="473"/>
      <c r="Y316" s="473"/>
      <c r="Z316" s="368"/>
      <c r="AA316" s="500"/>
      <c r="AB316" s="368"/>
      <c r="AC316" s="368"/>
      <c r="AD316" s="368"/>
      <c r="AE316" s="368"/>
      <c r="AF316" s="368"/>
      <c r="AG316" s="369"/>
      <c r="AH316" s="369"/>
      <c r="AI316" s="369"/>
      <c r="AJ316" s="352"/>
      <c r="AK316" s="352"/>
      <c r="AL316" s="369"/>
      <c r="AM316" s="369"/>
      <c r="AN316" s="369"/>
      <c r="AO316" s="369"/>
      <c r="AP316" s="369"/>
      <c r="AQ316" s="369"/>
      <c r="AR316" s="369"/>
      <c r="AS316" s="369"/>
      <c r="AT316" s="369"/>
      <c r="AU316" s="369"/>
      <c r="AV316" s="369"/>
      <c r="AW316" s="228"/>
    </row>
    <row r="317" spans="1:49" x14ac:dyDescent="0.2">
      <c r="A317" s="461" t="s">
        <v>468</v>
      </c>
      <c r="B317" s="472">
        <f t="shared" ref="B317:AW317" si="17">AVERAGE($B$297:$AW$297)</f>
        <v>669.4545454545455</v>
      </c>
      <c r="C317" s="472">
        <f t="shared" si="17"/>
        <v>669.4545454545455</v>
      </c>
      <c r="D317" s="472">
        <f t="shared" si="17"/>
        <v>669.4545454545455</v>
      </c>
      <c r="E317" s="472">
        <f t="shared" si="17"/>
        <v>669.4545454545455</v>
      </c>
      <c r="F317" s="472">
        <f t="shared" si="17"/>
        <v>669.4545454545455</v>
      </c>
      <c r="G317" s="472">
        <f t="shared" si="17"/>
        <v>669.4545454545455</v>
      </c>
      <c r="H317" s="472">
        <f t="shared" si="17"/>
        <v>669.4545454545455</v>
      </c>
      <c r="I317" s="472">
        <f t="shared" si="17"/>
        <v>669.4545454545455</v>
      </c>
      <c r="J317" s="472">
        <f t="shared" si="17"/>
        <v>669.4545454545455</v>
      </c>
      <c r="K317" s="472">
        <f t="shared" si="17"/>
        <v>669.4545454545455</v>
      </c>
      <c r="L317" s="472">
        <f t="shared" si="17"/>
        <v>669.4545454545455</v>
      </c>
      <c r="M317" s="472">
        <f t="shared" si="17"/>
        <v>669.4545454545455</v>
      </c>
      <c r="N317" s="472">
        <f t="shared" si="17"/>
        <v>669.4545454545455</v>
      </c>
      <c r="O317" s="472">
        <f t="shared" si="17"/>
        <v>669.4545454545455</v>
      </c>
      <c r="P317" s="472">
        <f t="shared" si="17"/>
        <v>669.4545454545455</v>
      </c>
      <c r="Q317" s="472">
        <f t="shared" si="17"/>
        <v>669.4545454545455</v>
      </c>
      <c r="R317" s="472">
        <f t="shared" si="17"/>
        <v>669.4545454545455</v>
      </c>
      <c r="S317" s="472">
        <f t="shared" si="17"/>
        <v>669.4545454545455</v>
      </c>
      <c r="T317" s="472">
        <f t="shared" si="17"/>
        <v>669.4545454545455</v>
      </c>
      <c r="U317" s="472">
        <f t="shared" si="17"/>
        <v>669.4545454545455</v>
      </c>
      <c r="V317" s="472">
        <f t="shared" si="17"/>
        <v>669.4545454545455</v>
      </c>
      <c r="W317" s="472">
        <f t="shared" si="17"/>
        <v>669.4545454545455</v>
      </c>
      <c r="X317" s="472">
        <f t="shared" si="17"/>
        <v>669.4545454545455</v>
      </c>
      <c r="Y317" s="472">
        <f t="shared" si="17"/>
        <v>669.4545454545455</v>
      </c>
      <c r="Z317" s="472">
        <f t="shared" si="17"/>
        <v>669.4545454545455</v>
      </c>
      <c r="AA317" s="501">
        <f t="shared" si="17"/>
        <v>669.4545454545455</v>
      </c>
      <c r="AB317" s="472">
        <f t="shared" si="17"/>
        <v>669.4545454545455</v>
      </c>
      <c r="AC317" s="472">
        <f t="shared" si="17"/>
        <v>669.4545454545455</v>
      </c>
      <c r="AD317" s="472">
        <f t="shared" si="17"/>
        <v>669.4545454545455</v>
      </c>
      <c r="AE317" s="472">
        <f t="shared" si="17"/>
        <v>669.4545454545455</v>
      </c>
      <c r="AF317" s="472">
        <f t="shared" si="17"/>
        <v>669.4545454545455</v>
      </c>
      <c r="AG317" s="472">
        <f t="shared" si="17"/>
        <v>669.4545454545455</v>
      </c>
      <c r="AH317" s="472">
        <f t="shared" si="17"/>
        <v>669.4545454545455</v>
      </c>
      <c r="AI317" s="472">
        <f t="shared" si="17"/>
        <v>669.4545454545455</v>
      </c>
      <c r="AJ317" s="472">
        <f t="shared" si="17"/>
        <v>669.4545454545455</v>
      </c>
      <c r="AK317" s="472">
        <f t="shared" si="17"/>
        <v>669.4545454545455</v>
      </c>
      <c r="AL317" s="472">
        <f t="shared" si="17"/>
        <v>669.4545454545455</v>
      </c>
      <c r="AM317" s="472">
        <f t="shared" si="17"/>
        <v>669.4545454545455</v>
      </c>
      <c r="AN317" s="472">
        <f t="shared" si="17"/>
        <v>669.4545454545455</v>
      </c>
      <c r="AO317" s="472">
        <f t="shared" si="17"/>
        <v>669.4545454545455</v>
      </c>
      <c r="AP317" s="472">
        <f t="shared" si="17"/>
        <v>669.4545454545455</v>
      </c>
      <c r="AQ317" s="472">
        <f t="shared" si="17"/>
        <v>669.4545454545455</v>
      </c>
      <c r="AR317" s="472">
        <f t="shared" si="17"/>
        <v>669.4545454545455</v>
      </c>
      <c r="AS317" s="472">
        <f t="shared" si="17"/>
        <v>669.4545454545455</v>
      </c>
      <c r="AT317" s="472">
        <f t="shared" si="17"/>
        <v>669.4545454545455</v>
      </c>
      <c r="AU317" s="472">
        <f t="shared" si="17"/>
        <v>669.4545454545455</v>
      </c>
      <c r="AV317" s="472">
        <f t="shared" si="17"/>
        <v>669.4545454545455</v>
      </c>
      <c r="AW317" s="472">
        <f t="shared" si="17"/>
        <v>669.4545454545455</v>
      </c>
    </row>
    <row r="318" spans="1:49" x14ac:dyDescent="0.2">
      <c r="A318" s="470" t="s">
        <v>467</v>
      </c>
      <c r="B318" s="472">
        <f>SUM(C315:AW315)/COUNT(C315:AW315)</f>
        <v>71.84375</v>
      </c>
      <c r="C318" s="472"/>
      <c r="D318" s="472"/>
      <c r="E318" s="472"/>
      <c r="F318" s="472"/>
      <c r="G318" s="472"/>
      <c r="H318" s="472"/>
      <c r="I318" s="473"/>
      <c r="J318" s="473"/>
      <c r="K318" s="473"/>
      <c r="L318" s="474"/>
      <c r="M318" s="474"/>
      <c r="N318" s="473"/>
      <c r="O318" s="473"/>
      <c r="P318" s="473"/>
      <c r="Q318" s="473"/>
      <c r="R318" s="473"/>
      <c r="S318" s="473"/>
      <c r="T318" s="473"/>
      <c r="U318" s="473"/>
      <c r="V318" s="473"/>
      <c r="W318" s="473"/>
      <c r="X318" s="473"/>
      <c r="Y318" s="473"/>
      <c r="Z318" s="368"/>
      <c r="AA318" s="500"/>
      <c r="AB318" s="368"/>
      <c r="AC318" s="368"/>
      <c r="AD318" s="368"/>
      <c r="AE318" s="368"/>
      <c r="AF318" s="368"/>
      <c r="AG318" s="369"/>
      <c r="AH318" s="369"/>
      <c r="AI318" s="369"/>
      <c r="AJ318" s="352"/>
      <c r="AK318" s="352"/>
      <c r="AL318" s="369"/>
      <c r="AM318" s="369"/>
      <c r="AN318" s="369"/>
      <c r="AO318" s="369"/>
      <c r="AP318" s="369"/>
      <c r="AQ318" s="369"/>
      <c r="AR318" s="369"/>
      <c r="AS318" s="369"/>
      <c r="AT318" s="369"/>
      <c r="AU318" s="369"/>
      <c r="AV318" s="369"/>
      <c r="AW318" s="228"/>
    </row>
    <row r="319" spans="1:49" ht="25.5" x14ac:dyDescent="0.2">
      <c r="A319" s="470" t="s">
        <v>470</v>
      </c>
      <c r="B319" s="472">
        <f>SUM(B318/1.128)</f>
        <v>63.691267730496463</v>
      </c>
      <c r="C319" s="472"/>
      <c r="D319" s="472"/>
      <c r="E319" s="472"/>
      <c r="F319" s="472"/>
      <c r="G319" s="472"/>
      <c r="H319" s="472"/>
      <c r="I319" s="473"/>
      <c r="J319" s="473"/>
      <c r="K319" s="473"/>
      <c r="L319" s="474"/>
      <c r="M319" s="474"/>
      <c r="N319" s="473"/>
      <c r="O319" s="473"/>
      <c r="P319" s="473"/>
      <c r="Q319" s="473"/>
      <c r="R319" s="473"/>
      <c r="S319" s="473"/>
      <c r="T319" s="473"/>
      <c r="U319" s="473"/>
      <c r="V319" s="473"/>
      <c r="W319" s="473"/>
      <c r="X319" s="473"/>
      <c r="Y319" s="473"/>
      <c r="Z319" s="368"/>
      <c r="AA319" s="500"/>
      <c r="AB319" s="368"/>
      <c r="AC319" s="368"/>
      <c r="AD319" s="368"/>
      <c r="AE319" s="368"/>
      <c r="AF319" s="368"/>
      <c r="AG319" s="369"/>
      <c r="AH319" s="369"/>
      <c r="AI319" s="369"/>
      <c r="AJ319" s="352"/>
      <c r="AK319" s="352"/>
      <c r="AL319" s="369"/>
      <c r="AM319" s="369"/>
      <c r="AN319" s="369"/>
      <c r="AO319" s="369"/>
      <c r="AP319" s="369"/>
      <c r="AQ319" s="369"/>
      <c r="AR319" s="369"/>
      <c r="AS319" s="369"/>
      <c r="AT319" s="369"/>
      <c r="AU319" s="369"/>
      <c r="AV319" s="369"/>
      <c r="AW319" s="228"/>
    </row>
    <row r="320" spans="1:49" x14ac:dyDescent="0.2">
      <c r="A320" s="470" t="s">
        <v>473</v>
      </c>
      <c r="B320" s="472">
        <f t="shared" ref="B320:AW320" si="18">SUM($B$317)+(3*$B$319)</f>
        <v>860.52834864603483</v>
      </c>
      <c r="C320" s="472">
        <f t="shared" si="18"/>
        <v>860.52834864603483</v>
      </c>
      <c r="D320" s="472">
        <f t="shared" si="18"/>
        <v>860.52834864603483</v>
      </c>
      <c r="E320" s="472">
        <f t="shared" si="18"/>
        <v>860.52834864603483</v>
      </c>
      <c r="F320" s="472">
        <f t="shared" si="18"/>
        <v>860.52834864603483</v>
      </c>
      <c r="G320" s="472">
        <f t="shared" si="18"/>
        <v>860.52834864603483</v>
      </c>
      <c r="H320" s="472">
        <f t="shared" si="18"/>
        <v>860.52834864603483</v>
      </c>
      <c r="I320" s="472">
        <f t="shared" si="18"/>
        <v>860.52834864603483</v>
      </c>
      <c r="J320" s="472">
        <f t="shared" si="18"/>
        <v>860.52834864603483</v>
      </c>
      <c r="K320" s="472">
        <f t="shared" si="18"/>
        <v>860.52834864603483</v>
      </c>
      <c r="L320" s="472">
        <f t="shared" si="18"/>
        <v>860.52834864603483</v>
      </c>
      <c r="M320" s="472">
        <f t="shared" si="18"/>
        <v>860.52834864603483</v>
      </c>
      <c r="N320" s="472">
        <f t="shared" si="18"/>
        <v>860.52834864603483</v>
      </c>
      <c r="O320" s="472">
        <f t="shared" si="18"/>
        <v>860.52834864603483</v>
      </c>
      <c r="P320" s="472">
        <f t="shared" si="18"/>
        <v>860.52834864603483</v>
      </c>
      <c r="Q320" s="472">
        <f t="shared" si="18"/>
        <v>860.52834864603483</v>
      </c>
      <c r="R320" s="472">
        <f t="shared" si="18"/>
        <v>860.52834864603483</v>
      </c>
      <c r="S320" s="472">
        <f t="shared" si="18"/>
        <v>860.52834864603483</v>
      </c>
      <c r="T320" s="472">
        <f t="shared" si="18"/>
        <v>860.52834864603483</v>
      </c>
      <c r="U320" s="472">
        <f t="shared" si="18"/>
        <v>860.52834864603483</v>
      </c>
      <c r="V320" s="472">
        <f t="shared" si="18"/>
        <v>860.52834864603483</v>
      </c>
      <c r="W320" s="472">
        <f t="shared" si="18"/>
        <v>860.52834864603483</v>
      </c>
      <c r="X320" s="472">
        <f t="shared" si="18"/>
        <v>860.52834864603483</v>
      </c>
      <c r="Y320" s="472">
        <f t="shared" si="18"/>
        <v>860.52834864603483</v>
      </c>
      <c r="Z320" s="472">
        <f t="shared" si="18"/>
        <v>860.52834864603483</v>
      </c>
      <c r="AA320" s="501">
        <f t="shared" si="18"/>
        <v>860.52834864603483</v>
      </c>
      <c r="AB320" s="472">
        <f t="shared" si="18"/>
        <v>860.52834864603483</v>
      </c>
      <c r="AC320" s="472">
        <f t="shared" si="18"/>
        <v>860.52834864603483</v>
      </c>
      <c r="AD320" s="472">
        <f t="shared" si="18"/>
        <v>860.52834864603483</v>
      </c>
      <c r="AE320" s="472">
        <f t="shared" si="18"/>
        <v>860.52834864603483</v>
      </c>
      <c r="AF320" s="472">
        <f t="shared" si="18"/>
        <v>860.52834864603483</v>
      </c>
      <c r="AG320" s="472">
        <f t="shared" si="18"/>
        <v>860.52834864603483</v>
      </c>
      <c r="AH320" s="472">
        <f t="shared" si="18"/>
        <v>860.52834864603483</v>
      </c>
      <c r="AI320" s="472">
        <f t="shared" si="18"/>
        <v>860.52834864603483</v>
      </c>
      <c r="AJ320" s="472">
        <f t="shared" si="18"/>
        <v>860.52834864603483</v>
      </c>
      <c r="AK320" s="472">
        <f t="shared" si="18"/>
        <v>860.52834864603483</v>
      </c>
      <c r="AL320" s="472">
        <f t="shared" si="18"/>
        <v>860.52834864603483</v>
      </c>
      <c r="AM320" s="472">
        <f t="shared" si="18"/>
        <v>860.52834864603483</v>
      </c>
      <c r="AN320" s="472">
        <f t="shared" si="18"/>
        <v>860.52834864603483</v>
      </c>
      <c r="AO320" s="472">
        <f t="shared" si="18"/>
        <v>860.52834864603483</v>
      </c>
      <c r="AP320" s="472">
        <f t="shared" si="18"/>
        <v>860.52834864603483</v>
      </c>
      <c r="AQ320" s="472">
        <f t="shared" si="18"/>
        <v>860.52834864603483</v>
      </c>
      <c r="AR320" s="472">
        <f t="shared" si="18"/>
        <v>860.52834864603483</v>
      </c>
      <c r="AS320" s="472">
        <f t="shared" si="18"/>
        <v>860.52834864603483</v>
      </c>
      <c r="AT320" s="472">
        <f t="shared" si="18"/>
        <v>860.52834864603483</v>
      </c>
      <c r="AU320" s="472">
        <f t="shared" si="18"/>
        <v>860.52834864603483</v>
      </c>
      <c r="AV320" s="472">
        <f t="shared" si="18"/>
        <v>860.52834864603483</v>
      </c>
      <c r="AW320" s="472">
        <f t="shared" si="18"/>
        <v>860.52834864603483</v>
      </c>
    </row>
    <row r="321" spans="1:49" x14ac:dyDescent="0.2">
      <c r="A321" s="470" t="s">
        <v>475</v>
      </c>
      <c r="B321" s="472">
        <f t="shared" ref="B321:AW321" si="19">SUM($B$317)-(3*$B$319)</f>
        <v>478.38074226305611</v>
      </c>
      <c r="C321" s="472">
        <f t="shared" si="19"/>
        <v>478.38074226305611</v>
      </c>
      <c r="D321" s="472">
        <f t="shared" si="19"/>
        <v>478.38074226305611</v>
      </c>
      <c r="E321" s="472">
        <f t="shared" si="19"/>
        <v>478.38074226305611</v>
      </c>
      <c r="F321" s="472">
        <f t="shared" si="19"/>
        <v>478.38074226305611</v>
      </c>
      <c r="G321" s="472">
        <f t="shared" si="19"/>
        <v>478.38074226305611</v>
      </c>
      <c r="H321" s="472">
        <f t="shared" si="19"/>
        <v>478.38074226305611</v>
      </c>
      <c r="I321" s="472">
        <f t="shared" si="19"/>
        <v>478.38074226305611</v>
      </c>
      <c r="J321" s="472">
        <f t="shared" si="19"/>
        <v>478.38074226305611</v>
      </c>
      <c r="K321" s="472">
        <f t="shared" si="19"/>
        <v>478.38074226305611</v>
      </c>
      <c r="L321" s="472">
        <f t="shared" si="19"/>
        <v>478.38074226305611</v>
      </c>
      <c r="M321" s="472">
        <f t="shared" si="19"/>
        <v>478.38074226305611</v>
      </c>
      <c r="N321" s="472">
        <f t="shared" si="19"/>
        <v>478.38074226305611</v>
      </c>
      <c r="O321" s="472">
        <f t="shared" si="19"/>
        <v>478.38074226305611</v>
      </c>
      <c r="P321" s="472">
        <f t="shared" si="19"/>
        <v>478.38074226305611</v>
      </c>
      <c r="Q321" s="472">
        <f t="shared" si="19"/>
        <v>478.38074226305611</v>
      </c>
      <c r="R321" s="472">
        <f t="shared" si="19"/>
        <v>478.38074226305611</v>
      </c>
      <c r="S321" s="472">
        <f t="shared" si="19"/>
        <v>478.38074226305611</v>
      </c>
      <c r="T321" s="472">
        <f t="shared" si="19"/>
        <v>478.38074226305611</v>
      </c>
      <c r="U321" s="472">
        <f t="shared" si="19"/>
        <v>478.38074226305611</v>
      </c>
      <c r="V321" s="472">
        <f t="shared" si="19"/>
        <v>478.38074226305611</v>
      </c>
      <c r="W321" s="472">
        <f t="shared" si="19"/>
        <v>478.38074226305611</v>
      </c>
      <c r="X321" s="472">
        <f t="shared" si="19"/>
        <v>478.38074226305611</v>
      </c>
      <c r="Y321" s="472">
        <f t="shared" si="19"/>
        <v>478.38074226305611</v>
      </c>
      <c r="Z321" s="472">
        <f t="shared" si="19"/>
        <v>478.38074226305611</v>
      </c>
      <c r="AA321" s="501">
        <f t="shared" si="19"/>
        <v>478.38074226305611</v>
      </c>
      <c r="AB321" s="472">
        <f t="shared" si="19"/>
        <v>478.38074226305611</v>
      </c>
      <c r="AC321" s="472">
        <f t="shared" si="19"/>
        <v>478.38074226305611</v>
      </c>
      <c r="AD321" s="472">
        <f t="shared" si="19"/>
        <v>478.38074226305611</v>
      </c>
      <c r="AE321" s="472">
        <f t="shared" si="19"/>
        <v>478.38074226305611</v>
      </c>
      <c r="AF321" s="472">
        <f t="shared" si="19"/>
        <v>478.38074226305611</v>
      </c>
      <c r="AG321" s="472">
        <f t="shared" si="19"/>
        <v>478.38074226305611</v>
      </c>
      <c r="AH321" s="472">
        <f t="shared" si="19"/>
        <v>478.38074226305611</v>
      </c>
      <c r="AI321" s="472">
        <f t="shared" si="19"/>
        <v>478.38074226305611</v>
      </c>
      <c r="AJ321" s="472">
        <f t="shared" si="19"/>
        <v>478.38074226305611</v>
      </c>
      <c r="AK321" s="472">
        <f t="shared" si="19"/>
        <v>478.38074226305611</v>
      </c>
      <c r="AL321" s="472">
        <f t="shared" si="19"/>
        <v>478.38074226305611</v>
      </c>
      <c r="AM321" s="472">
        <f t="shared" si="19"/>
        <v>478.38074226305611</v>
      </c>
      <c r="AN321" s="472">
        <f t="shared" si="19"/>
        <v>478.38074226305611</v>
      </c>
      <c r="AO321" s="472">
        <f t="shared" si="19"/>
        <v>478.38074226305611</v>
      </c>
      <c r="AP321" s="472">
        <f t="shared" si="19"/>
        <v>478.38074226305611</v>
      </c>
      <c r="AQ321" s="472">
        <f t="shared" si="19"/>
        <v>478.38074226305611</v>
      </c>
      <c r="AR321" s="472">
        <f t="shared" si="19"/>
        <v>478.38074226305611</v>
      </c>
      <c r="AS321" s="472">
        <f t="shared" si="19"/>
        <v>478.38074226305611</v>
      </c>
      <c r="AT321" s="472">
        <f t="shared" si="19"/>
        <v>478.38074226305611</v>
      </c>
      <c r="AU321" s="472">
        <f t="shared" si="19"/>
        <v>478.38074226305611</v>
      </c>
      <c r="AV321" s="472">
        <f t="shared" si="19"/>
        <v>478.38074226305611</v>
      </c>
      <c r="AW321" s="472">
        <f t="shared" si="19"/>
        <v>478.38074226305611</v>
      </c>
    </row>
    <row r="322" spans="1:49" x14ac:dyDescent="0.2">
      <c r="A322" s="468"/>
      <c r="B322" s="536"/>
      <c r="C322" s="472"/>
      <c r="D322" s="472"/>
      <c r="E322" s="472"/>
      <c r="F322" s="472"/>
      <c r="G322" s="472"/>
      <c r="H322" s="472"/>
      <c r="I322" s="473"/>
      <c r="J322" s="473"/>
      <c r="K322" s="473"/>
      <c r="L322" s="474"/>
      <c r="M322" s="474"/>
      <c r="N322" s="473"/>
      <c r="O322" s="473"/>
      <c r="P322" s="473"/>
      <c r="Q322" s="473"/>
      <c r="R322" s="473"/>
      <c r="S322" s="473"/>
      <c r="T322" s="473"/>
      <c r="U322" s="473"/>
      <c r="V322" s="473"/>
      <c r="W322" s="473"/>
      <c r="X322" s="473"/>
      <c r="Y322" s="473"/>
      <c r="Z322" s="368"/>
      <c r="AA322" s="500"/>
      <c r="AB322" s="368"/>
      <c r="AC322" s="368"/>
      <c r="AD322" s="368"/>
      <c r="AE322" s="368"/>
      <c r="AF322" s="368"/>
      <c r="AG322" s="369"/>
      <c r="AH322" s="369"/>
      <c r="AI322" s="369"/>
      <c r="AJ322" s="352"/>
      <c r="AK322" s="352"/>
      <c r="AL322" s="369"/>
      <c r="AM322" s="369"/>
      <c r="AN322" s="369"/>
      <c r="AO322" s="369"/>
      <c r="AP322" s="369"/>
      <c r="AQ322" s="369"/>
      <c r="AR322" s="369"/>
      <c r="AS322" s="369"/>
      <c r="AT322" s="369"/>
      <c r="AU322" s="369"/>
      <c r="AV322" s="369"/>
      <c r="AW322" s="228"/>
    </row>
    <row r="323" spans="1:49" ht="30" x14ac:dyDescent="0.2">
      <c r="A323" s="538" t="s">
        <v>378</v>
      </c>
      <c r="B323" s="625" t="s">
        <v>491</v>
      </c>
      <c r="C323" s="472"/>
      <c r="D323" s="472"/>
      <c r="E323" s="472"/>
      <c r="F323" s="472"/>
      <c r="G323" s="472"/>
      <c r="H323" s="472"/>
      <c r="I323" s="473"/>
      <c r="J323" s="473"/>
      <c r="K323" s="473"/>
      <c r="L323" s="474"/>
      <c r="M323" s="474"/>
      <c r="N323" s="473"/>
      <c r="O323" s="473"/>
      <c r="P323" s="473"/>
      <c r="Q323" s="473"/>
      <c r="R323" s="473"/>
      <c r="S323" s="473"/>
      <c r="T323" s="473"/>
      <c r="U323" s="473"/>
      <c r="V323" s="473"/>
      <c r="W323" s="473"/>
      <c r="X323" s="473"/>
      <c r="Y323" s="473"/>
      <c r="Z323" s="368"/>
      <c r="AA323" s="500"/>
      <c r="AB323" s="368"/>
      <c r="AC323" s="368"/>
      <c r="AD323" s="368"/>
      <c r="AE323" s="368"/>
      <c r="AF323" s="368"/>
      <c r="AG323" s="369"/>
      <c r="AH323" s="369"/>
      <c r="AI323" s="369"/>
      <c r="AJ323" s="352"/>
      <c r="AK323" s="352"/>
      <c r="AL323" s="369"/>
      <c r="AM323" s="369"/>
      <c r="AN323" s="369"/>
      <c r="AO323" s="369"/>
      <c r="AP323" s="369"/>
      <c r="AQ323" s="369"/>
      <c r="AR323" s="369"/>
      <c r="AS323" s="369"/>
      <c r="AT323" s="369"/>
      <c r="AU323" s="369"/>
      <c r="AV323" s="369"/>
      <c r="AW323" s="228"/>
    </row>
    <row r="324" spans="1:49" x14ac:dyDescent="0.2">
      <c r="A324" s="469" t="s">
        <v>130</v>
      </c>
      <c r="B324" s="536"/>
      <c r="C324" s="472"/>
      <c r="D324" s="472"/>
      <c r="E324" s="472"/>
      <c r="F324" s="472"/>
      <c r="G324" s="472"/>
      <c r="H324" s="472"/>
      <c r="I324" s="473"/>
      <c r="J324" s="473"/>
      <c r="K324" s="473"/>
      <c r="L324" s="474"/>
      <c r="M324" s="474"/>
      <c r="N324" s="473"/>
      <c r="O324" s="473"/>
      <c r="P324" s="473"/>
      <c r="Q324" s="473"/>
      <c r="R324" s="473"/>
      <c r="S324" s="473"/>
      <c r="T324" s="473"/>
      <c r="U324" s="473"/>
      <c r="V324" s="473"/>
      <c r="W324" s="473"/>
      <c r="X324" s="473"/>
      <c r="Y324" s="473"/>
      <c r="Z324" s="368"/>
      <c r="AA324" s="500"/>
      <c r="AB324" s="368"/>
      <c r="AC324" s="368"/>
      <c r="AD324" s="368"/>
      <c r="AE324" s="368"/>
      <c r="AF324" s="368"/>
      <c r="AG324" s="369"/>
      <c r="AH324" s="369"/>
      <c r="AI324" s="369"/>
      <c r="AJ324" s="352"/>
      <c r="AK324" s="352"/>
      <c r="AL324" s="369"/>
      <c r="AM324" s="369"/>
      <c r="AN324" s="369"/>
      <c r="AO324" s="369"/>
      <c r="AP324" s="369"/>
      <c r="AQ324" s="369"/>
      <c r="AR324" s="369"/>
      <c r="AS324" s="369"/>
      <c r="AT324" s="369"/>
      <c r="AU324" s="369"/>
      <c r="AV324" s="369"/>
      <c r="AW324" s="228"/>
    </row>
    <row r="325" spans="1:49" x14ac:dyDescent="0.2">
      <c r="A325" s="469" t="s">
        <v>178</v>
      </c>
      <c r="B325" s="536"/>
      <c r="C325" s="472"/>
      <c r="D325" s="472"/>
      <c r="E325" s="472"/>
      <c r="F325" s="472"/>
      <c r="G325" s="472"/>
      <c r="H325" s="472"/>
      <c r="I325" s="473"/>
      <c r="J325" s="473"/>
      <c r="K325" s="473"/>
      <c r="L325" s="474"/>
      <c r="M325" s="474"/>
      <c r="N325" s="473"/>
      <c r="O325" s="473"/>
      <c r="P325" s="473"/>
      <c r="Q325" s="473"/>
      <c r="R325" s="473"/>
      <c r="S325" s="473"/>
      <c r="T325" s="473"/>
      <c r="U325" s="473"/>
      <c r="V325" s="473"/>
      <c r="W325" s="473"/>
      <c r="X325" s="473"/>
      <c r="Y325" s="473"/>
      <c r="Z325" s="368"/>
      <c r="AA325" s="500"/>
      <c r="AB325" s="368"/>
      <c r="AC325" s="368"/>
      <c r="AD325" s="368"/>
      <c r="AE325" s="368"/>
      <c r="AF325" s="368"/>
      <c r="AG325" s="369"/>
      <c r="AH325" s="369"/>
      <c r="AI325" s="369"/>
      <c r="AJ325" s="352"/>
      <c r="AK325" s="352"/>
      <c r="AL325" s="369"/>
      <c r="AM325" s="369"/>
      <c r="AN325" s="369"/>
      <c r="AO325" s="369"/>
      <c r="AP325" s="369"/>
      <c r="AQ325" s="369"/>
      <c r="AR325" s="369"/>
      <c r="AS325" s="369"/>
      <c r="AT325" s="369"/>
      <c r="AU325" s="369"/>
      <c r="AV325" s="369"/>
      <c r="AW325" s="228"/>
    </row>
    <row r="326" spans="1:49" x14ac:dyDescent="0.2">
      <c r="A326" s="496" t="s">
        <v>466</v>
      </c>
      <c r="B326" s="537"/>
      <c r="C326" s="497">
        <f>SUM(C298-B298)</f>
        <v>22</v>
      </c>
      <c r="D326" s="497">
        <f t="shared" ref="D326:Y326" si="20">SUM(D298-C298)</f>
        <v>10</v>
      </c>
      <c r="E326" s="497">
        <f t="shared" si="20"/>
        <v>16</v>
      </c>
      <c r="F326" s="497">
        <f>SUM(F298-E298)*-1</f>
        <v>32</v>
      </c>
      <c r="G326" s="497">
        <f>SUM(G298-F298)*-1</f>
        <v>43</v>
      </c>
      <c r="H326" s="497">
        <f t="shared" si="20"/>
        <v>11</v>
      </c>
      <c r="I326" s="497">
        <f>SUM(I298-H298)*-1</f>
        <v>75</v>
      </c>
      <c r="J326" s="497">
        <f>SUM(J298-I298)*-1</f>
        <v>9</v>
      </c>
      <c r="K326" s="497">
        <f t="shared" si="20"/>
        <v>11</v>
      </c>
      <c r="L326" s="497">
        <f>SUM(L298-K298)*-1</f>
        <v>31</v>
      </c>
      <c r="M326" s="497">
        <f t="shared" si="20"/>
        <v>20</v>
      </c>
      <c r="N326" s="497">
        <f t="shared" si="20"/>
        <v>47</v>
      </c>
      <c r="O326" s="497">
        <f>SUM(O298-N298)*-1</f>
        <v>11</v>
      </c>
      <c r="P326" s="497">
        <f>SUM(P298-O298)*-1</f>
        <v>6</v>
      </c>
      <c r="Q326" s="497">
        <f t="shared" si="20"/>
        <v>52</v>
      </c>
      <c r="R326" s="497">
        <f t="shared" si="20"/>
        <v>103</v>
      </c>
      <c r="S326" s="497">
        <f t="shared" si="20"/>
        <v>44</v>
      </c>
      <c r="T326" s="497">
        <f t="shared" si="20"/>
        <v>4</v>
      </c>
      <c r="U326" s="497">
        <f>SUM(U298-T298)*-1</f>
        <v>20</v>
      </c>
      <c r="V326" s="497">
        <f>SUM(V298-U298)*-1</f>
        <v>67</v>
      </c>
      <c r="W326" s="497">
        <f t="shared" si="20"/>
        <v>37</v>
      </c>
      <c r="X326" s="497">
        <f>SUM(X298-W298)*-1</f>
        <v>46</v>
      </c>
      <c r="Y326" s="497">
        <f t="shared" si="20"/>
        <v>12</v>
      </c>
      <c r="Z326" s="497">
        <f t="shared" ref="Z326:AF326" si="21">SUM(Z298-Y298)</f>
        <v>61</v>
      </c>
      <c r="AA326" s="497">
        <f t="shared" si="21"/>
        <v>5</v>
      </c>
      <c r="AB326" s="497">
        <f t="shared" si="21"/>
        <v>43</v>
      </c>
      <c r="AC326" s="497">
        <f t="shared" si="21"/>
        <v>30</v>
      </c>
      <c r="AD326" s="497">
        <f t="shared" si="21"/>
        <v>9</v>
      </c>
      <c r="AE326" s="497">
        <f t="shared" si="21"/>
        <v>36</v>
      </c>
      <c r="AF326" s="497">
        <f t="shared" si="21"/>
        <v>13</v>
      </c>
      <c r="AG326" s="497">
        <f>SUM(AG298-AF298)*-1</f>
        <v>29</v>
      </c>
      <c r="AH326" s="497">
        <f>SUM(AH298-AG298)</f>
        <v>4</v>
      </c>
      <c r="AI326" s="497" t="s">
        <v>368</v>
      </c>
      <c r="AJ326" s="497" t="s">
        <v>368</v>
      </c>
      <c r="AK326" s="497" t="s">
        <v>368</v>
      </c>
      <c r="AL326" s="497" t="s">
        <v>368</v>
      </c>
      <c r="AM326" s="497" t="s">
        <v>368</v>
      </c>
      <c r="AN326" s="497" t="s">
        <v>368</v>
      </c>
      <c r="AO326" s="497" t="s">
        <v>368</v>
      </c>
      <c r="AP326" s="497" t="s">
        <v>368</v>
      </c>
      <c r="AQ326" s="497" t="s">
        <v>368</v>
      </c>
      <c r="AR326" s="497" t="s">
        <v>368</v>
      </c>
      <c r="AS326" s="497" t="s">
        <v>368</v>
      </c>
      <c r="AT326" s="497" t="s">
        <v>368</v>
      </c>
      <c r="AU326" s="497" t="s">
        <v>368</v>
      </c>
      <c r="AV326" s="497" t="s">
        <v>368</v>
      </c>
      <c r="AW326" s="497" t="s">
        <v>368</v>
      </c>
    </row>
    <row r="327" spans="1:49" ht="53.25" x14ac:dyDescent="0.2">
      <c r="A327" s="455" t="s">
        <v>496</v>
      </c>
      <c r="B327" s="536"/>
      <c r="C327" s="472"/>
      <c r="D327" s="472"/>
      <c r="E327" s="472"/>
      <c r="F327" s="472"/>
      <c r="G327" s="472"/>
      <c r="H327" s="472"/>
      <c r="I327" s="473"/>
      <c r="J327" s="473"/>
      <c r="K327" s="473"/>
      <c r="L327" s="474"/>
      <c r="M327" s="474"/>
      <c r="N327" s="473"/>
      <c r="O327" s="473"/>
      <c r="P327" s="473"/>
      <c r="Q327" s="473"/>
      <c r="R327" s="473"/>
      <c r="S327" s="473"/>
      <c r="T327" s="473"/>
      <c r="U327" s="473"/>
      <c r="V327" s="473"/>
      <c r="W327" s="473"/>
      <c r="X327" s="473"/>
      <c r="Y327" s="473"/>
      <c r="Z327" s="368"/>
      <c r="AA327" s="500"/>
      <c r="AB327" s="368"/>
      <c r="AC327" s="368"/>
      <c r="AD327" s="368"/>
      <c r="AE327" s="368"/>
      <c r="AF327" s="368"/>
      <c r="AG327" s="369"/>
      <c r="AH327" s="369"/>
      <c r="AI327" s="369"/>
      <c r="AJ327" s="352"/>
      <c r="AK327" s="352"/>
      <c r="AL327" s="369"/>
      <c r="AM327" s="369"/>
      <c r="AN327" s="369"/>
      <c r="AO327" s="369"/>
      <c r="AP327" s="369"/>
      <c r="AQ327" s="369"/>
      <c r="AR327" s="369"/>
      <c r="AS327" s="369"/>
      <c r="AT327" s="369"/>
      <c r="AU327" s="369"/>
      <c r="AV327" s="369"/>
      <c r="AW327" s="228"/>
    </row>
    <row r="328" spans="1:49" x14ac:dyDescent="0.2">
      <c r="A328" s="460" t="s">
        <v>468</v>
      </c>
      <c r="B328" s="536">
        <f t="shared" ref="B328:AW328" si="22">AVERAGE($B$298:$AW$298)</f>
        <v>314.42424242424244</v>
      </c>
      <c r="C328" s="472">
        <f t="shared" si="22"/>
        <v>314.42424242424244</v>
      </c>
      <c r="D328" s="472">
        <f t="shared" si="22"/>
        <v>314.42424242424244</v>
      </c>
      <c r="E328" s="472">
        <f t="shared" si="22"/>
        <v>314.42424242424244</v>
      </c>
      <c r="F328" s="472">
        <f t="shared" si="22"/>
        <v>314.42424242424244</v>
      </c>
      <c r="G328" s="472">
        <f t="shared" si="22"/>
        <v>314.42424242424244</v>
      </c>
      <c r="H328" s="472">
        <f t="shared" si="22"/>
        <v>314.42424242424244</v>
      </c>
      <c r="I328" s="472">
        <f t="shared" si="22"/>
        <v>314.42424242424244</v>
      </c>
      <c r="J328" s="472">
        <f t="shared" si="22"/>
        <v>314.42424242424244</v>
      </c>
      <c r="K328" s="472">
        <f t="shared" si="22"/>
        <v>314.42424242424244</v>
      </c>
      <c r="L328" s="472">
        <f t="shared" si="22"/>
        <v>314.42424242424244</v>
      </c>
      <c r="M328" s="472">
        <f t="shared" si="22"/>
        <v>314.42424242424244</v>
      </c>
      <c r="N328" s="472">
        <f t="shared" si="22"/>
        <v>314.42424242424244</v>
      </c>
      <c r="O328" s="472">
        <f t="shared" si="22"/>
        <v>314.42424242424244</v>
      </c>
      <c r="P328" s="472">
        <f t="shared" si="22"/>
        <v>314.42424242424244</v>
      </c>
      <c r="Q328" s="472">
        <f t="shared" si="22"/>
        <v>314.42424242424244</v>
      </c>
      <c r="R328" s="472">
        <f t="shared" si="22"/>
        <v>314.42424242424244</v>
      </c>
      <c r="S328" s="472">
        <f t="shared" si="22"/>
        <v>314.42424242424244</v>
      </c>
      <c r="T328" s="472">
        <f t="shared" si="22"/>
        <v>314.42424242424244</v>
      </c>
      <c r="U328" s="472">
        <f t="shared" si="22"/>
        <v>314.42424242424244</v>
      </c>
      <c r="V328" s="472">
        <f t="shared" si="22"/>
        <v>314.42424242424244</v>
      </c>
      <c r="W328" s="472">
        <f t="shared" si="22"/>
        <v>314.42424242424244</v>
      </c>
      <c r="X328" s="472">
        <f t="shared" si="22"/>
        <v>314.42424242424244</v>
      </c>
      <c r="Y328" s="472">
        <f t="shared" si="22"/>
        <v>314.42424242424244</v>
      </c>
      <c r="Z328" s="472">
        <f t="shared" si="22"/>
        <v>314.42424242424244</v>
      </c>
      <c r="AA328" s="501">
        <f t="shared" si="22"/>
        <v>314.42424242424244</v>
      </c>
      <c r="AB328" s="472">
        <f t="shared" si="22"/>
        <v>314.42424242424244</v>
      </c>
      <c r="AC328" s="472">
        <f t="shared" si="22"/>
        <v>314.42424242424244</v>
      </c>
      <c r="AD328" s="472">
        <f t="shared" si="22"/>
        <v>314.42424242424244</v>
      </c>
      <c r="AE328" s="472">
        <f t="shared" si="22"/>
        <v>314.42424242424244</v>
      </c>
      <c r="AF328" s="472">
        <f t="shared" si="22"/>
        <v>314.42424242424244</v>
      </c>
      <c r="AG328" s="472">
        <f t="shared" si="22"/>
        <v>314.42424242424244</v>
      </c>
      <c r="AH328" s="472">
        <f t="shared" si="22"/>
        <v>314.42424242424244</v>
      </c>
      <c r="AI328" s="472">
        <f t="shared" si="22"/>
        <v>314.42424242424244</v>
      </c>
      <c r="AJ328" s="472">
        <f t="shared" si="22"/>
        <v>314.42424242424244</v>
      </c>
      <c r="AK328" s="472">
        <f t="shared" si="22"/>
        <v>314.42424242424244</v>
      </c>
      <c r="AL328" s="472">
        <f t="shared" si="22"/>
        <v>314.42424242424244</v>
      </c>
      <c r="AM328" s="472">
        <f t="shared" si="22"/>
        <v>314.42424242424244</v>
      </c>
      <c r="AN328" s="472">
        <f t="shared" si="22"/>
        <v>314.42424242424244</v>
      </c>
      <c r="AO328" s="472">
        <f t="shared" si="22"/>
        <v>314.42424242424244</v>
      </c>
      <c r="AP328" s="472">
        <f t="shared" si="22"/>
        <v>314.42424242424244</v>
      </c>
      <c r="AQ328" s="472">
        <f t="shared" si="22"/>
        <v>314.42424242424244</v>
      </c>
      <c r="AR328" s="472">
        <f t="shared" si="22"/>
        <v>314.42424242424244</v>
      </c>
      <c r="AS328" s="472">
        <f t="shared" si="22"/>
        <v>314.42424242424244</v>
      </c>
      <c r="AT328" s="472">
        <f t="shared" si="22"/>
        <v>314.42424242424244</v>
      </c>
      <c r="AU328" s="472">
        <f t="shared" si="22"/>
        <v>314.42424242424244</v>
      </c>
      <c r="AV328" s="472">
        <f t="shared" si="22"/>
        <v>314.42424242424244</v>
      </c>
      <c r="AW328" s="472">
        <f t="shared" si="22"/>
        <v>314.42424242424244</v>
      </c>
    </row>
    <row r="329" spans="1:49" x14ac:dyDescent="0.2">
      <c r="A329" s="445" t="s">
        <v>467</v>
      </c>
      <c r="B329" s="536">
        <f>SUM(C326:AW326)/COUNT(C326:AW326)</f>
        <v>29.96875</v>
      </c>
      <c r="C329" s="472"/>
      <c r="D329" s="472"/>
      <c r="E329" s="472"/>
      <c r="F329" s="472"/>
      <c r="G329" s="472"/>
      <c r="H329" s="472"/>
      <c r="I329" s="473"/>
      <c r="J329" s="473"/>
      <c r="K329" s="473"/>
      <c r="L329" s="474"/>
      <c r="M329" s="474"/>
      <c r="N329" s="473"/>
      <c r="O329" s="473"/>
      <c r="P329" s="473"/>
      <c r="Q329" s="473"/>
      <c r="R329" s="473"/>
      <c r="S329" s="473"/>
      <c r="T329" s="473"/>
      <c r="U329" s="473"/>
      <c r="V329" s="473"/>
      <c r="W329" s="473"/>
      <c r="X329" s="473"/>
      <c r="Y329" s="473"/>
      <c r="Z329" s="368"/>
      <c r="AA329" s="500"/>
      <c r="AB329" s="368"/>
      <c r="AC329" s="368"/>
      <c r="AD329" s="368"/>
      <c r="AE329" s="368"/>
      <c r="AF329" s="368"/>
      <c r="AG329" s="369"/>
      <c r="AH329" s="369"/>
      <c r="AI329" s="369"/>
      <c r="AJ329" s="352"/>
      <c r="AK329" s="352"/>
      <c r="AL329" s="369"/>
      <c r="AM329" s="369"/>
      <c r="AN329" s="369"/>
      <c r="AO329" s="369"/>
      <c r="AP329" s="369"/>
      <c r="AQ329" s="369"/>
      <c r="AR329" s="369"/>
      <c r="AS329" s="369"/>
      <c r="AT329" s="369"/>
      <c r="AU329" s="369"/>
      <c r="AV329" s="369"/>
      <c r="AW329" s="228"/>
    </row>
    <row r="330" spans="1:49" ht="25.5" x14ac:dyDescent="0.2">
      <c r="A330" s="445" t="s">
        <v>470</v>
      </c>
      <c r="B330" s="536">
        <f>SUM(B329)/1.128</f>
        <v>26.568040780141846</v>
      </c>
      <c r="C330" s="472"/>
      <c r="D330" s="472"/>
      <c r="E330" s="472"/>
      <c r="F330" s="472"/>
      <c r="G330" s="472"/>
      <c r="H330" s="472"/>
      <c r="I330" s="473"/>
      <c r="J330" s="473"/>
      <c r="K330" s="473"/>
      <c r="L330" s="474"/>
      <c r="M330" s="474"/>
      <c r="N330" s="473"/>
      <c r="O330" s="473"/>
      <c r="P330" s="473"/>
      <c r="Q330" s="473"/>
      <c r="R330" s="473"/>
      <c r="S330" s="473"/>
      <c r="T330" s="473"/>
      <c r="U330" s="473"/>
      <c r="V330" s="473"/>
      <c r="W330" s="473"/>
      <c r="X330" s="473"/>
      <c r="Y330" s="473"/>
      <c r="Z330" s="368"/>
      <c r="AA330" s="500"/>
      <c r="AB330" s="368"/>
      <c r="AC330" s="368"/>
      <c r="AD330" s="368"/>
      <c r="AE330" s="368"/>
      <c r="AF330" s="368"/>
      <c r="AG330" s="369"/>
      <c r="AH330" s="369"/>
      <c r="AI330" s="369"/>
      <c r="AJ330" s="352"/>
      <c r="AK330" s="352"/>
      <c r="AL330" s="369"/>
      <c r="AM330" s="369"/>
      <c r="AN330" s="369"/>
      <c r="AO330" s="369"/>
      <c r="AP330" s="369"/>
      <c r="AQ330" s="369"/>
      <c r="AR330" s="369"/>
      <c r="AS330" s="369"/>
      <c r="AT330" s="369"/>
      <c r="AU330" s="369"/>
      <c r="AV330" s="369"/>
      <c r="AW330" s="228"/>
    </row>
    <row r="331" spans="1:49" x14ac:dyDescent="0.2">
      <c r="A331" s="445" t="s">
        <v>473</v>
      </c>
      <c r="B331" s="536">
        <f t="shared" ref="B331:AW331" si="23">$B$328+(3*$B$330)</f>
        <v>394.12836476466799</v>
      </c>
      <c r="C331" s="472">
        <f t="shared" si="23"/>
        <v>394.12836476466799</v>
      </c>
      <c r="D331" s="472">
        <f t="shared" si="23"/>
        <v>394.12836476466799</v>
      </c>
      <c r="E331" s="472">
        <f t="shared" si="23"/>
        <v>394.12836476466799</v>
      </c>
      <c r="F331" s="472">
        <f t="shared" si="23"/>
        <v>394.12836476466799</v>
      </c>
      <c r="G331" s="472">
        <f t="shared" si="23"/>
        <v>394.12836476466799</v>
      </c>
      <c r="H331" s="472">
        <f t="shared" si="23"/>
        <v>394.12836476466799</v>
      </c>
      <c r="I331" s="472">
        <f t="shared" si="23"/>
        <v>394.12836476466799</v>
      </c>
      <c r="J331" s="472">
        <f t="shared" si="23"/>
        <v>394.12836476466799</v>
      </c>
      <c r="K331" s="472">
        <f t="shared" si="23"/>
        <v>394.12836476466799</v>
      </c>
      <c r="L331" s="472">
        <f t="shared" si="23"/>
        <v>394.12836476466799</v>
      </c>
      <c r="M331" s="472">
        <f t="shared" si="23"/>
        <v>394.12836476466799</v>
      </c>
      <c r="N331" s="472">
        <f t="shared" si="23"/>
        <v>394.12836476466799</v>
      </c>
      <c r="O331" s="472">
        <f t="shared" si="23"/>
        <v>394.12836476466799</v>
      </c>
      <c r="P331" s="472">
        <f t="shared" si="23"/>
        <v>394.12836476466799</v>
      </c>
      <c r="Q331" s="472">
        <f t="shared" si="23"/>
        <v>394.12836476466799</v>
      </c>
      <c r="R331" s="472">
        <f t="shared" si="23"/>
        <v>394.12836476466799</v>
      </c>
      <c r="S331" s="472">
        <f t="shared" si="23"/>
        <v>394.12836476466799</v>
      </c>
      <c r="T331" s="472">
        <f t="shared" si="23"/>
        <v>394.12836476466799</v>
      </c>
      <c r="U331" s="472">
        <f t="shared" si="23"/>
        <v>394.12836476466799</v>
      </c>
      <c r="V331" s="472">
        <f t="shared" si="23"/>
        <v>394.12836476466799</v>
      </c>
      <c r="W331" s="472">
        <f t="shared" si="23"/>
        <v>394.12836476466799</v>
      </c>
      <c r="X331" s="472">
        <f t="shared" si="23"/>
        <v>394.12836476466799</v>
      </c>
      <c r="Y331" s="472">
        <f t="shared" si="23"/>
        <v>394.12836476466799</v>
      </c>
      <c r="Z331" s="472">
        <f t="shared" si="23"/>
        <v>394.12836476466799</v>
      </c>
      <c r="AA331" s="501">
        <f t="shared" si="23"/>
        <v>394.12836476466799</v>
      </c>
      <c r="AB331" s="472">
        <f t="shared" si="23"/>
        <v>394.12836476466799</v>
      </c>
      <c r="AC331" s="472">
        <f t="shared" si="23"/>
        <v>394.12836476466799</v>
      </c>
      <c r="AD331" s="472">
        <f t="shared" si="23"/>
        <v>394.12836476466799</v>
      </c>
      <c r="AE331" s="472">
        <f t="shared" si="23"/>
        <v>394.12836476466799</v>
      </c>
      <c r="AF331" s="472">
        <f t="shared" si="23"/>
        <v>394.12836476466799</v>
      </c>
      <c r="AG331" s="472">
        <f t="shared" si="23"/>
        <v>394.12836476466799</v>
      </c>
      <c r="AH331" s="472">
        <f t="shared" si="23"/>
        <v>394.12836476466799</v>
      </c>
      <c r="AI331" s="472">
        <f t="shared" si="23"/>
        <v>394.12836476466799</v>
      </c>
      <c r="AJ331" s="472">
        <f t="shared" si="23"/>
        <v>394.12836476466799</v>
      </c>
      <c r="AK331" s="472">
        <f t="shared" si="23"/>
        <v>394.12836476466799</v>
      </c>
      <c r="AL331" s="472">
        <f t="shared" si="23"/>
        <v>394.12836476466799</v>
      </c>
      <c r="AM331" s="472">
        <f t="shared" si="23"/>
        <v>394.12836476466799</v>
      </c>
      <c r="AN331" s="472">
        <f t="shared" si="23"/>
        <v>394.12836476466799</v>
      </c>
      <c r="AO331" s="472">
        <f t="shared" si="23"/>
        <v>394.12836476466799</v>
      </c>
      <c r="AP331" s="472">
        <f t="shared" si="23"/>
        <v>394.12836476466799</v>
      </c>
      <c r="AQ331" s="472">
        <f t="shared" si="23"/>
        <v>394.12836476466799</v>
      </c>
      <c r="AR331" s="472">
        <f t="shared" si="23"/>
        <v>394.12836476466799</v>
      </c>
      <c r="AS331" s="472">
        <f t="shared" si="23"/>
        <v>394.12836476466799</v>
      </c>
      <c r="AT331" s="472">
        <f t="shared" si="23"/>
        <v>394.12836476466799</v>
      </c>
      <c r="AU331" s="472">
        <f t="shared" si="23"/>
        <v>394.12836476466799</v>
      </c>
      <c r="AV331" s="472">
        <f t="shared" si="23"/>
        <v>394.12836476466799</v>
      </c>
      <c r="AW331" s="472">
        <f t="shared" si="23"/>
        <v>394.12836476466799</v>
      </c>
    </row>
    <row r="332" spans="1:49" x14ac:dyDescent="0.2">
      <c r="A332" s="445" t="s">
        <v>475</v>
      </c>
      <c r="B332" s="536">
        <f t="shared" ref="B332:AW332" si="24">$B$328-(3*$B$330)</f>
        <v>234.72012008381688</v>
      </c>
      <c r="C332" s="472">
        <f t="shared" si="24"/>
        <v>234.72012008381688</v>
      </c>
      <c r="D332" s="472">
        <f t="shared" si="24"/>
        <v>234.72012008381688</v>
      </c>
      <c r="E332" s="472">
        <f t="shared" si="24"/>
        <v>234.72012008381688</v>
      </c>
      <c r="F332" s="472">
        <f t="shared" si="24"/>
        <v>234.72012008381688</v>
      </c>
      <c r="G332" s="472">
        <f t="shared" si="24"/>
        <v>234.72012008381688</v>
      </c>
      <c r="H332" s="472">
        <f t="shared" si="24"/>
        <v>234.72012008381688</v>
      </c>
      <c r="I332" s="472">
        <f t="shared" si="24"/>
        <v>234.72012008381688</v>
      </c>
      <c r="J332" s="472">
        <f t="shared" si="24"/>
        <v>234.72012008381688</v>
      </c>
      <c r="K332" s="472">
        <f t="shared" si="24"/>
        <v>234.72012008381688</v>
      </c>
      <c r="L332" s="472">
        <f t="shared" si="24"/>
        <v>234.72012008381688</v>
      </c>
      <c r="M332" s="472">
        <f t="shared" si="24"/>
        <v>234.72012008381688</v>
      </c>
      <c r="N332" s="472">
        <f t="shared" si="24"/>
        <v>234.72012008381688</v>
      </c>
      <c r="O332" s="472">
        <f t="shared" si="24"/>
        <v>234.72012008381688</v>
      </c>
      <c r="P332" s="472">
        <f t="shared" si="24"/>
        <v>234.72012008381688</v>
      </c>
      <c r="Q332" s="472">
        <f t="shared" si="24"/>
        <v>234.72012008381688</v>
      </c>
      <c r="R332" s="472">
        <f t="shared" si="24"/>
        <v>234.72012008381688</v>
      </c>
      <c r="S332" s="472">
        <f t="shared" si="24"/>
        <v>234.72012008381688</v>
      </c>
      <c r="T332" s="472">
        <f t="shared" si="24"/>
        <v>234.72012008381688</v>
      </c>
      <c r="U332" s="472">
        <f t="shared" si="24"/>
        <v>234.72012008381688</v>
      </c>
      <c r="V332" s="472">
        <f t="shared" si="24"/>
        <v>234.72012008381688</v>
      </c>
      <c r="W332" s="472">
        <f t="shared" si="24"/>
        <v>234.72012008381688</v>
      </c>
      <c r="X332" s="472">
        <f t="shared" si="24"/>
        <v>234.72012008381688</v>
      </c>
      <c r="Y332" s="472">
        <f t="shared" si="24"/>
        <v>234.72012008381688</v>
      </c>
      <c r="Z332" s="472">
        <f t="shared" si="24"/>
        <v>234.72012008381688</v>
      </c>
      <c r="AA332" s="501">
        <f t="shared" si="24"/>
        <v>234.72012008381688</v>
      </c>
      <c r="AB332" s="472">
        <f t="shared" si="24"/>
        <v>234.72012008381688</v>
      </c>
      <c r="AC332" s="472">
        <f t="shared" si="24"/>
        <v>234.72012008381688</v>
      </c>
      <c r="AD332" s="472">
        <f t="shared" si="24"/>
        <v>234.72012008381688</v>
      </c>
      <c r="AE332" s="472">
        <f t="shared" si="24"/>
        <v>234.72012008381688</v>
      </c>
      <c r="AF332" s="472">
        <f t="shared" si="24"/>
        <v>234.72012008381688</v>
      </c>
      <c r="AG332" s="472">
        <f t="shared" si="24"/>
        <v>234.72012008381688</v>
      </c>
      <c r="AH332" s="472">
        <f t="shared" si="24"/>
        <v>234.72012008381688</v>
      </c>
      <c r="AI332" s="472">
        <f t="shared" si="24"/>
        <v>234.72012008381688</v>
      </c>
      <c r="AJ332" s="472">
        <f t="shared" si="24"/>
        <v>234.72012008381688</v>
      </c>
      <c r="AK332" s="472">
        <f t="shared" si="24"/>
        <v>234.72012008381688</v>
      </c>
      <c r="AL332" s="472">
        <f t="shared" si="24"/>
        <v>234.72012008381688</v>
      </c>
      <c r="AM332" s="472">
        <f t="shared" si="24"/>
        <v>234.72012008381688</v>
      </c>
      <c r="AN332" s="472">
        <f t="shared" si="24"/>
        <v>234.72012008381688</v>
      </c>
      <c r="AO332" s="472">
        <f t="shared" si="24"/>
        <v>234.72012008381688</v>
      </c>
      <c r="AP332" s="472">
        <f t="shared" si="24"/>
        <v>234.72012008381688</v>
      </c>
      <c r="AQ332" s="472">
        <f t="shared" si="24"/>
        <v>234.72012008381688</v>
      </c>
      <c r="AR332" s="472">
        <f t="shared" si="24"/>
        <v>234.72012008381688</v>
      </c>
      <c r="AS332" s="472">
        <f t="shared" si="24"/>
        <v>234.72012008381688</v>
      </c>
      <c r="AT332" s="472">
        <f t="shared" si="24"/>
        <v>234.72012008381688</v>
      </c>
      <c r="AU332" s="472">
        <f t="shared" si="24"/>
        <v>234.72012008381688</v>
      </c>
      <c r="AV332" s="472">
        <f t="shared" si="24"/>
        <v>234.72012008381688</v>
      </c>
      <c r="AW332" s="472">
        <f t="shared" si="24"/>
        <v>234.72012008381688</v>
      </c>
    </row>
    <row r="333" spans="1:49" x14ac:dyDescent="0.2">
      <c r="A333" s="480"/>
      <c r="B333" s="472"/>
      <c r="C333" s="472"/>
      <c r="D333" s="472"/>
      <c r="E333" s="472"/>
      <c r="F333" s="472"/>
      <c r="G333" s="472"/>
      <c r="H333" s="472"/>
      <c r="I333" s="473"/>
      <c r="J333" s="473"/>
      <c r="K333" s="473"/>
      <c r="L333" s="474"/>
      <c r="M333" s="474"/>
      <c r="N333" s="473"/>
      <c r="O333" s="473"/>
      <c r="P333" s="473"/>
      <c r="Q333" s="473"/>
      <c r="R333" s="473"/>
      <c r="S333" s="473"/>
      <c r="T333" s="473"/>
      <c r="U333" s="473"/>
      <c r="V333" s="473"/>
      <c r="W333" s="473"/>
      <c r="X333" s="473"/>
      <c r="Y333" s="473"/>
      <c r="Z333" s="368"/>
      <c r="AA333" s="500"/>
      <c r="AB333" s="368"/>
      <c r="AC333" s="368"/>
      <c r="AD333" s="368"/>
      <c r="AE333" s="368"/>
      <c r="AF333" s="368"/>
      <c r="AG333" s="369"/>
      <c r="AH333" s="369"/>
      <c r="AI333" s="369"/>
      <c r="AJ333" s="352"/>
      <c r="AK333" s="352"/>
      <c r="AL333" s="369"/>
      <c r="AM333" s="369"/>
      <c r="AN333" s="369"/>
      <c r="AO333" s="369"/>
      <c r="AP333" s="369"/>
      <c r="AQ333" s="369"/>
      <c r="AR333" s="369"/>
      <c r="AS333" s="369"/>
      <c r="AT333" s="369"/>
      <c r="AU333" s="369"/>
      <c r="AV333" s="369"/>
      <c r="AW333" s="228"/>
    </row>
    <row r="334" spans="1:49" ht="15" x14ac:dyDescent="0.2">
      <c r="A334" s="538" t="s">
        <v>379</v>
      </c>
      <c r="B334" s="625" t="s">
        <v>491</v>
      </c>
      <c r="C334" s="472"/>
      <c r="D334" s="472"/>
      <c r="E334" s="472"/>
      <c r="F334" s="472"/>
      <c r="G334" s="472"/>
      <c r="H334" s="472"/>
      <c r="I334" s="473"/>
      <c r="J334" s="473"/>
      <c r="K334" s="473"/>
      <c r="L334" s="474"/>
      <c r="M334" s="474"/>
      <c r="N334" s="473"/>
      <c r="O334" s="473"/>
      <c r="P334" s="473"/>
      <c r="Q334" s="473"/>
      <c r="R334" s="473"/>
      <c r="S334" s="473"/>
      <c r="T334" s="473"/>
      <c r="U334" s="473"/>
      <c r="V334" s="473"/>
      <c r="W334" s="473"/>
      <c r="X334" s="473"/>
      <c r="Y334" s="473"/>
      <c r="Z334" s="368"/>
      <c r="AA334" s="500"/>
      <c r="AB334" s="368"/>
      <c r="AC334" s="368"/>
      <c r="AD334" s="368"/>
      <c r="AE334" s="368"/>
      <c r="AF334" s="368"/>
      <c r="AG334" s="369"/>
      <c r="AH334" s="369"/>
      <c r="AI334" s="369"/>
      <c r="AJ334" s="352"/>
      <c r="AK334" s="352"/>
      <c r="AL334" s="369"/>
      <c r="AM334" s="369"/>
      <c r="AN334" s="369"/>
      <c r="AO334" s="369"/>
      <c r="AP334" s="369"/>
      <c r="AQ334" s="369"/>
      <c r="AR334" s="369"/>
      <c r="AS334" s="369"/>
      <c r="AT334" s="369"/>
      <c r="AU334" s="369"/>
      <c r="AV334" s="369"/>
      <c r="AW334" s="228"/>
    </row>
    <row r="335" spans="1:49" x14ac:dyDescent="0.2">
      <c r="A335" s="469" t="s">
        <v>130</v>
      </c>
      <c r="B335" s="536"/>
      <c r="C335" s="472"/>
      <c r="D335" s="472"/>
      <c r="E335" s="472"/>
      <c r="F335" s="472"/>
      <c r="G335" s="472"/>
      <c r="H335" s="472"/>
      <c r="I335" s="473"/>
      <c r="J335" s="473"/>
      <c r="K335" s="473"/>
      <c r="L335" s="474"/>
      <c r="M335" s="474"/>
      <c r="N335" s="473"/>
      <c r="O335" s="473"/>
      <c r="P335" s="473"/>
      <c r="Q335" s="473"/>
      <c r="R335" s="473"/>
      <c r="S335" s="473"/>
      <c r="T335" s="473"/>
      <c r="U335" s="473"/>
      <c r="V335" s="473"/>
      <c r="W335" s="473"/>
      <c r="X335" s="473"/>
      <c r="Y335" s="473"/>
      <c r="Z335" s="368"/>
      <c r="AA335" s="500"/>
      <c r="AB335" s="368"/>
      <c r="AC335" s="368"/>
      <c r="AD335" s="368"/>
      <c r="AE335" s="368"/>
      <c r="AF335" s="368"/>
      <c r="AG335" s="369"/>
      <c r="AH335" s="369"/>
      <c r="AI335" s="369"/>
      <c r="AJ335" s="352"/>
      <c r="AK335" s="352"/>
      <c r="AL335" s="369"/>
      <c r="AM335" s="369"/>
      <c r="AN335" s="369"/>
      <c r="AO335" s="369"/>
      <c r="AP335" s="369"/>
      <c r="AQ335" s="369"/>
      <c r="AR335" s="369"/>
      <c r="AS335" s="369"/>
      <c r="AT335" s="369"/>
      <c r="AU335" s="369"/>
      <c r="AV335" s="369"/>
      <c r="AW335" s="228"/>
    </row>
    <row r="336" spans="1:49" x14ac:dyDescent="0.2">
      <c r="A336" s="469" t="s">
        <v>178</v>
      </c>
      <c r="B336" s="536"/>
      <c r="C336" s="472"/>
      <c r="D336" s="472"/>
      <c r="E336" s="472"/>
      <c r="F336" s="472"/>
      <c r="G336" s="472"/>
      <c r="H336" s="472"/>
      <c r="I336" s="473"/>
      <c r="J336" s="473"/>
      <c r="K336" s="473"/>
      <c r="L336" s="474"/>
      <c r="M336" s="474"/>
      <c r="N336" s="473"/>
      <c r="O336" s="473"/>
      <c r="P336" s="473"/>
      <c r="Q336" s="473"/>
      <c r="R336" s="473"/>
      <c r="S336" s="473"/>
      <c r="T336" s="473"/>
      <c r="U336" s="473"/>
      <c r="V336" s="473"/>
      <c r="W336" s="473"/>
      <c r="X336" s="473"/>
      <c r="Y336" s="473"/>
      <c r="Z336" s="368"/>
      <c r="AA336" s="500"/>
      <c r="AB336" s="368"/>
      <c r="AC336" s="368"/>
      <c r="AD336" s="368"/>
      <c r="AE336" s="368"/>
      <c r="AF336" s="368"/>
      <c r="AG336" s="369"/>
      <c r="AH336" s="369"/>
      <c r="AI336" s="369"/>
      <c r="AJ336" s="352"/>
      <c r="AK336" s="352"/>
      <c r="AL336" s="369"/>
      <c r="AM336" s="369"/>
      <c r="AN336" s="369"/>
      <c r="AO336" s="369"/>
      <c r="AP336" s="369"/>
      <c r="AQ336" s="369"/>
      <c r="AR336" s="369"/>
      <c r="AS336" s="369"/>
      <c r="AT336" s="369"/>
      <c r="AU336" s="369"/>
      <c r="AV336" s="369"/>
      <c r="AW336" s="228"/>
    </row>
    <row r="337" spans="1:49" x14ac:dyDescent="0.2">
      <c r="A337" s="496" t="s">
        <v>466</v>
      </c>
      <c r="B337" s="537"/>
      <c r="C337" s="497">
        <f>(C299-B299)*-1</f>
        <v>23</v>
      </c>
      <c r="D337" s="497">
        <f t="shared" ref="D337:Y337" si="25">(D299-C299)</f>
        <v>72</v>
      </c>
      <c r="E337" s="497">
        <f t="shared" si="25"/>
        <v>114</v>
      </c>
      <c r="F337" s="497">
        <f t="shared" si="25"/>
        <v>60</v>
      </c>
      <c r="G337" s="497">
        <f t="shared" si="25"/>
        <v>17</v>
      </c>
      <c r="H337" s="497">
        <f t="shared" si="25"/>
        <v>84</v>
      </c>
      <c r="I337" s="497">
        <f>(I299-H299)*-1</f>
        <v>392</v>
      </c>
      <c r="J337" s="497">
        <f>(J299-I299)*-1</f>
        <v>133</v>
      </c>
      <c r="K337" s="497">
        <f>(K299-J299)*-1</f>
        <v>18</v>
      </c>
      <c r="L337" s="497">
        <f>(L299-K299)*-1</f>
        <v>1</v>
      </c>
      <c r="M337" s="497">
        <f t="shared" si="25"/>
        <v>10</v>
      </c>
      <c r="N337" s="497">
        <f t="shared" si="25"/>
        <v>6</v>
      </c>
      <c r="O337" s="497">
        <f t="shared" si="25"/>
        <v>30</v>
      </c>
      <c r="P337" s="497">
        <f>(P299-O299)*-1</f>
        <v>17</v>
      </c>
      <c r="Q337" s="497">
        <f t="shared" si="25"/>
        <v>43</v>
      </c>
      <c r="R337" s="497">
        <f>(R299-Q299)*-1</f>
        <v>44</v>
      </c>
      <c r="S337" s="497">
        <f t="shared" si="25"/>
        <v>40</v>
      </c>
      <c r="T337" s="497">
        <f t="shared" si="25"/>
        <v>91</v>
      </c>
      <c r="U337" s="497">
        <f t="shared" si="25"/>
        <v>61</v>
      </c>
      <c r="V337" s="497">
        <f t="shared" si="25"/>
        <v>79</v>
      </c>
      <c r="W337" s="497">
        <f t="shared" si="25"/>
        <v>116</v>
      </c>
      <c r="X337" s="497">
        <f>(X299-W299)*-1</f>
        <v>13</v>
      </c>
      <c r="Y337" s="497">
        <f t="shared" si="25"/>
        <v>66</v>
      </c>
      <c r="Z337" s="497">
        <f>(Z299-Y299)</f>
        <v>75</v>
      </c>
      <c r="AA337" s="497">
        <f>(AA299-Z299)</f>
        <v>79</v>
      </c>
      <c r="AB337" s="497">
        <f>(AB299-AA299)</f>
        <v>75</v>
      </c>
      <c r="AC337" s="497">
        <f>(AC299-AB299)*-1</f>
        <v>2</v>
      </c>
      <c r="AD337" s="497">
        <f>(AD299-AC299)</f>
        <v>31</v>
      </c>
      <c r="AE337" s="497">
        <f>(AE299-AD299)*-1</f>
        <v>26</v>
      </c>
      <c r="AF337" s="497">
        <f>(AF299-AE299)</f>
        <v>38</v>
      </c>
      <c r="AG337" s="497">
        <f>(AG299-AF299)</f>
        <v>8</v>
      </c>
      <c r="AH337" s="497">
        <f>(AH299-AG299)</f>
        <v>1</v>
      </c>
      <c r="AI337" s="497" t="s">
        <v>368</v>
      </c>
      <c r="AJ337" s="497" t="s">
        <v>368</v>
      </c>
      <c r="AK337" s="497" t="s">
        <v>368</v>
      </c>
      <c r="AL337" s="497" t="s">
        <v>368</v>
      </c>
      <c r="AM337" s="497" t="s">
        <v>368</v>
      </c>
      <c r="AN337" s="497" t="s">
        <v>368</v>
      </c>
      <c r="AO337" s="497" t="s">
        <v>368</v>
      </c>
      <c r="AP337" s="497" t="s">
        <v>368</v>
      </c>
      <c r="AQ337" s="497" t="s">
        <v>368</v>
      </c>
      <c r="AR337" s="497" t="s">
        <v>368</v>
      </c>
      <c r="AS337" s="497" t="s">
        <v>368</v>
      </c>
      <c r="AT337" s="497" t="s">
        <v>368</v>
      </c>
      <c r="AU337" s="497" t="s">
        <v>368</v>
      </c>
      <c r="AV337" s="497" t="s">
        <v>368</v>
      </c>
      <c r="AW337" s="497" t="s">
        <v>368</v>
      </c>
    </row>
    <row r="338" spans="1:49" ht="53.25" x14ac:dyDescent="0.2">
      <c r="A338" s="455" t="s">
        <v>497</v>
      </c>
      <c r="B338" s="536"/>
      <c r="C338" s="472"/>
      <c r="D338" s="472"/>
      <c r="E338" s="472"/>
      <c r="F338" s="472"/>
      <c r="G338" s="472"/>
      <c r="H338" s="472"/>
      <c r="I338" s="473"/>
      <c r="J338" s="473"/>
      <c r="K338" s="473"/>
      <c r="L338" s="474"/>
      <c r="M338" s="474"/>
      <c r="N338" s="473"/>
      <c r="O338" s="473"/>
      <c r="P338" s="473"/>
      <c r="Q338" s="473"/>
      <c r="R338" s="473"/>
      <c r="S338" s="473"/>
      <c r="T338" s="473"/>
      <c r="U338" s="473"/>
      <c r="V338" s="473"/>
      <c r="W338" s="473"/>
      <c r="X338" s="473"/>
      <c r="Y338" s="473"/>
      <c r="Z338" s="368"/>
      <c r="AA338" s="500"/>
      <c r="AB338" s="368"/>
      <c r="AC338" s="368"/>
      <c r="AD338" s="368"/>
      <c r="AE338" s="368"/>
      <c r="AF338" s="368"/>
      <c r="AG338" s="369"/>
      <c r="AH338" s="369"/>
      <c r="AI338" s="369"/>
      <c r="AJ338" s="352"/>
      <c r="AK338" s="352"/>
      <c r="AL338" s="369"/>
      <c r="AM338" s="369"/>
      <c r="AN338" s="369"/>
      <c r="AO338" s="369"/>
      <c r="AP338" s="369"/>
      <c r="AQ338" s="369"/>
      <c r="AR338" s="369"/>
      <c r="AS338" s="369"/>
      <c r="AT338" s="369"/>
      <c r="AU338" s="369"/>
      <c r="AV338" s="369"/>
      <c r="AW338" s="228"/>
    </row>
    <row r="339" spans="1:49" x14ac:dyDescent="0.2">
      <c r="A339" s="460" t="s">
        <v>468</v>
      </c>
      <c r="B339" s="536">
        <f t="shared" ref="B339:AW339" si="26">AVERAGE($B$299:$AW$299)</f>
        <v>364.39393939393938</v>
      </c>
      <c r="C339" s="472">
        <f t="shared" si="26"/>
        <v>364.39393939393938</v>
      </c>
      <c r="D339" s="472">
        <f t="shared" si="26"/>
        <v>364.39393939393938</v>
      </c>
      <c r="E339" s="472">
        <f t="shared" si="26"/>
        <v>364.39393939393938</v>
      </c>
      <c r="F339" s="472">
        <f t="shared" si="26"/>
        <v>364.39393939393938</v>
      </c>
      <c r="G339" s="472">
        <f t="shared" si="26"/>
        <v>364.39393939393938</v>
      </c>
      <c r="H339" s="472">
        <f t="shared" si="26"/>
        <v>364.39393939393938</v>
      </c>
      <c r="I339" s="472">
        <f t="shared" si="26"/>
        <v>364.39393939393938</v>
      </c>
      <c r="J339" s="472">
        <f t="shared" si="26"/>
        <v>364.39393939393938</v>
      </c>
      <c r="K339" s="472">
        <f t="shared" si="26"/>
        <v>364.39393939393938</v>
      </c>
      <c r="L339" s="472">
        <f t="shared" si="26"/>
        <v>364.39393939393938</v>
      </c>
      <c r="M339" s="472">
        <f t="shared" si="26"/>
        <v>364.39393939393938</v>
      </c>
      <c r="N339" s="472">
        <f t="shared" si="26"/>
        <v>364.39393939393938</v>
      </c>
      <c r="O339" s="472">
        <f t="shared" si="26"/>
        <v>364.39393939393938</v>
      </c>
      <c r="P339" s="472">
        <f t="shared" si="26"/>
        <v>364.39393939393938</v>
      </c>
      <c r="Q339" s="472">
        <f t="shared" si="26"/>
        <v>364.39393939393938</v>
      </c>
      <c r="R339" s="472">
        <f t="shared" si="26"/>
        <v>364.39393939393938</v>
      </c>
      <c r="S339" s="472">
        <f t="shared" si="26"/>
        <v>364.39393939393938</v>
      </c>
      <c r="T339" s="472">
        <f t="shared" si="26"/>
        <v>364.39393939393938</v>
      </c>
      <c r="U339" s="472">
        <f t="shared" si="26"/>
        <v>364.39393939393938</v>
      </c>
      <c r="V339" s="472">
        <f t="shared" si="26"/>
        <v>364.39393939393938</v>
      </c>
      <c r="W339" s="472">
        <f t="shared" si="26"/>
        <v>364.39393939393938</v>
      </c>
      <c r="X339" s="472">
        <f t="shared" si="26"/>
        <v>364.39393939393938</v>
      </c>
      <c r="Y339" s="472">
        <f t="shared" si="26"/>
        <v>364.39393939393938</v>
      </c>
      <c r="Z339" s="472">
        <f t="shared" si="26"/>
        <v>364.39393939393938</v>
      </c>
      <c r="AA339" s="501">
        <f t="shared" si="26"/>
        <v>364.39393939393938</v>
      </c>
      <c r="AB339" s="472">
        <f t="shared" si="26"/>
        <v>364.39393939393938</v>
      </c>
      <c r="AC339" s="472">
        <f t="shared" si="26"/>
        <v>364.39393939393938</v>
      </c>
      <c r="AD339" s="472">
        <f t="shared" si="26"/>
        <v>364.39393939393938</v>
      </c>
      <c r="AE339" s="472">
        <f t="shared" si="26"/>
        <v>364.39393939393938</v>
      </c>
      <c r="AF339" s="472">
        <f t="shared" si="26"/>
        <v>364.39393939393938</v>
      </c>
      <c r="AG339" s="472">
        <f t="shared" si="26"/>
        <v>364.39393939393938</v>
      </c>
      <c r="AH339" s="472">
        <f t="shared" si="26"/>
        <v>364.39393939393938</v>
      </c>
      <c r="AI339" s="472">
        <f t="shared" si="26"/>
        <v>364.39393939393938</v>
      </c>
      <c r="AJ339" s="472">
        <f t="shared" si="26"/>
        <v>364.39393939393938</v>
      </c>
      <c r="AK339" s="472">
        <f t="shared" si="26"/>
        <v>364.39393939393938</v>
      </c>
      <c r="AL339" s="472">
        <f t="shared" si="26"/>
        <v>364.39393939393938</v>
      </c>
      <c r="AM339" s="472">
        <f t="shared" si="26"/>
        <v>364.39393939393938</v>
      </c>
      <c r="AN339" s="472">
        <f t="shared" si="26"/>
        <v>364.39393939393938</v>
      </c>
      <c r="AO339" s="472">
        <f t="shared" si="26"/>
        <v>364.39393939393938</v>
      </c>
      <c r="AP339" s="472">
        <f t="shared" si="26"/>
        <v>364.39393939393938</v>
      </c>
      <c r="AQ339" s="472">
        <f t="shared" si="26"/>
        <v>364.39393939393938</v>
      </c>
      <c r="AR339" s="472">
        <f t="shared" si="26"/>
        <v>364.39393939393938</v>
      </c>
      <c r="AS339" s="472">
        <f t="shared" si="26"/>
        <v>364.39393939393938</v>
      </c>
      <c r="AT339" s="472">
        <f t="shared" si="26"/>
        <v>364.39393939393938</v>
      </c>
      <c r="AU339" s="472">
        <f t="shared" si="26"/>
        <v>364.39393939393938</v>
      </c>
      <c r="AV339" s="472">
        <f t="shared" si="26"/>
        <v>364.39393939393938</v>
      </c>
      <c r="AW339" s="472">
        <f t="shared" si="26"/>
        <v>364.39393939393938</v>
      </c>
    </row>
    <row r="340" spans="1:49" x14ac:dyDescent="0.2">
      <c r="A340" s="445" t="s">
        <v>467</v>
      </c>
      <c r="B340" s="536">
        <f>SUM(C337:AW337)/COUNT(C337:AW337)</f>
        <v>58.28125</v>
      </c>
      <c r="C340" s="472"/>
      <c r="D340" s="472"/>
      <c r="E340" s="472"/>
      <c r="F340" s="472"/>
      <c r="G340" s="472"/>
      <c r="H340" s="472"/>
      <c r="I340" s="473"/>
      <c r="J340" s="473"/>
      <c r="K340" s="473"/>
      <c r="L340" s="474"/>
      <c r="M340" s="474"/>
      <c r="N340" s="473"/>
      <c r="O340" s="473"/>
      <c r="P340" s="473"/>
      <c r="Q340" s="473"/>
      <c r="R340" s="473"/>
      <c r="S340" s="473"/>
      <c r="T340" s="473"/>
      <c r="U340" s="473"/>
      <c r="V340" s="473"/>
      <c r="W340" s="473"/>
      <c r="X340" s="473"/>
      <c r="Y340" s="473"/>
      <c r="Z340" s="368"/>
      <c r="AA340" s="500"/>
      <c r="AB340" s="368"/>
      <c r="AC340" s="368"/>
      <c r="AD340" s="368"/>
      <c r="AE340" s="368"/>
      <c r="AF340" s="368"/>
      <c r="AG340" s="369"/>
      <c r="AH340" s="369"/>
      <c r="AI340" s="369"/>
      <c r="AJ340" s="352"/>
      <c r="AK340" s="352"/>
      <c r="AL340" s="369"/>
      <c r="AM340" s="369"/>
      <c r="AN340" s="369"/>
      <c r="AO340" s="369"/>
      <c r="AP340" s="369"/>
      <c r="AQ340" s="369"/>
      <c r="AR340" s="369"/>
      <c r="AS340" s="369"/>
      <c r="AT340" s="369"/>
      <c r="AU340" s="369"/>
      <c r="AV340" s="369"/>
      <c r="AW340" s="228"/>
    </row>
    <row r="341" spans="1:49" ht="25.5" x14ac:dyDescent="0.2">
      <c r="A341" s="445" t="s">
        <v>470</v>
      </c>
      <c r="B341" s="536">
        <f>SUM(B340/1.128)</f>
        <v>51.667774822695037</v>
      </c>
      <c r="C341" s="472"/>
      <c r="D341" s="472"/>
      <c r="E341" s="472"/>
      <c r="F341" s="472"/>
      <c r="G341" s="472"/>
      <c r="H341" s="472"/>
      <c r="I341" s="473"/>
      <c r="J341" s="473"/>
      <c r="K341" s="473"/>
      <c r="L341" s="474"/>
      <c r="M341" s="474"/>
      <c r="N341" s="473"/>
      <c r="O341" s="473"/>
      <c r="P341" s="473"/>
      <c r="Q341" s="473"/>
      <c r="R341" s="473"/>
      <c r="S341" s="473"/>
      <c r="T341" s="473"/>
      <c r="U341" s="473"/>
      <c r="V341" s="473"/>
      <c r="W341" s="473"/>
      <c r="X341" s="473"/>
      <c r="Y341" s="473"/>
      <c r="Z341" s="368"/>
      <c r="AA341" s="500"/>
      <c r="AB341" s="368"/>
      <c r="AC341" s="368"/>
      <c r="AD341" s="368"/>
      <c r="AE341" s="368"/>
      <c r="AF341" s="368"/>
      <c r="AG341" s="369"/>
      <c r="AH341" s="369"/>
      <c r="AI341" s="369"/>
      <c r="AJ341" s="352"/>
      <c r="AK341" s="352"/>
      <c r="AL341" s="369"/>
      <c r="AM341" s="369"/>
      <c r="AN341" s="369"/>
      <c r="AO341" s="369"/>
      <c r="AP341" s="369"/>
      <c r="AQ341" s="369"/>
      <c r="AR341" s="369"/>
      <c r="AS341" s="369"/>
      <c r="AT341" s="369"/>
      <c r="AU341" s="369"/>
      <c r="AV341" s="369"/>
      <c r="AW341" s="228"/>
    </row>
    <row r="342" spans="1:49" x14ac:dyDescent="0.2">
      <c r="A342" s="445" t="s">
        <v>473</v>
      </c>
      <c r="B342" s="536">
        <f t="shared" ref="B342:AW342" si="27">$B$339+(3*$B$341)</f>
        <v>519.39726386202449</v>
      </c>
      <c r="C342" s="472">
        <f t="shared" si="27"/>
        <v>519.39726386202449</v>
      </c>
      <c r="D342" s="472">
        <f t="shared" si="27"/>
        <v>519.39726386202449</v>
      </c>
      <c r="E342" s="472">
        <f t="shared" si="27"/>
        <v>519.39726386202449</v>
      </c>
      <c r="F342" s="472">
        <f t="shared" si="27"/>
        <v>519.39726386202449</v>
      </c>
      <c r="G342" s="472">
        <f t="shared" si="27"/>
        <v>519.39726386202449</v>
      </c>
      <c r="H342" s="472">
        <f t="shared" si="27"/>
        <v>519.39726386202449</v>
      </c>
      <c r="I342" s="472">
        <f t="shared" si="27"/>
        <v>519.39726386202449</v>
      </c>
      <c r="J342" s="472">
        <f t="shared" si="27"/>
        <v>519.39726386202449</v>
      </c>
      <c r="K342" s="472">
        <f t="shared" si="27"/>
        <v>519.39726386202449</v>
      </c>
      <c r="L342" s="472">
        <f t="shared" si="27"/>
        <v>519.39726386202449</v>
      </c>
      <c r="M342" s="472">
        <f t="shared" si="27"/>
        <v>519.39726386202449</v>
      </c>
      <c r="N342" s="472">
        <f t="shared" si="27"/>
        <v>519.39726386202449</v>
      </c>
      <c r="O342" s="472">
        <f t="shared" si="27"/>
        <v>519.39726386202449</v>
      </c>
      <c r="P342" s="472">
        <f t="shared" si="27"/>
        <v>519.39726386202449</v>
      </c>
      <c r="Q342" s="472">
        <f t="shared" si="27"/>
        <v>519.39726386202449</v>
      </c>
      <c r="R342" s="472">
        <f t="shared" si="27"/>
        <v>519.39726386202449</v>
      </c>
      <c r="S342" s="472">
        <f t="shared" si="27"/>
        <v>519.39726386202449</v>
      </c>
      <c r="T342" s="472">
        <f t="shared" si="27"/>
        <v>519.39726386202449</v>
      </c>
      <c r="U342" s="472">
        <f t="shared" si="27"/>
        <v>519.39726386202449</v>
      </c>
      <c r="V342" s="472">
        <f t="shared" si="27"/>
        <v>519.39726386202449</v>
      </c>
      <c r="W342" s="472">
        <f t="shared" si="27"/>
        <v>519.39726386202449</v>
      </c>
      <c r="X342" s="472">
        <f t="shared" si="27"/>
        <v>519.39726386202449</v>
      </c>
      <c r="Y342" s="472">
        <f t="shared" si="27"/>
        <v>519.39726386202449</v>
      </c>
      <c r="Z342" s="472">
        <f t="shared" si="27"/>
        <v>519.39726386202449</v>
      </c>
      <c r="AA342" s="501">
        <f t="shared" si="27"/>
        <v>519.39726386202449</v>
      </c>
      <c r="AB342" s="472">
        <f t="shared" si="27"/>
        <v>519.39726386202449</v>
      </c>
      <c r="AC342" s="472">
        <f t="shared" si="27"/>
        <v>519.39726386202449</v>
      </c>
      <c r="AD342" s="472">
        <f t="shared" si="27"/>
        <v>519.39726386202449</v>
      </c>
      <c r="AE342" s="472">
        <f t="shared" si="27"/>
        <v>519.39726386202449</v>
      </c>
      <c r="AF342" s="472">
        <f t="shared" si="27"/>
        <v>519.39726386202449</v>
      </c>
      <c r="AG342" s="472">
        <f t="shared" si="27"/>
        <v>519.39726386202449</v>
      </c>
      <c r="AH342" s="472">
        <f t="shared" si="27"/>
        <v>519.39726386202449</v>
      </c>
      <c r="AI342" s="472">
        <f t="shared" si="27"/>
        <v>519.39726386202449</v>
      </c>
      <c r="AJ342" s="472">
        <f t="shared" si="27"/>
        <v>519.39726386202449</v>
      </c>
      <c r="AK342" s="472">
        <f t="shared" si="27"/>
        <v>519.39726386202449</v>
      </c>
      <c r="AL342" s="472">
        <f t="shared" si="27"/>
        <v>519.39726386202449</v>
      </c>
      <c r="AM342" s="472">
        <f t="shared" si="27"/>
        <v>519.39726386202449</v>
      </c>
      <c r="AN342" s="472">
        <f t="shared" si="27"/>
        <v>519.39726386202449</v>
      </c>
      <c r="AO342" s="472">
        <f t="shared" si="27"/>
        <v>519.39726386202449</v>
      </c>
      <c r="AP342" s="472">
        <f t="shared" si="27"/>
        <v>519.39726386202449</v>
      </c>
      <c r="AQ342" s="472">
        <f t="shared" si="27"/>
        <v>519.39726386202449</v>
      </c>
      <c r="AR342" s="472">
        <f t="shared" si="27"/>
        <v>519.39726386202449</v>
      </c>
      <c r="AS342" s="472">
        <f t="shared" si="27"/>
        <v>519.39726386202449</v>
      </c>
      <c r="AT342" s="472">
        <f t="shared" si="27"/>
        <v>519.39726386202449</v>
      </c>
      <c r="AU342" s="472">
        <f t="shared" si="27"/>
        <v>519.39726386202449</v>
      </c>
      <c r="AV342" s="472">
        <f t="shared" si="27"/>
        <v>519.39726386202449</v>
      </c>
      <c r="AW342" s="472">
        <f t="shared" si="27"/>
        <v>519.39726386202449</v>
      </c>
    </row>
    <row r="343" spans="1:49" x14ac:dyDescent="0.2">
      <c r="A343" s="445" t="s">
        <v>475</v>
      </c>
      <c r="B343" s="536">
        <f t="shared" ref="B343:AW343" si="28">$B$339-(3*$B$341)</f>
        <v>209.39061492585427</v>
      </c>
      <c r="C343" s="472">
        <f t="shared" si="28"/>
        <v>209.39061492585427</v>
      </c>
      <c r="D343" s="472">
        <f t="shared" si="28"/>
        <v>209.39061492585427</v>
      </c>
      <c r="E343" s="472">
        <f t="shared" si="28"/>
        <v>209.39061492585427</v>
      </c>
      <c r="F343" s="472">
        <f t="shared" si="28"/>
        <v>209.39061492585427</v>
      </c>
      <c r="G343" s="472">
        <f t="shared" si="28"/>
        <v>209.39061492585427</v>
      </c>
      <c r="H343" s="472">
        <f t="shared" si="28"/>
        <v>209.39061492585427</v>
      </c>
      <c r="I343" s="472">
        <f t="shared" si="28"/>
        <v>209.39061492585427</v>
      </c>
      <c r="J343" s="472">
        <f t="shared" si="28"/>
        <v>209.39061492585427</v>
      </c>
      <c r="K343" s="472">
        <f t="shared" si="28"/>
        <v>209.39061492585427</v>
      </c>
      <c r="L343" s="472">
        <f t="shared" si="28"/>
        <v>209.39061492585427</v>
      </c>
      <c r="M343" s="472">
        <f t="shared" si="28"/>
        <v>209.39061492585427</v>
      </c>
      <c r="N343" s="472">
        <f t="shared" si="28"/>
        <v>209.39061492585427</v>
      </c>
      <c r="O343" s="472">
        <f t="shared" si="28"/>
        <v>209.39061492585427</v>
      </c>
      <c r="P343" s="472">
        <f t="shared" si="28"/>
        <v>209.39061492585427</v>
      </c>
      <c r="Q343" s="472">
        <f t="shared" si="28"/>
        <v>209.39061492585427</v>
      </c>
      <c r="R343" s="472">
        <f t="shared" si="28"/>
        <v>209.39061492585427</v>
      </c>
      <c r="S343" s="472">
        <f t="shared" si="28"/>
        <v>209.39061492585427</v>
      </c>
      <c r="T343" s="472">
        <f t="shared" si="28"/>
        <v>209.39061492585427</v>
      </c>
      <c r="U343" s="472">
        <f t="shared" si="28"/>
        <v>209.39061492585427</v>
      </c>
      <c r="V343" s="472">
        <f t="shared" si="28"/>
        <v>209.39061492585427</v>
      </c>
      <c r="W343" s="472">
        <f t="shared" si="28"/>
        <v>209.39061492585427</v>
      </c>
      <c r="X343" s="472">
        <f t="shared" si="28"/>
        <v>209.39061492585427</v>
      </c>
      <c r="Y343" s="472">
        <f t="shared" si="28"/>
        <v>209.39061492585427</v>
      </c>
      <c r="Z343" s="472">
        <f t="shared" si="28"/>
        <v>209.39061492585427</v>
      </c>
      <c r="AA343" s="501">
        <f t="shared" si="28"/>
        <v>209.39061492585427</v>
      </c>
      <c r="AB343" s="472">
        <f t="shared" si="28"/>
        <v>209.39061492585427</v>
      </c>
      <c r="AC343" s="472">
        <f t="shared" si="28"/>
        <v>209.39061492585427</v>
      </c>
      <c r="AD343" s="472">
        <f t="shared" si="28"/>
        <v>209.39061492585427</v>
      </c>
      <c r="AE343" s="472">
        <f t="shared" si="28"/>
        <v>209.39061492585427</v>
      </c>
      <c r="AF343" s="472">
        <f t="shared" si="28"/>
        <v>209.39061492585427</v>
      </c>
      <c r="AG343" s="472">
        <f t="shared" si="28"/>
        <v>209.39061492585427</v>
      </c>
      <c r="AH343" s="472">
        <f t="shared" si="28"/>
        <v>209.39061492585427</v>
      </c>
      <c r="AI343" s="472">
        <f t="shared" si="28"/>
        <v>209.39061492585427</v>
      </c>
      <c r="AJ343" s="472">
        <f t="shared" si="28"/>
        <v>209.39061492585427</v>
      </c>
      <c r="AK343" s="472">
        <f t="shared" si="28"/>
        <v>209.39061492585427</v>
      </c>
      <c r="AL343" s="472">
        <f t="shared" si="28"/>
        <v>209.39061492585427</v>
      </c>
      <c r="AM343" s="472">
        <f t="shared" si="28"/>
        <v>209.39061492585427</v>
      </c>
      <c r="AN343" s="472">
        <f t="shared" si="28"/>
        <v>209.39061492585427</v>
      </c>
      <c r="AO343" s="472">
        <f t="shared" si="28"/>
        <v>209.39061492585427</v>
      </c>
      <c r="AP343" s="472">
        <f t="shared" si="28"/>
        <v>209.39061492585427</v>
      </c>
      <c r="AQ343" s="472">
        <f t="shared" si="28"/>
        <v>209.39061492585427</v>
      </c>
      <c r="AR343" s="472">
        <f t="shared" si="28"/>
        <v>209.39061492585427</v>
      </c>
      <c r="AS343" s="472">
        <f t="shared" si="28"/>
        <v>209.39061492585427</v>
      </c>
      <c r="AT343" s="472">
        <f t="shared" si="28"/>
        <v>209.39061492585427</v>
      </c>
      <c r="AU343" s="472">
        <f t="shared" si="28"/>
        <v>209.39061492585427</v>
      </c>
      <c r="AV343" s="472">
        <f t="shared" si="28"/>
        <v>209.39061492585427</v>
      </c>
      <c r="AW343" s="472">
        <f t="shared" si="28"/>
        <v>209.39061492585427</v>
      </c>
    </row>
    <row r="344" spans="1:49" x14ac:dyDescent="0.2">
      <c r="A344" s="480"/>
      <c r="B344" s="536"/>
      <c r="C344" s="472"/>
      <c r="D344" s="472"/>
      <c r="E344" s="472"/>
      <c r="F344" s="472"/>
      <c r="G344" s="472"/>
      <c r="H344" s="472"/>
      <c r="I344" s="473"/>
      <c r="J344" s="473"/>
      <c r="K344" s="473"/>
      <c r="L344" s="474"/>
      <c r="M344" s="474"/>
      <c r="N344" s="473"/>
      <c r="O344" s="473"/>
      <c r="P344" s="473"/>
      <c r="Q344" s="473"/>
      <c r="R344" s="473"/>
      <c r="S344" s="473"/>
      <c r="T344" s="473"/>
      <c r="U344" s="473"/>
      <c r="V344" s="473"/>
      <c r="W344" s="473"/>
      <c r="X344" s="473"/>
      <c r="Y344" s="473"/>
      <c r="Z344" s="368"/>
      <c r="AA344" s="500"/>
      <c r="AB344" s="368"/>
      <c r="AC344" s="368"/>
      <c r="AD344" s="368"/>
      <c r="AE344" s="368"/>
      <c r="AF344" s="368"/>
      <c r="AG344" s="369"/>
      <c r="AH344" s="369"/>
      <c r="AI344" s="369"/>
      <c r="AJ344" s="352"/>
      <c r="AK344" s="352"/>
      <c r="AL344" s="369"/>
      <c r="AM344" s="369"/>
      <c r="AN344" s="369"/>
      <c r="AO344" s="369"/>
      <c r="AP344" s="369"/>
      <c r="AQ344" s="369"/>
      <c r="AR344" s="369"/>
      <c r="AS344" s="369"/>
      <c r="AT344" s="369"/>
      <c r="AU344" s="369"/>
      <c r="AV344" s="369"/>
      <c r="AW344" s="228"/>
    </row>
    <row r="345" spans="1:49" ht="60" x14ac:dyDescent="0.2">
      <c r="A345" s="538" t="s">
        <v>248</v>
      </c>
      <c r="B345" s="625" t="s">
        <v>491</v>
      </c>
      <c r="C345" s="472"/>
      <c r="D345" s="472"/>
      <c r="E345" s="472"/>
      <c r="F345" s="472"/>
      <c r="G345" s="472"/>
      <c r="H345" s="472"/>
      <c r="I345" s="473"/>
      <c r="J345" s="473"/>
      <c r="K345" s="473"/>
      <c r="L345" s="474"/>
      <c r="M345" s="474"/>
      <c r="N345" s="473"/>
      <c r="O345" s="473"/>
      <c r="P345" s="473"/>
      <c r="Q345" s="473"/>
      <c r="R345" s="473"/>
      <c r="S345" s="473"/>
      <c r="T345" s="473"/>
      <c r="U345" s="473"/>
      <c r="V345" s="473"/>
      <c r="W345" s="473"/>
      <c r="X345" s="473"/>
      <c r="Y345" s="473"/>
      <c r="Z345" s="368"/>
      <c r="AA345" s="500"/>
      <c r="AB345" s="368"/>
      <c r="AC345" s="368"/>
      <c r="AD345" s="368"/>
      <c r="AE345" s="368"/>
      <c r="AF345" s="368"/>
      <c r="AG345" s="369"/>
      <c r="AH345" s="369"/>
      <c r="AI345" s="369"/>
      <c r="AJ345" s="352"/>
      <c r="AK345" s="352"/>
      <c r="AL345" s="369"/>
      <c r="AM345" s="369"/>
      <c r="AN345" s="369"/>
      <c r="AO345" s="369"/>
      <c r="AP345" s="369"/>
      <c r="AQ345" s="369"/>
      <c r="AR345" s="369"/>
      <c r="AS345" s="369"/>
      <c r="AT345" s="369"/>
      <c r="AU345" s="369"/>
      <c r="AV345" s="369"/>
      <c r="AW345" s="228"/>
    </row>
    <row r="346" spans="1:49" x14ac:dyDescent="0.2">
      <c r="A346" s="469" t="s">
        <v>130</v>
      </c>
      <c r="B346" s="472"/>
      <c r="C346" s="472"/>
      <c r="D346" s="472"/>
      <c r="E346" s="472"/>
      <c r="F346" s="472"/>
      <c r="G346" s="472"/>
      <c r="H346" s="472"/>
      <c r="I346" s="473"/>
      <c r="J346" s="473"/>
      <c r="K346" s="473"/>
      <c r="L346" s="474"/>
      <c r="M346" s="474"/>
      <c r="N346" s="473"/>
      <c r="O346" s="473"/>
      <c r="P346" s="473"/>
      <c r="Q346" s="473"/>
      <c r="R346" s="473"/>
      <c r="S346" s="473"/>
      <c r="T346" s="473"/>
      <c r="U346" s="473"/>
      <c r="V346" s="473"/>
      <c r="W346" s="473"/>
      <c r="X346" s="473"/>
      <c r="Y346" s="473"/>
      <c r="Z346" s="368"/>
      <c r="AA346" s="500"/>
      <c r="AB346" s="368"/>
      <c r="AC346" s="368"/>
      <c r="AD346" s="368"/>
      <c r="AE346" s="368"/>
      <c r="AF346" s="368"/>
      <c r="AG346" s="369"/>
      <c r="AH346" s="369"/>
      <c r="AI346" s="369"/>
      <c r="AJ346" s="352"/>
      <c r="AK346" s="352"/>
      <c r="AL346" s="369"/>
      <c r="AM346" s="369"/>
      <c r="AN346" s="369"/>
      <c r="AO346" s="369"/>
      <c r="AP346" s="369"/>
      <c r="AQ346" s="369"/>
      <c r="AR346" s="369"/>
      <c r="AS346" s="369"/>
      <c r="AT346" s="369"/>
      <c r="AU346" s="369"/>
      <c r="AV346" s="369"/>
      <c r="AW346" s="228"/>
    </row>
    <row r="347" spans="1:49" x14ac:dyDescent="0.2">
      <c r="A347" s="469" t="s">
        <v>178</v>
      </c>
      <c r="B347" s="472"/>
      <c r="C347" s="472"/>
      <c r="D347" s="472"/>
      <c r="E347" s="472"/>
      <c r="F347" s="472"/>
      <c r="G347" s="472"/>
      <c r="H347" s="472"/>
      <c r="I347" s="473"/>
      <c r="J347" s="473"/>
      <c r="K347" s="473"/>
      <c r="L347" s="474"/>
      <c r="M347" s="474"/>
      <c r="N347" s="473"/>
      <c r="O347" s="473"/>
      <c r="P347" s="473"/>
      <c r="Q347" s="473"/>
      <c r="R347" s="473"/>
      <c r="S347" s="473"/>
      <c r="T347" s="473"/>
      <c r="U347" s="473"/>
      <c r="V347" s="473"/>
      <c r="W347" s="473"/>
      <c r="X347" s="473"/>
      <c r="Y347" s="473"/>
      <c r="Z347" s="368"/>
      <c r="AA347" s="500"/>
      <c r="AB347" s="368"/>
      <c r="AC347" s="368"/>
      <c r="AD347" s="368"/>
      <c r="AE347" s="368"/>
      <c r="AF347" s="368"/>
      <c r="AG347" s="369"/>
      <c r="AH347" s="369"/>
      <c r="AI347" s="369"/>
      <c r="AJ347" s="352"/>
      <c r="AK347" s="352"/>
      <c r="AL347" s="369"/>
      <c r="AM347" s="369"/>
      <c r="AN347" s="369"/>
      <c r="AO347" s="369"/>
      <c r="AP347" s="369"/>
      <c r="AQ347" s="369"/>
      <c r="AR347" s="369"/>
      <c r="AS347" s="369"/>
      <c r="AT347" s="369"/>
      <c r="AU347" s="369"/>
      <c r="AV347" s="369"/>
      <c r="AW347" s="228"/>
    </row>
    <row r="348" spans="1:49" x14ac:dyDescent="0.2">
      <c r="A348" s="496" t="s">
        <v>466</v>
      </c>
      <c r="B348" s="497"/>
      <c r="C348" s="497">
        <f>SUM(C300-B300)</f>
        <v>124</v>
      </c>
      <c r="D348" s="497">
        <f t="shared" ref="D348:W348" si="29">SUM(D300-C300)</f>
        <v>280</v>
      </c>
      <c r="E348" s="497">
        <f t="shared" si="29"/>
        <v>500</v>
      </c>
      <c r="F348" s="497">
        <f>SUM(F300-E300)*-1</f>
        <v>84</v>
      </c>
      <c r="G348" s="497">
        <f>SUM(G300-F300)*-1</f>
        <v>88</v>
      </c>
      <c r="H348" s="497">
        <f t="shared" si="29"/>
        <v>126</v>
      </c>
      <c r="I348" s="497">
        <f>SUM(I300-H300)*-1</f>
        <v>958</v>
      </c>
      <c r="J348" s="497">
        <f>SUM(J300-I300)*-1</f>
        <v>186</v>
      </c>
      <c r="K348" s="497">
        <f>SUM(K300-J300)*-1</f>
        <v>39</v>
      </c>
      <c r="L348" s="497">
        <f>SUM(L300-K300)*-1</f>
        <v>355</v>
      </c>
      <c r="M348" s="497">
        <f t="shared" si="29"/>
        <v>93</v>
      </c>
      <c r="N348" s="497">
        <f t="shared" si="29"/>
        <v>391</v>
      </c>
      <c r="O348" s="497">
        <f t="shared" si="29"/>
        <v>93</v>
      </c>
      <c r="P348" s="497">
        <f t="shared" si="29"/>
        <v>91</v>
      </c>
      <c r="Q348" s="497">
        <f t="shared" si="29"/>
        <v>319</v>
      </c>
      <c r="R348" s="497">
        <f t="shared" si="29"/>
        <v>73</v>
      </c>
      <c r="S348" s="497">
        <f t="shared" si="29"/>
        <v>192</v>
      </c>
      <c r="T348" s="497">
        <f t="shared" si="29"/>
        <v>250</v>
      </c>
      <c r="U348" s="497">
        <f t="shared" si="29"/>
        <v>5</v>
      </c>
      <c r="V348" s="497">
        <f>SUM(V300-U300)*-1</f>
        <v>109</v>
      </c>
      <c r="W348" s="497">
        <f t="shared" si="29"/>
        <v>156</v>
      </c>
      <c r="X348" s="497">
        <f>SUM(X300-W300)*-1</f>
        <v>176</v>
      </c>
      <c r="Y348" s="497">
        <f>SUM(Y300-X300)*-1</f>
        <v>3</v>
      </c>
      <c r="Z348" s="497">
        <f t="shared" ref="Z348:AF348" si="30">SUM(Z300-Y300)</f>
        <v>335</v>
      </c>
      <c r="AA348" s="497">
        <f t="shared" si="30"/>
        <v>254</v>
      </c>
      <c r="AB348" s="497">
        <f t="shared" si="30"/>
        <v>250</v>
      </c>
      <c r="AC348" s="497">
        <f t="shared" si="30"/>
        <v>271</v>
      </c>
      <c r="AD348" s="497">
        <f t="shared" si="30"/>
        <v>249</v>
      </c>
      <c r="AE348" s="497">
        <f t="shared" si="30"/>
        <v>20</v>
      </c>
      <c r="AF348" s="497">
        <f t="shared" si="30"/>
        <v>10</v>
      </c>
      <c r="AG348" s="497">
        <f>SUM(AG300-AF300)*-1</f>
        <v>105</v>
      </c>
      <c r="AH348" s="497">
        <f>SUM(AH300-AG300)</f>
        <v>161</v>
      </c>
      <c r="AI348" s="497" t="s">
        <v>368</v>
      </c>
      <c r="AJ348" s="497" t="s">
        <v>368</v>
      </c>
      <c r="AK348" s="497" t="s">
        <v>368</v>
      </c>
      <c r="AL348" s="497" t="s">
        <v>368</v>
      </c>
      <c r="AM348" s="497" t="s">
        <v>368</v>
      </c>
      <c r="AN348" s="497" t="s">
        <v>368</v>
      </c>
      <c r="AO348" s="497" t="s">
        <v>368</v>
      </c>
      <c r="AP348" s="497" t="s">
        <v>368</v>
      </c>
      <c r="AQ348" s="497" t="s">
        <v>368</v>
      </c>
      <c r="AR348" s="497" t="s">
        <v>368</v>
      </c>
      <c r="AS348" s="497" t="s">
        <v>368</v>
      </c>
      <c r="AT348" s="497" t="s">
        <v>368</v>
      </c>
      <c r="AU348" s="497" t="s">
        <v>368</v>
      </c>
      <c r="AV348" s="497" t="s">
        <v>368</v>
      </c>
      <c r="AW348" s="497" t="s">
        <v>368</v>
      </c>
    </row>
    <row r="349" spans="1:49" ht="53.25" x14ac:dyDescent="0.2">
      <c r="A349" s="471" t="s">
        <v>497</v>
      </c>
      <c r="B349" s="472"/>
      <c r="C349" s="472"/>
      <c r="D349" s="472"/>
      <c r="E349" s="472"/>
      <c r="F349" s="472"/>
      <c r="G349" s="472"/>
      <c r="H349" s="472"/>
      <c r="I349" s="473"/>
      <c r="J349" s="473"/>
      <c r="K349" s="473"/>
      <c r="L349" s="474"/>
      <c r="M349" s="474"/>
      <c r="N349" s="473"/>
      <c r="O349" s="473"/>
      <c r="P349" s="473"/>
      <c r="Q349" s="473"/>
      <c r="R349" s="473"/>
      <c r="S349" s="473"/>
      <c r="T349" s="473"/>
      <c r="U349" s="473"/>
      <c r="V349" s="473"/>
      <c r="W349" s="473"/>
      <c r="X349" s="473"/>
      <c r="Y349" s="473"/>
      <c r="Z349" s="473"/>
      <c r="AA349" s="500"/>
      <c r="AB349" s="368"/>
      <c r="AC349" s="368"/>
      <c r="AD349" s="368"/>
      <c r="AE349" s="368"/>
      <c r="AF349" s="368"/>
      <c r="AG349" s="369"/>
      <c r="AH349" s="369"/>
      <c r="AI349" s="369"/>
      <c r="AJ349" s="352"/>
      <c r="AK349" s="352"/>
      <c r="AL349" s="369"/>
      <c r="AM349" s="369"/>
      <c r="AN349" s="369"/>
      <c r="AO349" s="369"/>
      <c r="AP349" s="369"/>
      <c r="AQ349" s="369"/>
      <c r="AR349" s="369"/>
      <c r="AS349" s="369"/>
      <c r="AT349" s="369"/>
      <c r="AU349" s="369"/>
      <c r="AV349" s="369"/>
      <c r="AW349" s="228"/>
    </row>
    <row r="350" spans="1:49" x14ac:dyDescent="0.2">
      <c r="A350" s="461" t="s">
        <v>468</v>
      </c>
      <c r="B350" s="472">
        <f t="shared" ref="B350:AW350" si="31">AVERAGE($B$300:$AW$300)</f>
        <v>2158</v>
      </c>
      <c r="C350" s="472">
        <f t="shared" si="31"/>
        <v>2158</v>
      </c>
      <c r="D350" s="472">
        <f t="shared" si="31"/>
        <v>2158</v>
      </c>
      <c r="E350" s="472">
        <f t="shared" si="31"/>
        <v>2158</v>
      </c>
      <c r="F350" s="472">
        <f t="shared" si="31"/>
        <v>2158</v>
      </c>
      <c r="G350" s="472">
        <f t="shared" si="31"/>
        <v>2158</v>
      </c>
      <c r="H350" s="472">
        <f t="shared" si="31"/>
        <v>2158</v>
      </c>
      <c r="I350" s="472">
        <f t="shared" si="31"/>
        <v>2158</v>
      </c>
      <c r="J350" s="472">
        <f t="shared" si="31"/>
        <v>2158</v>
      </c>
      <c r="K350" s="472">
        <f t="shared" si="31"/>
        <v>2158</v>
      </c>
      <c r="L350" s="472">
        <f t="shared" si="31"/>
        <v>2158</v>
      </c>
      <c r="M350" s="472">
        <f t="shared" si="31"/>
        <v>2158</v>
      </c>
      <c r="N350" s="472">
        <f t="shared" si="31"/>
        <v>2158</v>
      </c>
      <c r="O350" s="472">
        <f t="shared" si="31"/>
        <v>2158</v>
      </c>
      <c r="P350" s="472">
        <f t="shared" si="31"/>
        <v>2158</v>
      </c>
      <c r="Q350" s="472">
        <f t="shared" si="31"/>
        <v>2158</v>
      </c>
      <c r="R350" s="472">
        <f t="shared" si="31"/>
        <v>2158</v>
      </c>
      <c r="S350" s="472">
        <f t="shared" si="31"/>
        <v>2158</v>
      </c>
      <c r="T350" s="472">
        <f t="shared" si="31"/>
        <v>2158</v>
      </c>
      <c r="U350" s="472">
        <f t="shared" si="31"/>
        <v>2158</v>
      </c>
      <c r="V350" s="472">
        <f t="shared" si="31"/>
        <v>2158</v>
      </c>
      <c r="W350" s="472">
        <f t="shared" si="31"/>
        <v>2158</v>
      </c>
      <c r="X350" s="472">
        <f t="shared" si="31"/>
        <v>2158</v>
      </c>
      <c r="Y350" s="472">
        <f t="shared" si="31"/>
        <v>2158</v>
      </c>
      <c r="Z350" s="472">
        <f t="shared" si="31"/>
        <v>2158</v>
      </c>
      <c r="AA350" s="472">
        <f t="shared" si="31"/>
        <v>2158</v>
      </c>
      <c r="AB350" s="472">
        <f t="shared" si="31"/>
        <v>2158</v>
      </c>
      <c r="AC350" s="472">
        <f t="shared" si="31"/>
        <v>2158</v>
      </c>
      <c r="AD350" s="472">
        <f t="shared" si="31"/>
        <v>2158</v>
      </c>
      <c r="AE350" s="472">
        <f t="shared" si="31"/>
        <v>2158</v>
      </c>
      <c r="AF350" s="472">
        <f t="shared" si="31"/>
        <v>2158</v>
      </c>
      <c r="AG350" s="472">
        <f t="shared" si="31"/>
        <v>2158</v>
      </c>
      <c r="AH350" s="472">
        <f t="shared" si="31"/>
        <v>2158</v>
      </c>
      <c r="AI350" s="472">
        <f t="shared" si="31"/>
        <v>2158</v>
      </c>
      <c r="AJ350" s="472">
        <f t="shared" si="31"/>
        <v>2158</v>
      </c>
      <c r="AK350" s="472">
        <f t="shared" si="31"/>
        <v>2158</v>
      </c>
      <c r="AL350" s="472">
        <f t="shared" si="31"/>
        <v>2158</v>
      </c>
      <c r="AM350" s="472">
        <f t="shared" si="31"/>
        <v>2158</v>
      </c>
      <c r="AN350" s="472">
        <f t="shared" si="31"/>
        <v>2158</v>
      </c>
      <c r="AO350" s="472">
        <f t="shared" si="31"/>
        <v>2158</v>
      </c>
      <c r="AP350" s="472">
        <f t="shared" si="31"/>
        <v>2158</v>
      </c>
      <c r="AQ350" s="472">
        <f t="shared" si="31"/>
        <v>2158</v>
      </c>
      <c r="AR350" s="472">
        <f t="shared" si="31"/>
        <v>2158</v>
      </c>
      <c r="AS350" s="472">
        <f t="shared" si="31"/>
        <v>2158</v>
      </c>
      <c r="AT350" s="472">
        <f t="shared" si="31"/>
        <v>2158</v>
      </c>
      <c r="AU350" s="472">
        <f t="shared" si="31"/>
        <v>2158</v>
      </c>
      <c r="AV350" s="472">
        <f t="shared" si="31"/>
        <v>2158</v>
      </c>
      <c r="AW350" s="472">
        <f t="shared" si="31"/>
        <v>2158</v>
      </c>
    </row>
    <row r="351" spans="1:49" x14ac:dyDescent="0.2">
      <c r="A351" s="470" t="s">
        <v>467</v>
      </c>
      <c r="B351" s="472">
        <f>SUM($C$348:$AW$348)/COUNT($C$348:$AW$348)</f>
        <v>198.3125</v>
      </c>
      <c r="C351" s="472" t="s">
        <v>368</v>
      </c>
      <c r="D351" s="472" t="s">
        <v>368</v>
      </c>
      <c r="E351" s="472" t="s">
        <v>368</v>
      </c>
      <c r="F351" s="472" t="s">
        <v>368</v>
      </c>
      <c r="G351" s="472" t="s">
        <v>368</v>
      </c>
      <c r="H351" s="472" t="s">
        <v>368</v>
      </c>
      <c r="I351" s="472" t="s">
        <v>368</v>
      </c>
      <c r="J351" s="472" t="s">
        <v>368</v>
      </c>
      <c r="K351" s="472" t="s">
        <v>368</v>
      </c>
      <c r="L351" s="472" t="s">
        <v>368</v>
      </c>
      <c r="M351" s="472" t="s">
        <v>368</v>
      </c>
      <c r="N351" s="472" t="s">
        <v>368</v>
      </c>
      <c r="O351" s="472" t="s">
        <v>368</v>
      </c>
      <c r="P351" s="472" t="s">
        <v>368</v>
      </c>
      <c r="Q351" s="472" t="s">
        <v>368</v>
      </c>
      <c r="R351" s="472" t="s">
        <v>368</v>
      </c>
      <c r="S351" s="472" t="s">
        <v>368</v>
      </c>
      <c r="T351" s="472" t="s">
        <v>368</v>
      </c>
      <c r="U351" s="472" t="s">
        <v>368</v>
      </c>
      <c r="V351" s="472" t="s">
        <v>368</v>
      </c>
      <c r="W351" s="472" t="s">
        <v>368</v>
      </c>
      <c r="X351" s="472" t="s">
        <v>368</v>
      </c>
      <c r="Y351" s="472" t="s">
        <v>368</v>
      </c>
      <c r="Z351" s="472" t="s">
        <v>368</v>
      </c>
      <c r="AA351" s="500"/>
      <c r="AB351" s="368"/>
      <c r="AC351" s="368"/>
      <c r="AD351" s="368"/>
      <c r="AE351" s="368"/>
      <c r="AF351" s="368"/>
      <c r="AG351" s="369"/>
      <c r="AH351" s="369"/>
      <c r="AI351" s="369"/>
      <c r="AJ351" s="352"/>
      <c r="AK351" s="352"/>
      <c r="AL351" s="369"/>
      <c r="AM351" s="369"/>
      <c r="AN351" s="369"/>
      <c r="AO351" s="369"/>
      <c r="AP351" s="369"/>
      <c r="AQ351" s="369"/>
      <c r="AR351" s="369"/>
      <c r="AS351" s="369"/>
      <c r="AT351" s="369"/>
      <c r="AU351" s="369"/>
      <c r="AV351" s="369"/>
      <c r="AW351" s="228"/>
    </row>
    <row r="352" spans="1:49" ht="25.5" x14ac:dyDescent="0.2">
      <c r="A352" s="470" t="s">
        <v>470</v>
      </c>
      <c r="B352" s="472">
        <f>SUM(B351)/1.128</f>
        <v>175.80895390070924</v>
      </c>
      <c r="C352" s="472"/>
      <c r="D352" s="472"/>
      <c r="E352" s="472"/>
      <c r="F352" s="472"/>
      <c r="G352" s="472"/>
      <c r="H352" s="472"/>
      <c r="I352" s="473"/>
      <c r="J352" s="473"/>
      <c r="K352" s="473"/>
      <c r="L352" s="474"/>
      <c r="M352" s="474"/>
      <c r="N352" s="473"/>
      <c r="O352" s="473"/>
      <c r="P352" s="473"/>
      <c r="Q352" s="473"/>
      <c r="R352" s="473"/>
      <c r="S352" s="473"/>
      <c r="T352" s="473"/>
      <c r="U352" s="473"/>
      <c r="V352" s="473"/>
      <c r="W352" s="473"/>
      <c r="X352" s="473"/>
      <c r="Y352" s="473"/>
      <c r="Z352" s="473"/>
      <c r="AA352" s="500"/>
      <c r="AB352" s="368"/>
      <c r="AC352" s="368"/>
      <c r="AD352" s="368"/>
      <c r="AE352" s="368"/>
      <c r="AF352" s="368"/>
      <c r="AG352" s="369"/>
      <c r="AH352" s="369"/>
      <c r="AI352" s="369"/>
      <c r="AJ352" s="352"/>
      <c r="AK352" s="352"/>
      <c r="AL352" s="369"/>
      <c r="AM352" s="369"/>
      <c r="AN352" s="369"/>
      <c r="AO352" s="369"/>
      <c r="AP352" s="369"/>
      <c r="AQ352" s="369"/>
      <c r="AR352" s="369"/>
      <c r="AS352" s="369"/>
      <c r="AT352" s="369"/>
      <c r="AU352" s="369"/>
      <c r="AV352" s="369"/>
      <c r="AW352" s="228"/>
    </row>
    <row r="353" spans="1:49" x14ac:dyDescent="0.2">
      <c r="A353" s="470" t="s">
        <v>473</v>
      </c>
      <c r="B353" s="472">
        <f t="shared" ref="B353:AW353" si="32">$B$350 + (3*$B$352)</f>
        <v>2685.426861702128</v>
      </c>
      <c r="C353" s="472">
        <f t="shared" si="32"/>
        <v>2685.426861702128</v>
      </c>
      <c r="D353" s="472">
        <f t="shared" si="32"/>
        <v>2685.426861702128</v>
      </c>
      <c r="E353" s="472">
        <f t="shared" si="32"/>
        <v>2685.426861702128</v>
      </c>
      <c r="F353" s="472">
        <f t="shared" si="32"/>
        <v>2685.426861702128</v>
      </c>
      <c r="G353" s="472">
        <f t="shared" si="32"/>
        <v>2685.426861702128</v>
      </c>
      <c r="H353" s="472">
        <f t="shared" si="32"/>
        <v>2685.426861702128</v>
      </c>
      <c r="I353" s="472">
        <f t="shared" si="32"/>
        <v>2685.426861702128</v>
      </c>
      <c r="J353" s="472">
        <f t="shared" si="32"/>
        <v>2685.426861702128</v>
      </c>
      <c r="K353" s="472">
        <f t="shared" si="32"/>
        <v>2685.426861702128</v>
      </c>
      <c r="L353" s="472">
        <f t="shared" si="32"/>
        <v>2685.426861702128</v>
      </c>
      <c r="M353" s="472">
        <f t="shared" si="32"/>
        <v>2685.426861702128</v>
      </c>
      <c r="N353" s="472">
        <f t="shared" si="32"/>
        <v>2685.426861702128</v>
      </c>
      <c r="O353" s="472">
        <f t="shared" si="32"/>
        <v>2685.426861702128</v>
      </c>
      <c r="P353" s="472">
        <f t="shared" si="32"/>
        <v>2685.426861702128</v>
      </c>
      <c r="Q353" s="472">
        <f t="shared" si="32"/>
        <v>2685.426861702128</v>
      </c>
      <c r="R353" s="472">
        <f t="shared" si="32"/>
        <v>2685.426861702128</v>
      </c>
      <c r="S353" s="472">
        <f t="shared" si="32"/>
        <v>2685.426861702128</v>
      </c>
      <c r="T353" s="472">
        <f t="shared" si="32"/>
        <v>2685.426861702128</v>
      </c>
      <c r="U353" s="472">
        <f t="shared" si="32"/>
        <v>2685.426861702128</v>
      </c>
      <c r="V353" s="472">
        <f t="shared" si="32"/>
        <v>2685.426861702128</v>
      </c>
      <c r="W353" s="472">
        <f t="shared" si="32"/>
        <v>2685.426861702128</v>
      </c>
      <c r="X353" s="472">
        <f t="shared" si="32"/>
        <v>2685.426861702128</v>
      </c>
      <c r="Y353" s="472">
        <f t="shared" si="32"/>
        <v>2685.426861702128</v>
      </c>
      <c r="Z353" s="472">
        <f t="shared" si="32"/>
        <v>2685.426861702128</v>
      </c>
      <c r="AA353" s="472">
        <f t="shared" si="32"/>
        <v>2685.426861702128</v>
      </c>
      <c r="AB353" s="472">
        <f t="shared" si="32"/>
        <v>2685.426861702128</v>
      </c>
      <c r="AC353" s="472">
        <f t="shared" si="32"/>
        <v>2685.426861702128</v>
      </c>
      <c r="AD353" s="472">
        <f t="shared" si="32"/>
        <v>2685.426861702128</v>
      </c>
      <c r="AE353" s="472">
        <f t="shared" si="32"/>
        <v>2685.426861702128</v>
      </c>
      <c r="AF353" s="472">
        <f t="shared" si="32"/>
        <v>2685.426861702128</v>
      </c>
      <c r="AG353" s="472">
        <f t="shared" si="32"/>
        <v>2685.426861702128</v>
      </c>
      <c r="AH353" s="472">
        <f t="shared" si="32"/>
        <v>2685.426861702128</v>
      </c>
      <c r="AI353" s="472">
        <f t="shared" si="32"/>
        <v>2685.426861702128</v>
      </c>
      <c r="AJ353" s="472">
        <f t="shared" si="32"/>
        <v>2685.426861702128</v>
      </c>
      <c r="AK353" s="472">
        <f t="shared" si="32"/>
        <v>2685.426861702128</v>
      </c>
      <c r="AL353" s="472">
        <f t="shared" si="32"/>
        <v>2685.426861702128</v>
      </c>
      <c r="AM353" s="472">
        <f t="shared" si="32"/>
        <v>2685.426861702128</v>
      </c>
      <c r="AN353" s="472">
        <f t="shared" si="32"/>
        <v>2685.426861702128</v>
      </c>
      <c r="AO353" s="472">
        <f t="shared" si="32"/>
        <v>2685.426861702128</v>
      </c>
      <c r="AP353" s="472">
        <f t="shared" si="32"/>
        <v>2685.426861702128</v>
      </c>
      <c r="AQ353" s="472">
        <f t="shared" si="32"/>
        <v>2685.426861702128</v>
      </c>
      <c r="AR353" s="472">
        <f t="shared" si="32"/>
        <v>2685.426861702128</v>
      </c>
      <c r="AS353" s="472">
        <f t="shared" si="32"/>
        <v>2685.426861702128</v>
      </c>
      <c r="AT353" s="472">
        <f t="shared" si="32"/>
        <v>2685.426861702128</v>
      </c>
      <c r="AU353" s="472">
        <f t="shared" si="32"/>
        <v>2685.426861702128</v>
      </c>
      <c r="AV353" s="472">
        <f t="shared" si="32"/>
        <v>2685.426861702128</v>
      </c>
      <c r="AW353" s="472">
        <f t="shared" si="32"/>
        <v>2685.426861702128</v>
      </c>
    </row>
    <row r="354" spans="1:49" x14ac:dyDescent="0.2">
      <c r="A354" s="470" t="s">
        <v>475</v>
      </c>
      <c r="B354" s="472">
        <f t="shared" ref="B354:AW354" si="33">$B$350 - (3*$B$352)</f>
        <v>1630.5731382978722</v>
      </c>
      <c r="C354" s="472">
        <f t="shared" si="33"/>
        <v>1630.5731382978722</v>
      </c>
      <c r="D354" s="472">
        <f t="shared" si="33"/>
        <v>1630.5731382978722</v>
      </c>
      <c r="E354" s="472">
        <f t="shared" si="33"/>
        <v>1630.5731382978722</v>
      </c>
      <c r="F354" s="472">
        <f t="shared" si="33"/>
        <v>1630.5731382978722</v>
      </c>
      <c r="G354" s="472">
        <f t="shared" si="33"/>
        <v>1630.5731382978722</v>
      </c>
      <c r="H354" s="472">
        <f t="shared" si="33"/>
        <v>1630.5731382978722</v>
      </c>
      <c r="I354" s="472">
        <f t="shared" si="33"/>
        <v>1630.5731382978722</v>
      </c>
      <c r="J354" s="472">
        <f t="shared" si="33"/>
        <v>1630.5731382978722</v>
      </c>
      <c r="K354" s="472">
        <f t="shared" si="33"/>
        <v>1630.5731382978722</v>
      </c>
      <c r="L354" s="472">
        <f t="shared" si="33"/>
        <v>1630.5731382978722</v>
      </c>
      <c r="M354" s="472">
        <f t="shared" si="33"/>
        <v>1630.5731382978722</v>
      </c>
      <c r="N354" s="472">
        <f t="shared" si="33"/>
        <v>1630.5731382978722</v>
      </c>
      <c r="O354" s="472">
        <f t="shared" si="33"/>
        <v>1630.5731382978722</v>
      </c>
      <c r="P354" s="472">
        <f t="shared" si="33"/>
        <v>1630.5731382978722</v>
      </c>
      <c r="Q354" s="472">
        <f t="shared" si="33"/>
        <v>1630.5731382978722</v>
      </c>
      <c r="R354" s="472">
        <f t="shared" si="33"/>
        <v>1630.5731382978722</v>
      </c>
      <c r="S354" s="472">
        <f t="shared" si="33"/>
        <v>1630.5731382978722</v>
      </c>
      <c r="T354" s="472">
        <f t="shared" si="33"/>
        <v>1630.5731382978722</v>
      </c>
      <c r="U354" s="472">
        <f t="shared" si="33"/>
        <v>1630.5731382978722</v>
      </c>
      <c r="V354" s="472">
        <f t="shared" si="33"/>
        <v>1630.5731382978722</v>
      </c>
      <c r="W354" s="472">
        <f t="shared" si="33"/>
        <v>1630.5731382978722</v>
      </c>
      <c r="X354" s="472">
        <f t="shared" si="33"/>
        <v>1630.5731382978722</v>
      </c>
      <c r="Y354" s="472">
        <f t="shared" si="33"/>
        <v>1630.5731382978722</v>
      </c>
      <c r="Z354" s="472">
        <f t="shared" si="33"/>
        <v>1630.5731382978722</v>
      </c>
      <c r="AA354" s="472">
        <f t="shared" si="33"/>
        <v>1630.5731382978722</v>
      </c>
      <c r="AB354" s="472">
        <f t="shared" si="33"/>
        <v>1630.5731382978722</v>
      </c>
      <c r="AC354" s="472">
        <f t="shared" si="33"/>
        <v>1630.5731382978722</v>
      </c>
      <c r="AD354" s="472">
        <f t="shared" si="33"/>
        <v>1630.5731382978722</v>
      </c>
      <c r="AE354" s="472">
        <f t="shared" si="33"/>
        <v>1630.5731382978722</v>
      </c>
      <c r="AF354" s="472">
        <f t="shared" si="33"/>
        <v>1630.5731382978722</v>
      </c>
      <c r="AG354" s="472">
        <f t="shared" si="33"/>
        <v>1630.5731382978722</v>
      </c>
      <c r="AH354" s="472">
        <f t="shared" si="33"/>
        <v>1630.5731382978722</v>
      </c>
      <c r="AI354" s="472">
        <f t="shared" si="33"/>
        <v>1630.5731382978722</v>
      </c>
      <c r="AJ354" s="472">
        <f t="shared" si="33"/>
        <v>1630.5731382978722</v>
      </c>
      <c r="AK354" s="472">
        <f t="shared" si="33"/>
        <v>1630.5731382978722</v>
      </c>
      <c r="AL354" s="472">
        <f t="shared" si="33"/>
        <v>1630.5731382978722</v>
      </c>
      <c r="AM354" s="472">
        <f t="shared" si="33"/>
        <v>1630.5731382978722</v>
      </c>
      <c r="AN354" s="472">
        <f t="shared" si="33"/>
        <v>1630.5731382978722</v>
      </c>
      <c r="AO354" s="472">
        <f t="shared" si="33"/>
        <v>1630.5731382978722</v>
      </c>
      <c r="AP354" s="472">
        <f t="shared" si="33"/>
        <v>1630.5731382978722</v>
      </c>
      <c r="AQ354" s="472">
        <f t="shared" si="33"/>
        <v>1630.5731382978722</v>
      </c>
      <c r="AR354" s="472">
        <f t="shared" si="33"/>
        <v>1630.5731382978722</v>
      </c>
      <c r="AS354" s="472">
        <f t="shared" si="33"/>
        <v>1630.5731382978722</v>
      </c>
      <c r="AT354" s="472">
        <f t="shared" si="33"/>
        <v>1630.5731382978722</v>
      </c>
      <c r="AU354" s="472">
        <f t="shared" si="33"/>
        <v>1630.5731382978722</v>
      </c>
      <c r="AV354" s="472">
        <f t="shared" si="33"/>
        <v>1630.5731382978722</v>
      </c>
      <c r="AW354" s="472">
        <f t="shared" si="33"/>
        <v>1630.5731382978722</v>
      </c>
    </row>
    <row r="355" spans="1:49" x14ac:dyDescent="0.2">
      <c r="A355" s="468"/>
      <c r="B355" s="464"/>
      <c r="C355" s="464"/>
      <c r="D355" s="464"/>
      <c r="E355" s="464"/>
      <c r="F355" s="464"/>
      <c r="G355" s="464"/>
      <c r="H355" s="464"/>
      <c r="I355" s="465"/>
      <c r="J355" s="465"/>
      <c r="K355" s="465"/>
      <c r="L355" s="466"/>
      <c r="M355" s="466"/>
      <c r="N355" s="465"/>
      <c r="O355" s="465"/>
      <c r="P355" s="465"/>
      <c r="Q355" s="465"/>
      <c r="R355" s="465"/>
      <c r="S355" s="465"/>
      <c r="T355" s="465"/>
      <c r="U355" s="465"/>
      <c r="V355" s="465"/>
      <c r="W355" s="465"/>
      <c r="X355" s="465"/>
      <c r="Y355" s="467"/>
      <c r="Z355" s="464"/>
      <c r="AA355" s="502"/>
      <c r="AB355" s="464"/>
      <c r="AC355" s="464"/>
      <c r="AD355" s="464"/>
      <c r="AE355" s="464"/>
      <c r="AF355" s="464"/>
      <c r="AG355" s="465"/>
      <c r="AH355" s="465"/>
      <c r="AI355" s="465"/>
      <c r="AJ355" s="466"/>
      <c r="AK355" s="466"/>
      <c r="AL355" s="465"/>
      <c r="AM355" s="465"/>
      <c r="AN355" s="465"/>
      <c r="AO355" s="465"/>
      <c r="AP355" s="465"/>
      <c r="AQ355" s="465"/>
      <c r="AR355" s="465"/>
      <c r="AS355" s="465"/>
      <c r="AT355" s="465"/>
      <c r="AU355" s="465"/>
      <c r="AV355" s="465"/>
      <c r="AW355" s="467"/>
    </row>
    <row r="356" spans="1:49" x14ac:dyDescent="0.2">
      <c r="A356" s="468"/>
      <c r="B356" s="464"/>
      <c r="C356" s="464"/>
      <c r="D356" s="464"/>
      <c r="E356" s="464"/>
      <c r="F356" s="464"/>
      <c r="G356" s="464"/>
      <c r="H356" s="464"/>
      <c r="I356" s="465"/>
      <c r="J356" s="465"/>
      <c r="K356" s="465"/>
      <c r="L356" s="466"/>
      <c r="M356" s="466"/>
      <c r="N356" s="465"/>
      <c r="O356" s="465"/>
      <c r="P356" s="465"/>
      <c r="Q356" s="465"/>
      <c r="R356" s="465"/>
      <c r="S356" s="465"/>
      <c r="T356" s="465"/>
      <c r="U356" s="465"/>
      <c r="V356" s="465"/>
      <c r="W356" s="465"/>
      <c r="X356" s="465"/>
      <c r="Y356" s="467"/>
      <c r="Z356" s="464"/>
      <c r="AA356" s="502"/>
      <c r="AB356" s="464"/>
      <c r="AC356" s="464"/>
      <c r="AD356" s="464"/>
      <c r="AE356" s="464"/>
      <c r="AF356" s="464"/>
      <c r="AG356" s="465"/>
      <c r="AH356" s="465"/>
      <c r="AI356" s="465"/>
      <c r="AJ356" s="466"/>
      <c r="AK356" s="466"/>
      <c r="AL356" s="465"/>
      <c r="AM356" s="465"/>
      <c r="AN356" s="465"/>
      <c r="AO356" s="465"/>
      <c r="AP356" s="465"/>
      <c r="AQ356" s="465"/>
      <c r="AR356" s="465"/>
      <c r="AS356" s="465"/>
      <c r="AT356" s="465"/>
      <c r="AU356" s="465"/>
      <c r="AV356" s="465"/>
      <c r="AW356" s="467"/>
    </row>
    <row r="357" spans="1:49" x14ac:dyDescent="0.2">
      <c r="A357" s="187" t="s">
        <v>488</v>
      </c>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330"/>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row>
    <row r="358" spans="1:49" x14ac:dyDescent="0.2">
      <c r="A358" s="229"/>
      <c r="B358" s="163">
        <v>42095</v>
      </c>
      <c r="C358" s="163">
        <v>42125</v>
      </c>
      <c r="D358" s="163">
        <v>42156</v>
      </c>
      <c r="E358" s="163">
        <v>42186</v>
      </c>
      <c r="F358" s="163">
        <v>42217</v>
      </c>
      <c r="G358" s="163">
        <v>42248</v>
      </c>
      <c r="H358" s="163">
        <v>42278</v>
      </c>
      <c r="I358" s="164">
        <v>42309</v>
      </c>
      <c r="J358" s="164">
        <v>42339</v>
      </c>
      <c r="K358" s="164">
        <v>42370</v>
      </c>
      <c r="L358" s="164">
        <v>42401</v>
      </c>
      <c r="M358" s="164">
        <v>42430</v>
      </c>
      <c r="N358" s="164">
        <v>42461</v>
      </c>
      <c r="O358" s="164">
        <v>42491</v>
      </c>
      <c r="P358" s="164">
        <v>42522</v>
      </c>
      <c r="Q358" s="164">
        <v>42552</v>
      </c>
      <c r="R358" s="164">
        <v>42583</v>
      </c>
      <c r="S358" s="164">
        <v>42614</v>
      </c>
      <c r="T358" s="164">
        <v>42644</v>
      </c>
      <c r="U358" s="164">
        <v>42675</v>
      </c>
      <c r="V358" s="164">
        <v>42705</v>
      </c>
      <c r="W358" s="164">
        <v>42736</v>
      </c>
      <c r="X358" s="164">
        <v>42767</v>
      </c>
      <c r="Y358" s="164">
        <v>42795</v>
      </c>
      <c r="Z358" s="164">
        <v>42826</v>
      </c>
      <c r="AA358" s="209">
        <v>42856</v>
      </c>
      <c r="AB358" s="164">
        <v>42887</v>
      </c>
      <c r="AC358" s="209">
        <v>42917</v>
      </c>
      <c r="AD358" s="164">
        <v>42948</v>
      </c>
      <c r="AE358" s="209">
        <v>42979</v>
      </c>
      <c r="AF358" s="164">
        <v>43009</v>
      </c>
      <c r="AG358" s="209">
        <v>43040</v>
      </c>
      <c r="AH358" s="164">
        <v>43070</v>
      </c>
      <c r="AI358" s="164"/>
      <c r="AJ358" s="164"/>
      <c r="AK358" s="164"/>
      <c r="AL358" s="164"/>
      <c r="AM358" s="164"/>
      <c r="AN358" s="164"/>
      <c r="AO358" s="164"/>
      <c r="AP358" s="164"/>
      <c r="AQ358" s="164"/>
      <c r="AR358" s="164"/>
      <c r="AS358" s="164"/>
      <c r="AT358" s="164"/>
      <c r="AU358" s="164"/>
      <c r="AV358" s="164"/>
      <c r="AW358" s="164"/>
    </row>
    <row r="359" spans="1:49" x14ac:dyDescent="0.2">
      <c r="A359" s="229" t="s">
        <v>383</v>
      </c>
      <c r="B359" s="226">
        <f t="shared" ref="B359:AF359" si="34">B19</f>
        <v>108</v>
      </c>
      <c r="C359" s="226">
        <f t="shared" si="34"/>
        <v>123</v>
      </c>
      <c r="D359" s="226">
        <f t="shared" si="34"/>
        <v>106</v>
      </c>
      <c r="E359" s="226">
        <f t="shared" si="34"/>
        <v>60</v>
      </c>
      <c r="F359" s="226">
        <f t="shared" si="34"/>
        <v>38</v>
      </c>
      <c r="G359" s="226">
        <f t="shared" si="34"/>
        <v>111</v>
      </c>
      <c r="H359" s="226">
        <f t="shared" si="34"/>
        <v>77</v>
      </c>
      <c r="I359" s="226">
        <f t="shared" si="34"/>
        <v>6</v>
      </c>
      <c r="J359" s="226">
        <f t="shared" si="34"/>
        <v>11</v>
      </c>
      <c r="K359" s="226">
        <f t="shared" si="34"/>
        <v>12</v>
      </c>
      <c r="L359" s="226">
        <f t="shared" si="34"/>
        <v>17</v>
      </c>
      <c r="M359" s="226">
        <f t="shared" si="34"/>
        <v>16</v>
      </c>
      <c r="N359" s="226">
        <f t="shared" si="34"/>
        <v>204</v>
      </c>
      <c r="O359" s="226">
        <f t="shared" si="34"/>
        <v>172</v>
      </c>
      <c r="P359" s="226">
        <f t="shared" si="34"/>
        <v>176</v>
      </c>
      <c r="Q359" s="226">
        <f t="shared" si="34"/>
        <v>45</v>
      </c>
      <c r="R359" s="226">
        <f t="shared" si="34"/>
        <v>43</v>
      </c>
      <c r="S359" s="226">
        <f t="shared" si="34"/>
        <v>22</v>
      </c>
      <c r="T359" s="226">
        <f t="shared" si="34"/>
        <v>28</v>
      </c>
      <c r="U359" s="226">
        <f t="shared" si="34"/>
        <v>20</v>
      </c>
      <c r="V359" s="226">
        <f t="shared" si="34"/>
        <v>68</v>
      </c>
      <c r="W359" s="226">
        <f t="shared" si="34"/>
        <v>90</v>
      </c>
      <c r="X359" s="226">
        <f t="shared" si="34"/>
        <v>26</v>
      </c>
      <c r="Y359" s="226">
        <f t="shared" si="34"/>
        <v>29</v>
      </c>
      <c r="Z359" s="226">
        <f t="shared" si="34"/>
        <v>68</v>
      </c>
      <c r="AA359" s="226">
        <f t="shared" si="34"/>
        <v>44</v>
      </c>
      <c r="AB359" s="226">
        <f t="shared" si="34"/>
        <v>45</v>
      </c>
      <c r="AC359" s="226">
        <f t="shared" si="34"/>
        <v>69</v>
      </c>
      <c r="AD359" s="226">
        <f t="shared" si="34"/>
        <v>38</v>
      </c>
      <c r="AE359" s="226">
        <f t="shared" si="34"/>
        <v>48</v>
      </c>
      <c r="AF359" s="226">
        <f t="shared" si="34"/>
        <v>85</v>
      </c>
      <c r="AG359" s="226">
        <f t="shared" ref="AG359:AH359" si="35">AG19</f>
        <v>81</v>
      </c>
      <c r="AH359" s="226">
        <f t="shared" si="35"/>
        <v>93</v>
      </c>
      <c r="AI359" s="227"/>
      <c r="AJ359" s="227"/>
      <c r="AK359" s="227"/>
      <c r="AL359" s="227"/>
      <c r="AM359" s="227"/>
      <c r="AN359" s="227"/>
      <c r="AO359" s="227"/>
      <c r="AP359" s="227"/>
      <c r="AQ359" s="227"/>
      <c r="AR359" s="227"/>
      <c r="AS359" s="227"/>
      <c r="AT359" s="227"/>
      <c r="AU359" s="227"/>
      <c r="AV359" s="227"/>
      <c r="AW359" s="227"/>
    </row>
    <row r="360" spans="1:49" x14ac:dyDescent="0.2">
      <c r="A360" s="229" t="s">
        <v>382</v>
      </c>
      <c r="B360" s="226">
        <f t="shared" ref="B360:AF360" si="36">B20</f>
        <v>15</v>
      </c>
      <c r="C360" s="226">
        <f t="shared" si="36"/>
        <v>8</v>
      </c>
      <c r="D360" s="226">
        <f t="shared" si="36"/>
        <v>6</v>
      </c>
      <c r="E360" s="226">
        <f t="shared" si="36"/>
        <v>12</v>
      </c>
      <c r="F360" s="226">
        <f t="shared" si="36"/>
        <v>9</v>
      </c>
      <c r="G360" s="226">
        <f t="shared" si="36"/>
        <v>9</v>
      </c>
      <c r="H360" s="226">
        <f t="shared" si="36"/>
        <v>3</v>
      </c>
      <c r="I360" s="226">
        <f t="shared" si="36"/>
        <v>2</v>
      </c>
      <c r="J360" s="226">
        <f t="shared" si="36"/>
        <v>6</v>
      </c>
      <c r="K360" s="226">
        <f t="shared" si="36"/>
        <v>2</v>
      </c>
      <c r="L360" s="226">
        <f t="shared" si="36"/>
        <v>5</v>
      </c>
      <c r="M360" s="226">
        <f t="shared" si="36"/>
        <v>6</v>
      </c>
      <c r="N360" s="226">
        <f t="shared" si="36"/>
        <v>7</v>
      </c>
      <c r="O360" s="226">
        <f t="shared" si="36"/>
        <v>3</v>
      </c>
      <c r="P360" s="226">
        <f t="shared" si="36"/>
        <v>19</v>
      </c>
      <c r="Q360" s="226">
        <f t="shared" si="36"/>
        <v>5</v>
      </c>
      <c r="R360" s="226">
        <f t="shared" si="36"/>
        <v>7</v>
      </c>
      <c r="S360" s="226">
        <f t="shared" si="36"/>
        <v>4</v>
      </c>
      <c r="T360" s="226">
        <f t="shared" si="36"/>
        <v>8</v>
      </c>
      <c r="U360" s="226">
        <f t="shared" si="36"/>
        <v>4</v>
      </c>
      <c r="V360" s="226">
        <f t="shared" si="36"/>
        <v>3</v>
      </c>
      <c r="W360" s="226">
        <f t="shared" si="36"/>
        <v>10</v>
      </c>
      <c r="X360" s="226">
        <f t="shared" si="36"/>
        <v>7</v>
      </c>
      <c r="Y360" s="226">
        <f t="shared" si="36"/>
        <v>1</v>
      </c>
      <c r="Z360" s="226">
        <f t="shared" si="36"/>
        <v>6</v>
      </c>
      <c r="AA360" s="226">
        <f t="shared" si="36"/>
        <v>3</v>
      </c>
      <c r="AB360" s="226">
        <f t="shared" si="36"/>
        <v>7</v>
      </c>
      <c r="AC360" s="226">
        <f t="shared" si="36"/>
        <v>5</v>
      </c>
      <c r="AD360" s="226">
        <f t="shared" si="36"/>
        <v>5</v>
      </c>
      <c r="AE360" s="226">
        <f t="shared" si="36"/>
        <v>2</v>
      </c>
      <c r="AF360" s="226">
        <f t="shared" si="36"/>
        <v>4</v>
      </c>
      <c r="AG360" s="226">
        <f t="shared" ref="AG360:AH360" si="37">AG20</f>
        <v>8</v>
      </c>
      <c r="AH360" s="226">
        <f t="shared" si="37"/>
        <v>3</v>
      </c>
      <c r="AI360" s="227"/>
      <c r="AJ360" s="227"/>
      <c r="AK360" s="227"/>
      <c r="AL360" s="227"/>
      <c r="AM360" s="227"/>
      <c r="AN360" s="227"/>
      <c r="AO360" s="227"/>
      <c r="AP360" s="227"/>
      <c r="AQ360" s="227"/>
      <c r="AR360" s="227"/>
      <c r="AS360" s="227"/>
      <c r="AT360" s="227"/>
      <c r="AU360" s="227"/>
      <c r="AV360" s="227"/>
      <c r="AW360" s="227"/>
    </row>
    <row r="361" spans="1:49" ht="25.5" x14ac:dyDescent="0.2">
      <c r="A361" s="508" t="s">
        <v>500</v>
      </c>
      <c r="B361" s="226">
        <f t="shared" ref="B361:AF361" si="38">B21</f>
        <v>23</v>
      </c>
      <c r="C361" s="226">
        <f t="shared" si="38"/>
        <v>13</v>
      </c>
      <c r="D361" s="226">
        <f t="shared" si="38"/>
        <v>30</v>
      </c>
      <c r="E361" s="226">
        <f t="shared" si="38"/>
        <v>4</v>
      </c>
      <c r="F361" s="226">
        <f t="shared" si="38"/>
        <v>5</v>
      </c>
      <c r="G361" s="226">
        <f t="shared" si="38"/>
        <v>10</v>
      </c>
      <c r="H361" s="226">
        <f t="shared" si="38"/>
        <v>1</v>
      </c>
      <c r="I361" s="226">
        <f t="shared" si="38"/>
        <v>5</v>
      </c>
      <c r="J361" s="226">
        <f t="shared" si="38"/>
        <v>5</v>
      </c>
      <c r="K361" s="226">
        <f t="shared" si="38"/>
        <v>3</v>
      </c>
      <c r="L361" s="226">
        <f t="shared" si="38"/>
        <v>9</v>
      </c>
      <c r="M361" s="226">
        <f t="shared" si="38"/>
        <v>3</v>
      </c>
      <c r="N361" s="226">
        <f t="shared" si="38"/>
        <v>3</v>
      </c>
      <c r="O361" s="226">
        <f t="shared" si="38"/>
        <v>3</v>
      </c>
      <c r="P361" s="226">
        <f t="shared" si="38"/>
        <v>3</v>
      </c>
      <c r="Q361" s="226">
        <f t="shared" si="38"/>
        <v>5</v>
      </c>
      <c r="R361" s="226">
        <f t="shared" si="38"/>
        <v>5</v>
      </c>
      <c r="S361" s="226">
        <f t="shared" si="38"/>
        <v>1</v>
      </c>
      <c r="T361" s="226">
        <f t="shared" si="38"/>
        <v>2</v>
      </c>
      <c r="U361" s="226">
        <f t="shared" si="38"/>
        <v>9</v>
      </c>
      <c r="V361" s="226">
        <f t="shared" si="38"/>
        <v>9</v>
      </c>
      <c r="W361" s="226">
        <f t="shared" si="38"/>
        <v>6</v>
      </c>
      <c r="X361" s="226">
        <f t="shared" si="38"/>
        <v>8</v>
      </c>
      <c r="Y361" s="226">
        <f t="shared" si="38"/>
        <v>3</v>
      </c>
      <c r="Z361" s="226">
        <f t="shared" si="38"/>
        <v>4</v>
      </c>
      <c r="AA361" s="226">
        <f t="shared" si="38"/>
        <v>3</v>
      </c>
      <c r="AB361" s="226">
        <f t="shared" si="38"/>
        <v>0</v>
      </c>
      <c r="AC361" s="226">
        <f t="shared" si="38"/>
        <v>2</v>
      </c>
      <c r="AD361" s="226">
        <f t="shared" si="38"/>
        <v>4</v>
      </c>
      <c r="AE361" s="226">
        <f t="shared" si="38"/>
        <v>9</v>
      </c>
      <c r="AF361" s="226">
        <f t="shared" si="38"/>
        <v>8</v>
      </c>
      <c r="AG361" s="226">
        <f t="shared" ref="AG361:AH361" si="39">AG21</f>
        <v>8</v>
      </c>
      <c r="AH361" s="226">
        <f t="shared" si="39"/>
        <v>6</v>
      </c>
      <c r="AI361" s="227"/>
      <c r="AJ361" s="227"/>
      <c r="AK361" s="227"/>
      <c r="AL361" s="227"/>
      <c r="AM361" s="227"/>
      <c r="AN361" s="227"/>
      <c r="AO361" s="227"/>
      <c r="AP361" s="227"/>
      <c r="AQ361" s="227"/>
      <c r="AR361" s="227"/>
      <c r="AS361" s="227"/>
      <c r="AT361" s="227"/>
      <c r="AU361" s="227"/>
      <c r="AV361" s="227"/>
      <c r="AW361" s="227"/>
    </row>
    <row r="362" spans="1:49" x14ac:dyDescent="0.2">
      <c r="A362" s="229" t="s">
        <v>384</v>
      </c>
      <c r="B362" s="226">
        <f t="shared" ref="B362:AF362" si="40">B22</f>
        <v>0</v>
      </c>
      <c r="C362" s="226">
        <f t="shared" si="40"/>
        <v>0</v>
      </c>
      <c r="D362" s="226">
        <f t="shared" si="40"/>
        <v>0</v>
      </c>
      <c r="E362" s="226">
        <f t="shared" si="40"/>
        <v>0</v>
      </c>
      <c r="F362" s="226">
        <f t="shared" si="40"/>
        <v>0</v>
      </c>
      <c r="G362" s="226">
        <f t="shared" si="40"/>
        <v>0</v>
      </c>
      <c r="H362" s="226">
        <f t="shared" si="40"/>
        <v>0</v>
      </c>
      <c r="I362" s="226">
        <f t="shared" si="40"/>
        <v>0</v>
      </c>
      <c r="J362" s="226">
        <f t="shared" si="40"/>
        <v>0</v>
      </c>
      <c r="K362" s="226">
        <f t="shared" si="40"/>
        <v>0</v>
      </c>
      <c r="L362" s="226">
        <f t="shared" si="40"/>
        <v>0</v>
      </c>
      <c r="M362" s="226">
        <f t="shared" si="40"/>
        <v>0</v>
      </c>
      <c r="N362" s="226">
        <f t="shared" si="40"/>
        <v>0</v>
      </c>
      <c r="O362" s="226">
        <f t="shared" si="40"/>
        <v>0</v>
      </c>
      <c r="P362" s="226">
        <f t="shared" si="40"/>
        <v>0</v>
      </c>
      <c r="Q362" s="226">
        <f t="shared" si="40"/>
        <v>0</v>
      </c>
      <c r="R362" s="226">
        <f t="shared" si="40"/>
        <v>0</v>
      </c>
      <c r="S362" s="226">
        <f t="shared" si="40"/>
        <v>0</v>
      </c>
      <c r="T362" s="226">
        <f t="shared" si="40"/>
        <v>0</v>
      </c>
      <c r="U362" s="226">
        <f t="shared" si="40"/>
        <v>0</v>
      </c>
      <c r="V362" s="226">
        <f t="shared" si="40"/>
        <v>0</v>
      </c>
      <c r="W362" s="226">
        <f t="shared" si="40"/>
        <v>0</v>
      </c>
      <c r="X362" s="226">
        <f t="shared" si="40"/>
        <v>0</v>
      </c>
      <c r="Y362" s="226">
        <f t="shared" si="40"/>
        <v>0</v>
      </c>
      <c r="Z362" s="226">
        <f t="shared" si="40"/>
        <v>0</v>
      </c>
      <c r="AA362" s="226">
        <f t="shared" si="40"/>
        <v>0</v>
      </c>
      <c r="AB362" s="226">
        <f t="shared" si="40"/>
        <v>0</v>
      </c>
      <c r="AC362" s="226">
        <f t="shared" si="40"/>
        <v>0</v>
      </c>
      <c r="AD362" s="226">
        <f t="shared" si="40"/>
        <v>0</v>
      </c>
      <c r="AE362" s="226">
        <f t="shared" si="40"/>
        <v>0</v>
      </c>
      <c r="AF362" s="226">
        <f t="shared" si="40"/>
        <v>0</v>
      </c>
      <c r="AG362" s="226">
        <f t="shared" ref="AG362:AH362" si="41">AG22</f>
        <v>0</v>
      </c>
      <c r="AH362" s="226">
        <f t="shared" si="41"/>
        <v>0</v>
      </c>
      <c r="AI362" s="227"/>
      <c r="AJ362" s="227"/>
      <c r="AK362" s="227"/>
      <c r="AL362" s="227"/>
      <c r="AM362" s="227"/>
      <c r="AN362" s="227"/>
      <c r="AO362" s="227"/>
      <c r="AP362" s="227"/>
      <c r="AQ362" s="227"/>
      <c r="AR362" s="227"/>
      <c r="AS362" s="230"/>
      <c r="AT362" s="227"/>
      <c r="AU362" s="227"/>
      <c r="AV362" s="227"/>
      <c r="AW362" s="227"/>
    </row>
    <row r="363" spans="1:49" ht="38.25" x14ac:dyDescent="0.2">
      <c r="A363" s="509" t="s">
        <v>501</v>
      </c>
      <c r="B363" s="685">
        <f t="shared" ref="B363:AF363" si="42">B23</f>
        <v>146</v>
      </c>
      <c r="C363" s="685">
        <f t="shared" si="42"/>
        <v>144</v>
      </c>
      <c r="D363" s="685">
        <f t="shared" si="42"/>
        <v>142</v>
      </c>
      <c r="E363" s="685">
        <f t="shared" si="42"/>
        <v>76</v>
      </c>
      <c r="F363" s="685">
        <f t="shared" si="42"/>
        <v>52</v>
      </c>
      <c r="G363" s="685">
        <f t="shared" si="42"/>
        <v>130</v>
      </c>
      <c r="H363" s="685">
        <f t="shared" si="42"/>
        <v>81</v>
      </c>
      <c r="I363" s="685">
        <f t="shared" si="42"/>
        <v>13</v>
      </c>
      <c r="J363" s="685">
        <f t="shared" si="42"/>
        <v>22</v>
      </c>
      <c r="K363" s="685">
        <f t="shared" si="42"/>
        <v>17</v>
      </c>
      <c r="L363" s="685">
        <f t="shared" si="42"/>
        <v>31</v>
      </c>
      <c r="M363" s="685">
        <f t="shared" si="42"/>
        <v>25</v>
      </c>
      <c r="N363" s="685">
        <f t="shared" si="42"/>
        <v>214</v>
      </c>
      <c r="O363" s="685">
        <f t="shared" si="42"/>
        <v>178</v>
      </c>
      <c r="P363" s="685">
        <f t="shared" si="42"/>
        <v>198</v>
      </c>
      <c r="Q363" s="685">
        <f t="shared" si="42"/>
        <v>55</v>
      </c>
      <c r="R363" s="685">
        <f t="shared" si="42"/>
        <v>55</v>
      </c>
      <c r="S363" s="685">
        <f t="shared" si="42"/>
        <v>27</v>
      </c>
      <c r="T363" s="685">
        <f t="shared" si="42"/>
        <v>38</v>
      </c>
      <c r="U363" s="685">
        <f t="shared" si="42"/>
        <v>33</v>
      </c>
      <c r="V363" s="685">
        <f t="shared" si="42"/>
        <v>80</v>
      </c>
      <c r="W363" s="685">
        <f t="shared" si="42"/>
        <v>106</v>
      </c>
      <c r="X363" s="685">
        <f t="shared" si="42"/>
        <v>41</v>
      </c>
      <c r="Y363" s="685">
        <f t="shared" si="42"/>
        <v>33</v>
      </c>
      <c r="Z363" s="685">
        <f t="shared" si="42"/>
        <v>78</v>
      </c>
      <c r="AA363" s="685">
        <f t="shared" si="42"/>
        <v>50</v>
      </c>
      <c r="AB363" s="685">
        <f t="shared" si="42"/>
        <v>52</v>
      </c>
      <c r="AC363" s="685">
        <f t="shared" si="42"/>
        <v>76</v>
      </c>
      <c r="AD363" s="685">
        <f t="shared" si="42"/>
        <v>47</v>
      </c>
      <c r="AE363" s="685">
        <f t="shared" si="42"/>
        <v>59</v>
      </c>
      <c r="AF363" s="685">
        <f t="shared" si="42"/>
        <v>97</v>
      </c>
      <c r="AG363" s="685">
        <f t="shared" ref="AG363:AH363" si="43">AG23</f>
        <v>97</v>
      </c>
      <c r="AH363" s="685">
        <f t="shared" si="43"/>
        <v>102</v>
      </c>
      <c r="AI363" s="541"/>
      <c r="AJ363" s="541"/>
      <c r="AK363" s="541"/>
      <c r="AL363" s="541"/>
      <c r="AM363" s="541"/>
      <c r="AN363" s="541"/>
      <c r="AO363" s="541"/>
      <c r="AP363" s="541"/>
      <c r="AQ363" s="541"/>
      <c r="AR363" s="541"/>
      <c r="AS363" s="541"/>
      <c r="AT363" s="541"/>
      <c r="AU363" s="541"/>
      <c r="AV363" s="541"/>
      <c r="AW363" s="541"/>
    </row>
    <row r="364" spans="1:49" x14ac:dyDescent="0.2">
      <c r="A364" s="145" t="s">
        <v>385</v>
      </c>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257"/>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row>
    <row r="365" spans="1:49" ht="15" x14ac:dyDescent="0.2">
      <c r="A365" s="534" t="s">
        <v>383</v>
      </c>
      <c r="B365" s="478" t="s">
        <v>491</v>
      </c>
      <c r="C365" s="472"/>
      <c r="D365" s="626"/>
      <c r="E365" s="626"/>
      <c r="F365" s="626"/>
      <c r="G365" s="626"/>
      <c r="H365" s="626"/>
      <c r="I365" s="626"/>
      <c r="J365" s="626"/>
      <c r="K365" s="626"/>
      <c r="L365" s="626"/>
      <c r="M365" s="626"/>
      <c r="N365" s="626"/>
      <c r="O365" s="626"/>
      <c r="P365" s="626"/>
      <c r="Q365" s="626"/>
      <c r="R365" s="626"/>
      <c r="S365" s="626"/>
      <c r="T365" s="626"/>
      <c r="U365" s="626"/>
      <c r="V365" s="626"/>
      <c r="W365" s="626"/>
      <c r="X365" s="626"/>
      <c r="Y365" s="626"/>
      <c r="Z365" s="626"/>
      <c r="AA365" s="627"/>
      <c r="AB365" s="626"/>
      <c r="AC365" s="626"/>
      <c r="AD365" s="626"/>
      <c r="AE365" s="626"/>
      <c r="AF365" s="626"/>
      <c r="AG365" s="626"/>
      <c r="AH365" s="626"/>
      <c r="AI365" s="626"/>
      <c r="AJ365" s="626"/>
      <c r="AK365" s="626"/>
      <c r="AL365" s="626"/>
      <c r="AM365" s="626"/>
      <c r="AN365" s="626"/>
      <c r="AO365" s="626"/>
      <c r="AP365" s="626"/>
      <c r="AQ365" s="626"/>
      <c r="AR365" s="626"/>
      <c r="AS365" s="626"/>
      <c r="AT365" s="626"/>
      <c r="AU365" s="626"/>
      <c r="AV365" s="626"/>
      <c r="AW365" s="626"/>
    </row>
    <row r="366" spans="1:49" x14ac:dyDescent="0.2">
      <c r="A366" s="479" t="s">
        <v>130</v>
      </c>
      <c r="B366" s="626"/>
      <c r="C366" s="626"/>
      <c r="D366" s="626"/>
      <c r="E366" s="626"/>
      <c r="F366" s="626"/>
      <c r="G366" s="626"/>
      <c r="H366" s="626"/>
      <c r="I366" s="626"/>
      <c r="J366" s="626"/>
      <c r="K366" s="626"/>
      <c r="L366" s="626"/>
      <c r="M366" s="626"/>
      <c r="N366" s="626"/>
      <c r="O366" s="626"/>
      <c r="P366" s="626"/>
      <c r="Q366" s="626"/>
      <c r="R366" s="626"/>
      <c r="S366" s="626"/>
      <c r="T366" s="626"/>
      <c r="U366" s="626"/>
      <c r="V366" s="626"/>
      <c r="W366" s="626"/>
      <c r="X366" s="626"/>
      <c r="Y366" s="626"/>
      <c r="Z366" s="626"/>
      <c r="AA366" s="627"/>
      <c r="AB366" s="626"/>
      <c r="AC366" s="626"/>
      <c r="AD366" s="626"/>
      <c r="AE366" s="626"/>
      <c r="AF366" s="626"/>
      <c r="AG366" s="626"/>
      <c r="AH366" s="626"/>
      <c r="AI366" s="626"/>
      <c r="AJ366" s="626"/>
      <c r="AK366" s="626"/>
      <c r="AL366" s="626"/>
      <c r="AM366" s="626"/>
      <c r="AN366" s="626"/>
      <c r="AO366" s="626"/>
      <c r="AP366" s="626"/>
      <c r="AQ366" s="626"/>
      <c r="AR366" s="626"/>
      <c r="AS366" s="626"/>
      <c r="AT366" s="626"/>
      <c r="AU366" s="626"/>
      <c r="AV366" s="626"/>
      <c r="AW366" s="626"/>
    </row>
    <row r="367" spans="1:49" x14ac:dyDescent="0.2">
      <c r="A367" s="479" t="s">
        <v>178</v>
      </c>
      <c r="B367" s="626"/>
      <c r="C367" s="626"/>
      <c r="D367" s="626"/>
      <c r="E367" s="626"/>
      <c r="F367" s="626"/>
      <c r="G367" s="626"/>
      <c r="H367" s="626"/>
      <c r="I367" s="626"/>
      <c r="J367" s="626"/>
      <c r="K367" s="626"/>
      <c r="L367" s="626"/>
      <c r="M367" s="626"/>
      <c r="N367" s="626"/>
      <c r="O367" s="626"/>
      <c r="P367" s="626"/>
      <c r="Q367" s="626"/>
      <c r="R367" s="626"/>
      <c r="S367" s="626"/>
      <c r="T367" s="626"/>
      <c r="U367" s="626"/>
      <c r="V367" s="626"/>
      <c r="W367" s="626"/>
      <c r="X367" s="626"/>
      <c r="Y367" s="626"/>
      <c r="Z367" s="626"/>
      <c r="AA367" s="627"/>
      <c r="AB367" s="626"/>
      <c r="AC367" s="626"/>
      <c r="AD367" s="626"/>
      <c r="AE367" s="626"/>
      <c r="AF367" s="626"/>
      <c r="AG367" s="626"/>
      <c r="AH367" s="626"/>
      <c r="AI367" s="626"/>
      <c r="AJ367" s="626"/>
      <c r="AK367" s="626"/>
      <c r="AL367" s="626"/>
      <c r="AM367" s="626"/>
      <c r="AN367" s="626"/>
      <c r="AO367" s="626"/>
      <c r="AP367" s="626"/>
      <c r="AQ367" s="626"/>
      <c r="AR367" s="626"/>
      <c r="AS367" s="626"/>
      <c r="AT367" s="626"/>
      <c r="AU367" s="626"/>
      <c r="AV367" s="626"/>
      <c r="AW367" s="626"/>
    </row>
    <row r="368" spans="1:49" x14ac:dyDescent="0.2">
      <c r="A368" s="498" t="s">
        <v>466</v>
      </c>
      <c r="B368" s="628"/>
      <c r="C368" s="628">
        <f>SUM(C359-B359)</f>
        <v>15</v>
      </c>
      <c r="D368" s="628">
        <f>SUM(D359-C359)*-1</f>
        <v>17</v>
      </c>
      <c r="E368" s="628">
        <f>SUM(E359-D359)*-1</f>
        <v>46</v>
      </c>
      <c r="F368" s="628">
        <f>SUM(F359-E359)*-1</f>
        <v>22</v>
      </c>
      <c r="G368" s="628">
        <f t="shared" ref="G368:Y368" si="44">SUM(G359-F359)</f>
        <v>73</v>
      </c>
      <c r="H368" s="628">
        <f>SUM(H359-G359)*-1</f>
        <v>34</v>
      </c>
      <c r="I368" s="628">
        <f>SUM(I359-H359)*-1</f>
        <v>71</v>
      </c>
      <c r="J368" s="628">
        <f t="shared" si="44"/>
        <v>5</v>
      </c>
      <c r="K368" s="628">
        <f t="shared" si="44"/>
        <v>1</v>
      </c>
      <c r="L368" s="628">
        <f t="shared" si="44"/>
        <v>5</v>
      </c>
      <c r="M368" s="628">
        <f>SUM(M359-L359)*-1</f>
        <v>1</v>
      </c>
      <c r="N368" s="628">
        <f t="shared" si="44"/>
        <v>188</v>
      </c>
      <c r="O368" s="628">
        <f>SUM(O359-N359)*-1</f>
        <v>32</v>
      </c>
      <c r="P368" s="628">
        <f t="shared" si="44"/>
        <v>4</v>
      </c>
      <c r="Q368" s="628">
        <f>SUM(Q359-P359)*-1</f>
        <v>131</v>
      </c>
      <c r="R368" s="628">
        <f>SUM(R359-Q359)*-1</f>
        <v>2</v>
      </c>
      <c r="S368" s="628">
        <f>SUM(S359-R359)*-1</f>
        <v>21</v>
      </c>
      <c r="T368" s="628">
        <f t="shared" si="44"/>
        <v>6</v>
      </c>
      <c r="U368" s="628">
        <f>SUM(U359-T359)*-1</f>
        <v>8</v>
      </c>
      <c r="V368" s="628">
        <f t="shared" si="44"/>
        <v>48</v>
      </c>
      <c r="W368" s="628">
        <f t="shared" si="44"/>
        <v>22</v>
      </c>
      <c r="X368" s="628">
        <f>SUM(X359-W359)*-1</f>
        <v>64</v>
      </c>
      <c r="Y368" s="628">
        <f t="shared" si="44"/>
        <v>3</v>
      </c>
      <c r="Z368" s="628">
        <f>SUM(Z359-Y359)</f>
        <v>39</v>
      </c>
      <c r="AA368" s="628">
        <f>SUM(AA359-Z359)*-1</f>
        <v>24</v>
      </c>
      <c r="AB368" s="628">
        <f>SUM(AB359-AA359)</f>
        <v>1</v>
      </c>
      <c r="AC368" s="628">
        <f>SUM(AC359-AB359)</f>
        <v>24</v>
      </c>
      <c r="AD368" s="628">
        <f>SUM(AD359-AC359)*-1</f>
        <v>31</v>
      </c>
      <c r="AE368" s="628">
        <f>SUM(AE359-AD359)</f>
        <v>10</v>
      </c>
      <c r="AF368" s="628">
        <f>SUM(AF359-AE359)</f>
        <v>37</v>
      </c>
      <c r="AG368" s="628">
        <f>SUM(AG359-AF359)*-1</f>
        <v>4</v>
      </c>
      <c r="AH368" s="628">
        <f>SUM(AH359-AG359)</f>
        <v>12</v>
      </c>
      <c r="AI368" s="497" t="s">
        <v>368</v>
      </c>
      <c r="AJ368" s="497" t="s">
        <v>368</v>
      </c>
      <c r="AK368" s="497" t="s">
        <v>368</v>
      </c>
      <c r="AL368" s="497" t="s">
        <v>368</v>
      </c>
      <c r="AM368" s="497" t="s">
        <v>368</v>
      </c>
      <c r="AN368" s="497" t="s">
        <v>368</v>
      </c>
      <c r="AO368" s="497" t="s">
        <v>368</v>
      </c>
      <c r="AP368" s="497" t="s">
        <v>368</v>
      </c>
      <c r="AQ368" s="497" t="s">
        <v>368</v>
      </c>
      <c r="AR368" s="497" t="s">
        <v>368</v>
      </c>
      <c r="AS368" s="497" t="s">
        <v>368</v>
      </c>
      <c r="AT368" s="497" t="s">
        <v>368</v>
      </c>
      <c r="AU368" s="497" t="s">
        <v>368</v>
      </c>
      <c r="AV368" s="497" t="s">
        <v>368</v>
      </c>
      <c r="AW368" s="497" t="s">
        <v>368</v>
      </c>
    </row>
    <row r="369" spans="1:49" ht="53.25" x14ac:dyDescent="0.2">
      <c r="A369" s="471" t="s">
        <v>497</v>
      </c>
      <c r="B369" s="626"/>
      <c r="C369" s="626"/>
      <c r="D369" s="626"/>
      <c r="E369" s="626"/>
      <c r="F369" s="626"/>
      <c r="G369" s="626"/>
      <c r="H369" s="626"/>
      <c r="I369" s="626"/>
      <c r="J369" s="626"/>
      <c r="K369" s="626"/>
      <c r="L369" s="626"/>
      <c r="M369" s="626"/>
      <c r="N369" s="626"/>
      <c r="O369" s="626"/>
      <c r="P369" s="626"/>
      <c r="Q369" s="626"/>
      <c r="R369" s="626"/>
      <c r="S369" s="626"/>
      <c r="T369" s="626"/>
      <c r="U369" s="626"/>
      <c r="V369" s="626"/>
      <c r="W369" s="626"/>
      <c r="X369" s="626"/>
      <c r="Y369" s="626"/>
      <c r="Z369" s="626"/>
      <c r="AA369" s="627"/>
      <c r="AB369" s="626"/>
      <c r="AC369" s="626"/>
      <c r="AD369" s="626"/>
      <c r="AE369" s="626"/>
      <c r="AF369" s="626"/>
      <c r="AG369" s="626"/>
      <c r="AH369" s="626"/>
      <c r="AI369" s="626"/>
      <c r="AJ369" s="626"/>
      <c r="AK369" s="626"/>
      <c r="AL369" s="626"/>
      <c r="AM369" s="626"/>
      <c r="AN369" s="626"/>
      <c r="AO369" s="626"/>
      <c r="AP369" s="626"/>
      <c r="AQ369" s="626"/>
      <c r="AR369" s="626"/>
      <c r="AS369" s="626"/>
      <c r="AT369" s="626"/>
      <c r="AU369" s="626"/>
      <c r="AV369" s="626"/>
      <c r="AW369" s="626"/>
    </row>
    <row r="370" spans="1:49" x14ac:dyDescent="0.2">
      <c r="A370" s="506" t="s">
        <v>468</v>
      </c>
      <c r="B370" s="629">
        <f t="shared" ref="B370:AW370" si="45">AVERAGE($B$359:$AW$359)</f>
        <v>66.030303030303031</v>
      </c>
      <c r="C370" s="629">
        <f t="shared" si="45"/>
        <v>66.030303030303031</v>
      </c>
      <c r="D370" s="629">
        <f t="shared" si="45"/>
        <v>66.030303030303031</v>
      </c>
      <c r="E370" s="629">
        <f t="shared" si="45"/>
        <v>66.030303030303031</v>
      </c>
      <c r="F370" s="629">
        <f t="shared" si="45"/>
        <v>66.030303030303031</v>
      </c>
      <c r="G370" s="629">
        <f t="shared" si="45"/>
        <v>66.030303030303031</v>
      </c>
      <c r="H370" s="629">
        <f t="shared" si="45"/>
        <v>66.030303030303031</v>
      </c>
      <c r="I370" s="629">
        <f t="shared" si="45"/>
        <v>66.030303030303031</v>
      </c>
      <c r="J370" s="629">
        <f t="shared" si="45"/>
        <v>66.030303030303031</v>
      </c>
      <c r="K370" s="629">
        <f t="shared" si="45"/>
        <v>66.030303030303031</v>
      </c>
      <c r="L370" s="629">
        <f t="shared" si="45"/>
        <v>66.030303030303031</v>
      </c>
      <c r="M370" s="629">
        <f t="shared" si="45"/>
        <v>66.030303030303031</v>
      </c>
      <c r="N370" s="629">
        <f t="shared" si="45"/>
        <v>66.030303030303031</v>
      </c>
      <c r="O370" s="629">
        <f t="shared" si="45"/>
        <v>66.030303030303031</v>
      </c>
      <c r="P370" s="629">
        <f t="shared" si="45"/>
        <v>66.030303030303031</v>
      </c>
      <c r="Q370" s="629">
        <f t="shared" si="45"/>
        <v>66.030303030303031</v>
      </c>
      <c r="R370" s="629">
        <f t="shared" si="45"/>
        <v>66.030303030303031</v>
      </c>
      <c r="S370" s="629">
        <f t="shared" si="45"/>
        <v>66.030303030303031</v>
      </c>
      <c r="T370" s="629">
        <f t="shared" si="45"/>
        <v>66.030303030303031</v>
      </c>
      <c r="U370" s="629">
        <f t="shared" si="45"/>
        <v>66.030303030303031</v>
      </c>
      <c r="V370" s="629">
        <f t="shared" si="45"/>
        <v>66.030303030303031</v>
      </c>
      <c r="W370" s="629">
        <f t="shared" si="45"/>
        <v>66.030303030303031</v>
      </c>
      <c r="X370" s="629">
        <f t="shared" si="45"/>
        <v>66.030303030303031</v>
      </c>
      <c r="Y370" s="629">
        <f t="shared" si="45"/>
        <v>66.030303030303031</v>
      </c>
      <c r="Z370" s="629">
        <f t="shared" si="45"/>
        <v>66.030303030303031</v>
      </c>
      <c r="AA370" s="630">
        <f t="shared" si="45"/>
        <v>66.030303030303031</v>
      </c>
      <c r="AB370" s="629">
        <f t="shared" si="45"/>
        <v>66.030303030303031</v>
      </c>
      <c r="AC370" s="629">
        <f t="shared" si="45"/>
        <v>66.030303030303031</v>
      </c>
      <c r="AD370" s="629">
        <f t="shared" si="45"/>
        <v>66.030303030303031</v>
      </c>
      <c r="AE370" s="629">
        <f t="shared" si="45"/>
        <v>66.030303030303031</v>
      </c>
      <c r="AF370" s="629">
        <f t="shared" si="45"/>
        <v>66.030303030303031</v>
      </c>
      <c r="AG370" s="629">
        <f t="shared" si="45"/>
        <v>66.030303030303031</v>
      </c>
      <c r="AH370" s="629">
        <f t="shared" si="45"/>
        <v>66.030303030303031</v>
      </c>
      <c r="AI370" s="629">
        <f t="shared" si="45"/>
        <v>66.030303030303031</v>
      </c>
      <c r="AJ370" s="629">
        <f t="shared" si="45"/>
        <v>66.030303030303031</v>
      </c>
      <c r="AK370" s="629">
        <f t="shared" si="45"/>
        <v>66.030303030303031</v>
      </c>
      <c r="AL370" s="629">
        <f t="shared" si="45"/>
        <v>66.030303030303031</v>
      </c>
      <c r="AM370" s="629">
        <f t="shared" si="45"/>
        <v>66.030303030303031</v>
      </c>
      <c r="AN370" s="629">
        <f t="shared" si="45"/>
        <v>66.030303030303031</v>
      </c>
      <c r="AO370" s="629">
        <f t="shared" si="45"/>
        <v>66.030303030303031</v>
      </c>
      <c r="AP370" s="629">
        <f t="shared" si="45"/>
        <v>66.030303030303031</v>
      </c>
      <c r="AQ370" s="629">
        <f t="shared" si="45"/>
        <v>66.030303030303031</v>
      </c>
      <c r="AR370" s="629">
        <f t="shared" si="45"/>
        <v>66.030303030303031</v>
      </c>
      <c r="AS370" s="629">
        <f t="shared" si="45"/>
        <v>66.030303030303031</v>
      </c>
      <c r="AT370" s="629">
        <f t="shared" si="45"/>
        <v>66.030303030303031</v>
      </c>
      <c r="AU370" s="629">
        <f t="shared" si="45"/>
        <v>66.030303030303031</v>
      </c>
      <c r="AV370" s="629">
        <f t="shared" si="45"/>
        <v>66.030303030303031</v>
      </c>
      <c r="AW370" s="629">
        <f t="shared" si="45"/>
        <v>66.030303030303031</v>
      </c>
    </row>
    <row r="371" spans="1:49" x14ac:dyDescent="0.2">
      <c r="A371" s="470" t="s">
        <v>467</v>
      </c>
      <c r="B371" s="629">
        <f>SUM(C368:AW368)/COUNT(C368:AW368)</f>
        <v>31.28125</v>
      </c>
      <c r="C371" s="626"/>
      <c r="D371" s="626"/>
      <c r="E371" s="626"/>
      <c r="F371" s="626"/>
      <c r="G371" s="626"/>
      <c r="H371" s="626"/>
      <c r="I371" s="626"/>
      <c r="J371" s="626"/>
      <c r="K371" s="626"/>
      <c r="L371" s="626"/>
      <c r="M371" s="626"/>
      <c r="N371" s="626"/>
      <c r="O371" s="626"/>
      <c r="P371" s="626"/>
      <c r="Q371" s="626"/>
      <c r="R371" s="626"/>
      <c r="S371" s="626"/>
      <c r="T371" s="626"/>
      <c r="U371" s="626"/>
      <c r="V371" s="626"/>
      <c r="W371" s="626"/>
      <c r="X371" s="626"/>
      <c r="Y371" s="626"/>
      <c r="Z371" s="626"/>
      <c r="AA371" s="627"/>
      <c r="AB371" s="626"/>
      <c r="AC371" s="626"/>
      <c r="AD371" s="626"/>
      <c r="AE371" s="626"/>
      <c r="AF371" s="626"/>
      <c r="AG371" s="626"/>
      <c r="AH371" s="626"/>
      <c r="AI371" s="626"/>
      <c r="AJ371" s="626"/>
      <c r="AK371" s="626"/>
      <c r="AL371" s="626"/>
      <c r="AM371" s="626"/>
      <c r="AN371" s="626"/>
      <c r="AO371" s="626"/>
      <c r="AP371" s="626"/>
      <c r="AQ371" s="626"/>
      <c r="AR371" s="626"/>
      <c r="AS371" s="626"/>
      <c r="AT371" s="626"/>
      <c r="AU371" s="626"/>
      <c r="AV371" s="626"/>
      <c r="AW371" s="626"/>
    </row>
    <row r="372" spans="1:49" ht="25.5" x14ac:dyDescent="0.2">
      <c r="A372" s="470" t="s">
        <v>470</v>
      </c>
      <c r="B372" s="629">
        <f>SUM(B371/1.128)</f>
        <v>27.731604609929082</v>
      </c>
      <c r="C372" s="626"/>
      <c r="D372" s="626"/>
      <c r="E372" s="626"/>
      <c r="F372" s="626"/>
      <c r="G372" s="626"/>
      <c r="H372" s="626"/>
      <c r="I372" s="626"/>
      <c r="J372" s="626"/>
      <c r="K372" s="626"/>
      <c r="L372" s="626"/>
      <c r="M372" s="626"/>
      <c r="N372" s="626"/>
      <c r="O372" s="626"/>
      <c r="P372" s="626"/>
      <c r="Q372" s="626"/>
      <c r="R372" s="626"/>
      <c r="S372" s="626"/>
      <c r="T372" s="626"/>
      <c r="U372" s="626"/>
      <c r="V372" s="626"/>
      <c r="W372" s="626"/>
      <c r="X372" s="626"/>
      <c r="Y372" s="626"/>
      <c r="Z372" s="626"/>
      <c r="AA372" s="627"/>
      <c r="AB372" s="626"/>
      <c r="AC372" s="626"/>
      <c r="AD372" s="626"/>
      <c r="AE372" s="626"/>
      <c r="AF372" s="626"/>
      <c r="AG372" s="626"/>
      <c r="AH372" s="626"/>
      <c r="AI372" s="626"/>
      <c r="AJ372" s="626"/>
      <c r="AK372" s="626"/>
      <c r="AL372" s="626"/>
      <c r="AM372" s="626"/>
      <c r="AN372" s="626"/>
      <c r="AO372" s="626"/>
      <c r="AP372" s="626"/>
      <c r="AQ372" s="626"/>
      <c r="AR372" s="626"/>
      <c r="AS372" s="626"/>
      <c r="AT372" s="626"/>
      <c r="AU372" s="626"/>
      <c r="AV372" s="626"/>
      <c r="AW372" s="626"/>
    </row>
    <row r="373" spans="1:49" x14ac:dyDescent="0.2">
      <c r="A373" s="470" t="s">
        <v>473</v>
      </c>
      <c r="B373" s="629">
        <f t="shared" ref="B373:AW373" si="46">$B$370 + (3*$B$372)</f>
        <v>149.22511686009028</v>
      </c>
      <c r="C373" s="629">
        <f t="shared" si="46"/>
        <v>149.22511686009028</v>
      </c>
      <c r="D373" s="629">
        <f t="shared" si="46"/>
        <v>149.22511686009028</v>
      </c>
      <c r="E373" s="629">
        <f t="shared" si="46"/>
        <v>149.22511686009028</v>
      </c>
      <c r="F373" s="629">
        <f t="shared" si="46"/>
        <v>149.22511686009028</v>
      </c>
      <c r="G373" s="629">
        <f t="shared" si="46"/>
        <v>149.22511686009028</v>
      </c>
      <c r="H373" s="629">
        <f t="shared" si="46"/>
        <v>149.22511686009028</v>
      </c>
      <c r="I373" s="629">
        <f t="shared" si="46"/>
        <v>149.22511686009028</v>
      </c>
      <c r="J373" s="629">
        <f t="shared" si="46"/>
        <v>149.22511686009028</v>
      </c>
      <c r="K373" s="629">
        <f t="shared" si="46"/>
        <v>149.22511686009028</v>
      </c>
      <c r="L373" s="629">
        <f t="shared" si="46"/>
        <v>149.22511686009028</v>
      </c>
      <c r="M373" s="629">
        <f t="shared" si="46"/>
        <v>149.22511686009028</v>
      </c>
      <c r="N373" s="629">
        <f t="shared" si="46"/>
        <v>149.22511686009028</v>
      </c>
      <c r="O373" s="629">
        <f t="shared" si="46"/>
        <v>149.22511686009028</v>
      </c>
      <c r="P373" s="629">
        <f t="shared" si="46"/>
        <v>149.22511686009028</v>
      </c>
      <c r="Q373" s="629">
        <f t="shared" si="46"/>
        <v>149.22511686009028</v>
      </c>
      <c r="R373" s="629">
        <f t="shared" si="46"/>
        <v>149.22511686009028</v>
      </c>
      <c r="S373" s="629">
        <f t="shared" si="46"/>
        <v>149.22511686009028</v>
      </c>
      <c r="T373" s="629">
        <f t="shared" si="46"/>
        <v>149.22511686009028</v>
      </c>
      <c r="U373" s="629">
        <f t="shared" si="46"/>
        <v>149.22511686009028</v>
      </c>
      <c r="V373" s="629">
        <f t="shared" si="46"/>
        <v>149.22511686009028</v>
      </c>
      <c r="W373" s="629">
        <f t="shared" si="46"/>
        <v>149.22511686009028</v>
      </c>
      <c r="X373" s="629">
        <f t="shared" si="46"/>
        <v>149.22511686009028</v>
      </c>
      <c r="Y373" s="629">
        <f t="shared" si="46"/>
        <v>149.22511686009028</v>
      </c>
      <c r="Z373" s="629">
        <f t="shared" si="46"/>
        <v>149.22511686009028</v>
      </c>
      <c r="AA373" s="629">
        <f t="shared" si="46"/>
        <v>149.22511686009028</v>
      </c>
      <c r="AB373" s="629">
        <f t="shared" si="46"/>
        <v>149.22511686009028</v>
      </c>
      <c r="AC373" s="629">
        <f t="shared" si="46"/>
        <v>149.22511686009028</v>
      </c>
      <c r="AD373" s="629">
        <f t="shared" si="46"/>
        <v>149.22511686009028</v>
      </c>
      <c r="AE373" s="629">
        <f t="shared" si="46"/>
        <v>149.22511686009028</v>
      </c>
      <c r="AF373" s="629">
        <f t="shared" si="46"/>
        <v>149.22511686009028</v>
      </c>
      <c r="AG373" s="629">
        <f t="shared" si="46"/>
        <v>149.22511686009028</v>
      </c>
      <c r="AH373" s="629">
        <f t="shared" si="46"/>
        <v>149.22511686009028</v>
      </c>
      <c r="AI373" s="629">
        <f t="shared" si="46"/>
        <v>149.22511686009028</v>
      </c>
      <c r="AJ373" s="629">
        <f t="shared" si="46"/>
        <v>149.22511686009028</v>
      </c>
      <c r="AK373" s="629">
        <f t="shared" si="46"/>
        <v>149.22511686009028</v>
      </c>
      <c r="AL373" s="629">
        <f t="shared" si="46"/>
        <v>149.22511686009028</v>
      </c>
      <c r="AM373" s="629">
        <f t="shared" si="46"/>
        <v>149.22511686009028</v>
      </c>
      <c r="AN373" s="629">
        <f t="shared" si="46"/>
        <v>149.22511686009028</v>
      </c>
      <c r="AO373" s="629">
        <f t="shared" si="46"/>
        <v>149.22511686009028</v>
      </c>
      <c r="AP373" s="629">
        <f t="shared" si="46"/>
        <v>149.22511686009028</v>
      </c>
      <c r="AQ373" s="629">
        <f t="shared" si="46"/>
        <v>149.22511686009028</v>
      </c>
      <c r="AR373" s="629">
        <f t="shared" si="46"/>
        <v>149.22511686009028</v>
      </c>
      <c r="AS373" s="629">
        <f t="shared" si="46"/>
        <v>149.22511686009028</v>
      </c>
      <c r="AT373" s="629">
        <f t="shared" si="46"/>
        <v>149.22511686009028</v>
      </c>
      <c r="AU373" s="629">
        <f t="shared" si="46"/>
        <v>149.22511686009028</v>
      </c>
      <c r="AV373" s="629">
        <f t="shared" si="46"/>
        <v>149.22511686009028</v>
      </c>
      <c r="AW373" s="629">
        <f t="shared" si="46"/>
        <v>149.22511686009028</v>
      </c>
    </row>
    <row r="374" spans="1:49" x14ac:dyDescent="0.2">
      <c r="A374" s="470" t="s">
        <v>475</v>
      </c>
      <c r="B374" s="629">
        <f t="shared" ref="B374:AW374" si="47">$B$370 - (3*$B$372)</f>
        <v>-17.164510799484219</v>
      </c>
      <c r="C374" s="629">
        <f t="shared" si="47"/>
        <v>-17.164510799484219</v>
      </c>
      <c r="D374" s="629">
        <f t="shared" si="47"/>
        <v>-17.164510799484219</v>
      </c>
      <c r="E374" s="629">
        <f t="shared" si="47"/>
        <v>-17.164510799484219</v>
      </c>
      <c r="F374" s="629">
        <f t="shared" si="47"/>
        <v>-17.164510799484219</v>
      </c>
      <c r="G374" s="629">
        <f t="shared" si="47"/>
        <v>-17.164510799484219</v>
      </c>
      <c r="H374" s="629">
        <f t="shared" si="47"/>
        <v>-17.164510799484219</v>
      </c>
      <c r="I374" s="629">
        <f t="shared" si="47"/>
        <v>-17.164510799484219</v>
      </c>
      <c r="J374" s="629">
        <f t="shared" si="47"/>
        <v>-17.164510799484219</v>
      </c>
      <c r="K374" s="629">
        <f t="shared" si="47"/>
        <v>-17.164510799484219</v>
      </c>
      <c r="L374" s="629">
        <f t="shared" si="47"/>
        <v>-17.164510799484219</v>
      </c>
      <c r="M374" s="629">
        <f t="shared" si="47"/>
        <v>-17.164510799484219</v>
      </c>
      <c r="N374" s="629">
        <f t="shared" si="47"/>
        <v>-17.164510799484219</v>
      </c>
      <c r="O374" s="629">
        <f t="shared" si="47"/>
        <v>-17.164510799484219</v>
      </c>
      <c r="P374" s="629">
        <f t="shared" si="47"/>
        <v>-17.164510799484219</v>
      </c>
      <c r="Q374" s="629">
        <f t="shared" si="47"/>
        <v>-17.164510799484219</v>
      </c>
      <c r="R374" s="629">
        <f t="shared" si="47"/>
        <v>-17.164510799484219</v>
      </c>
      <c r="S374" s="629">
        <f t="shared" si="47"/>
        <v>-17.164510799484219</v>
      </c>
      <c r="T374" s="629">
        <f t="shared" si="47"/>
        <v>-17.164510799484219</v>
      </c>
      <c r="U374" s="629">
        <f t="shared" si="47"/>
        <v>-17.164510799484219</v>
      </c>
      <c r="V374" s="629">
        <f t="shared" si="47"/>
        <v>-17.164510799484219</v>
      </c>
      <c r="W374" s="629">
        <f t="shared" si="47"/>
        <v>-17.164510799484219</v>
      </c>
      <c r="X374" s="629">
        <f t="shared" si="47"/>
        <v>-17.164510799484219</v>
      </c>
      <c r="Y374" s="629">
        <f t="shared" si="47"/>
        <v>-17.164510799484219</v>
      </c>
      <c r="Z374" s="629">
        <f t="shared" si="47"/>
        <v>-17.164510799484219</v>
      </c>
      <c r="AA374" s="629">
        <f t="shared" si="47"/>
        <v>-17.164510799484219</v>
      </c>
      <c r="AB374" s="629">
        <f t="shared" si="47"/>
        <v>-17.164510799484219</v>
      </c>
      <c r="AC374" s="629">
        <f t="shared" si="47"/>
        <v>-17.164510799484219</v>
      </c>
      <c r="AD374" s="629">
        <f t="shared" si="47"/>
        <v>-17.164510799484219</v>
      </c>
      <c r="AE374" s="629">
        <f t="shared" si="47"/>
        <v>-17.164510799484219</v>
      </c>
      <c r="AF374" s="629">
        <f t="shared" si="47"/>
        <v>-17.164510799484219</v>
      </c>
      <c r="AG374" s="629">
        <f t="shared" si="47"/>
        <v>-17.164510799484219</v>
      </c>
      <c r="AH374" s="629">
        <f t="shared" si="47"/>
        <v>-17.164510799484219</v>
      </c>
      <c r="AI374" s="629">
        <f t="shared" si="47"/>
        <v>-17.164510799484219</v>
      </c>
      <c r="AJ374" s="629">
        <f t="shared" si="47"/>
        <v>-17.164510799484219</v>
      </c>
      <c r="AK374" s="629">
        <f t="shared" si="47"/>
        <v>-17.164510799484219</v>
      </c>
      <c r="AL374" s="629">
        <f t="shared" si="47"/>
        <v>-17.164510799484219</v>
      </c>
      <c r="AM374" s="629">
        <f t="shared" si="47"/>
        <v>-17.164510799484219</v>
      </c>
      <c r="AN374" s="629">
        <f t="shared" si="47"/>
        <v>-17.164510799484219</v>
      </c>
      <c r="AO374" s="629">
        <f t="shared" si="47"/>
        <v>-17.164510799484219</v>
      </c>
      <c r="AP374" s="629">
        <f t="shared" si="47"/>
        <v>-17.164510799484219</v>
      </c>
      <c r="AQ374" s="629">
        <f t="shared" si="47"/>
        <v>-17.164510799484219</v>
      </c>
      <c r="AR374" s="629">
        <f t="shared" si="47"/>
        <v>-17.164510799484219</v>
      </c>
      <c r="AS374" s="629">
        <f t="shared" si="47"/>
        <v>-17.164510799484219</v>
      </c>
      <c r="AT374" s="629">
        <f t="shared" si="47"/>
        <v>-17.164510799484219</v>
      </c>
      <c r="AU374" s="629">
        <f t="shared" si="47"/>
        <v>-17.164510799484219</v>
      </c>
      <c r="AV374" s="629">
        <f t="shared" si="47"/>
        <v>-17.164510799484219</v>
      </c>
      <c r="AW374" s="629">
        <f t="shared" si="47"/>
        <v>-17.164510799484219</v>
      </c>
    </row>
    <row r="375" spans="1:49" x14ac:dyDescent="0.2">
      <c r="A375" s="468"/>
      <c r="B375" s="626"/>
      <c r="C375" s="626"/>
      <c r="D375" s="626"/>
      <c r="E375" s="626"/>
      <c r="F375" s="626"/>
      <c r="G375" s="626"/>
      <c r="H375" s="626"/>
      <c r="I375" s="626"/>
      <c r="J375" s="626"/>
      <c r="K375" s="626"/>
      <c r="L375" s="626"/>
      <c r="M375" s="626"/>
      <c r="N375" s="626"/>
      <c r="O375" s="626"/>
      <c r="P375" s="626"/>
      <c r="Q375" s="626"/>
      <c r="R375" s="626"/>
      <c r="S375" s="626"/>
      <c r="T375" s="626"/>
      <c r="U375" s="626"/>
      <c r="V375" s="626"/>
      <c r="W375" s="626"/>
      <c r="X375" s="626"/>
      <c r="Y375" s="626"/>
      <c r="Z375" s="626"/>
      <c r="AA375" s="627"/>
      <c r="AB375" s="626"/>
      <c r="AC375" s="626"/>
      <c r="AD375" s="626"/>
      <c r="AE375" s="626"/>
      <c r="AF375" s="626"/>
      <c r="AG375" s="626"/>
      <c r="AH375" s="626"/>
      <c r="AI375" s="626"/>
      <c r="AJ375" s="626"/>
      <c r="AK375" s="626"/>
      <c r="AL375" s="626"/>
      <c r="AM375" s="626"/>
      <c r="AN375" s="626"/>
      <c r="AO375" s="626"/>
      <c r="AP375" s="626"/>
      <c r="AQ375" s="626"/>
      <c r="AR375" s="626"/>
      <c r="AS375" s="626"/>
      <c r="AT375" s="626"/>
      <c r="AU375" s="626"/>
      <c r="AV375" s="626"/>
      <c r="AW375" s="626"/>
    </row>
    <row r="376" spans="1:49" ht="15" x14ac:dyDescent="0.2">
      <c r="A376" s="534" t="s">
        <v>382</v>
      </c>
      <c r="B376" s="478" t="s">
        <v>491</v>
      </c>
      <c r="C376" s="472"/>
      <c r="D376" s="626"/>
      <c r="E376" s="626"/>
      <c r="F376" s="626"/>
      <c r="G376" s="626"/>
      <c r="H376" s="626"/>
      <c r="I376" s="626"/>
      <c r="J376" s="626"/>
      <c r="K376" s="626"/>
      <c r="L376" s="626"/>
      <c r="M376" s="626"/>
      <c r="N376" s="626"/>
      <c r="O376" s="626"/>
      <c r="P376" s="626"/>
      <c r="Q376" s="626"/>
      <c r="R376" s="626"/>
      <c r="S376" s="626"/>
      <c r="T376" s="626"/>
      <c r="U376" s="626"/>
      <c r="V376" s="626"/>
      <c r="W376" s="626"/>
      <c r="X376" s="626"/>
      <c r="Y376" s="626"/>
      <c r="Z376" s="626"/>
      <c r="AA376" s="627"/>
      <c r="AB376" s="626"/>
      <c r="AC376" s="626"/>
      <c r="AD376" s="626"/>
      <c r="AE376" s="626"/>
      <c r="AF376" s="626"/>
      <c r="AG376" s="626"/>
      <c r="AH376" s="626"/>
      <c r="AI376" s="626"/>
      <c r="AJ376" s="626"/>
      <c r="AK376" s="626"/>
      <c r="AL376" s="626"/>
      <c r="AM376" s="626"/>
      <c r="AN376" s="626"/>
      <c r="AO376" s="626"/>
      <c r="AP376" s="626"/>
      <c r="AQ376" s="626"/>
      <c r="AR376" s="626"/>
      <c r="AS376" s="626"/>
      <c r="AT376" s="626"/>
      <c r="AU376" s="626"/>
      <c r="AV376" s="626"/>
      <c r="AW376" s="626"/>
    </row>
    <row r="377" spans="1:49" x14ac:dyDescent="0.2">
      <c r="A377" s="479" t="s">
        <v>130</v>
      </c>
      <c r="B377" s="626"/>
      <c r="C377" s="626"/>
      <c r="D377" s="626"/>
      <c r="E377" s="626"/>
      <c r="F377" s="626"/>
      <c r="G377" s="626"/>
      <c r="H377" s="626"/>
      <c r="I377" s="626"/>
      <c r="J377" s="626"/>
      <c r="K377" s="626"/>
      <c r="L377" s="626"/>
      <c r="M377" s="626"/>
      <c r="N377" s="626"/>
      <c r="O377" s="626"/>
      <c r="P377" s="626"/>
      <c r="Q377" s="626"/>
      <c r="R377" s="626"/>
      <c r="S377" s="626"/>
      <c r="T377" s="626"/>
      <c r="U377" s="626"/>
      <c r="V377" s="626"/>
      <c r="W377" s="626"/>
      <c r="X377" s="626"/>
      <c r="Y377" s="626"/>
      <c r="Z377" s="626"/>
      <c r="AA377" s="627"/>
      <c r="AB377" s="626"/>
      <c r="AC377" s="626"/>
      <c r="AD377" s="626"/>
      <c r="AE377" s="626"/>
      <c r="AF377" s="626"/>
      <c r="AG377" s="626"/>
      <c r="AH377" s="626"/>
      <c r="AI377" s="626"/>
      <c r="AJ377" s="626"/>
      <c r="AK377" s="626"/>
      <c r="AL377" s="626"/>
      <c r="AM377" s="626"/>
      <c r="AN377" s="626"/>
      <c r="AO377" s="626"/>
      <c r="AP377" s="626"/>
      <c r="AQ377" s="626"/>
      <c r="AR377" s="626"/>
      <c r="AS377" s="626"/>
      <c r="AT377" s="626"/>
      <c r="AU377" s="626"/>
      <c r="AV377" s="626"/>
      <c r="AW377" s="626"/>
    </row>
    <row r="378" spans="1:49" x14ac:dyDescent="0.2">
      <c r="A378" s="479" t="s">
        <v>178</v>
      </c>
      <c r="B378" s="626"/>
      <c r="C378" s="626"/>
      <c r="D378" s="626"/>
      <c r="E378" s="626"/>
      <c r="F378" s="626"/>
      <c r="G378" s="626"/>
      <c r="H378" s="626"/>
      <c r="I378" s="626"/>
      <c r="J378" s="626"/>
      <c r="K378" s="626"/>
      <c r="L378" s="626"/>
      <c r="M378" s="626"/>
      <c r="N378" s="626"/>
      <c r="O378" s="626"/>
      <c r="P378" s="626"/>
      <c r="Q378" s="626"/>
      <c r="R378" s="626"/>
      <c r="S378" s="626"/>
      <c r="T378" s="626"/>
      <c r="U378" s="626"/>
      <c r="V378" s="626"/>
      <c r="W378" s="626"/>
      <c r="X378" s="626"/>
      <c r="Y378" s="626"/>
      <c r="Z378" s="626"/>
      <c r="AA378" s="627"/>
      <c r="AB378" s="626"/>
      <c r="AC378" s="626"/>
      <c r="AD378" s="626"/>
      <c r="AE378" s="626"/>
      <c r="AF378" s="626"/>
      <c r="AG378" s="626"/>
      <c r="AH378" s="626"/>
      <c r="AI378" s="626"/>
      <c r="AJ378" s="626"/>
      <c r="AK378" s="626"/>
      <c r="AL378" s="626"/>
      <c r="AM378" s="626"/>
      <c r="AN378" s="626"/>
      <c r="AO378" s="626"/>
      <c r="AP378" s="626"/>
      <c r="AQ378" s="626"/>
      <c r="AR378" s="626"/>
      <c r="AS378" s="626"/>
      <c r="AT378" s="626"/>
      <c r="AU378" s="626"/>
      <c r="AV378" s="626"/>
      <c r="AW378" s="626"/>
    </row>
    <row r="379" spans="1:49" x14ac:dyDescent="0.2">
      <c r="A379" s="498" t="s">
        <v>466</v>
      </c>
      <c r="B379" s="628"/>
      <c r="C379" s="631">
        <f>SUM(C360-B360)*-1</f>
        <v>7</v>
      </c>
      <c r="D379" s="631">
        <f>SUM(D360-C360)*-1</f>
        <v>2</v>
      </c>
      <c r="E379" s="631">
        <f t="shared" ref="E379:W379" si="48">SUM(E360-D360)</f>
        <v>6</v>
      </c>
      <c r="F379" s="631">
        <f>SUM(F360-E360)*-1</f>
        <v>3</v>
      </c>
      <c r="G379" s="631">
        <f t="shared" si="48"/>
        <v>0</v>
      </c>
      <c r="H379" s="631">
        <f>SUM(H360-G360)*-1</f>
        <v>6</v>
      </c>
      <c r="I379" s="631">
        <f>SUM(I360-H360)*-1</f>
        <v>1</v>
      </c>
      <c r="J379" s="631">
        <f t="shared" si="48"/>
        <v>4</v>
      </c>
      <c r="K379" s="631">
        <f>SUM(K360-J360)*-1</f>
        <v>4</v>
      </c>
      <c r="L379" s="631">
        <f t="shared" si="48"/>
        <v>3</v>
      </c>
      <c r="M379" s="631">
        <f t="shared" si="48"/>
        <v>1</v>
      </c>
      <c r="N379" s="631">
        <f t="shared" si="48"/>
        <v>1</v>
      </c>
      <c r="O379" s="631">
        <f>SUM(O360-N360)*-1</f>
        <v>4</v>
      </c>
      <c r="P379" s="631">
        <f t="shared" si="48"/>
        <v>16</v>
      </c>
      <c r="Q379" s="631">
        <f>SUM(Q360-P360)*-1</f>
        <v>14</v>
      </c>
      <c r="R379" s="631">
        <f t="shared" si="48"/>
        <v>2</v>
      </c>
      <c r="S379" s="631">
        <f>SUM(S360-R360)*-1</f>
        <v>3</v>
      </c>
      <c r="T379" s="631">
        <f t="shared" si="48"/>
        <v>4</v>
      </c>
      <c r="U379" s="631">
        <f>SUM(U360-T360)*-1</f>
        <v>4</v>
      </c>
      <c r="V379" s="631">
        <f>SUM(V360-U360)*-1</f>
        <v>1</v>
      </c>
      <c r="W379" s="631">
        <f t="shared" si="48"/>
        <v>7</v>
      </c>
      <c r="X379" s="631">
        <f>SUM(X360-W360)*-1</f>
        <v>3</v>
      </c>
      <c r="Y379" s="631">
        <f>SUM(Y360-X360)*-1</f>
        <v>6</v>
      </c>
      <c r="Z379" s="631">
        <f>SUM(Z360-Y360)</f>
        <v>5</v>
      </c>
      <c r="AA379" s="631">
        <f>SUM(AA360-Z360)*-1</f>
        <v>3</v>
      </c>
      <c r="AB379" s="631">
        <f>SUM(AB360-AA360)</f>
        <v>4</v>
      </c>
      <c r="AC379" s="631">
        <f>SUM(AC360-AB360)*-1</f>
        <v>2</v>
      </c>
      <c r="AD379" s="631">
        <f>SUM(AD360-AC360)*-1</f>
        <v>0</v>
      </c>
      <c r="AE379" s="631">
        <f>SUM(AE360-AD360)*-1</f>
        <v>3</v>
      </c>
      <c r="AF379" s="631">
        <f>SUM(AF360-AE360)</f>
        <v>2</v>
      </c>
      <c r="AG379" s="631">
        <f>SUM(AG360-AF360)</f>
        <v>4</v>
      </c>
      <c r="AH379" s="631">
        <f>SUM(AH360-AG360)*-1</f>
        <v>5</v>
      </c>
      <c r="AI379" s="497" t="s">
        <v>368</v>
      </c>
      <c r="AJ379" s="497" t="s">
        <v>368</v>
      </c>
      <c r="AK379" s="497" t="s">
        <v>368</v>
      </c>
      <c r="AL379" s="497" t="s">
        <v>368</v>
      </c>
      <c r="AM379" s="497" t="s">
        <v>368</v>
      </c>
      <c r="AN379" s="497" t="s">
        <v>368</v>
      </c>
      <c r="AO379" s="497" t="s">
        <v>368</v>
      </c>
      <c r="AP379" s="497" t="s">
        <v>368</v>
      </c>
      <c r="AQ379" s="497" t="s">
        <v>368</v>
      </c>
      <c r="AR379" s="497" t="s">
        <v>368</v>
      </c>
      <c r="AS379" s="497" t="s">
        <v>368</v>
      </c>
      <c r="AT379" s="497" t="s">
        <v>368</v>
      </c>
      <c r="AU379" s="497" t="s">
        <v>368</v>
      </c>
      <c r="AV379" s="497" t="s">
        <v>368</v>
      </c>
      <c r="AW379" s="497" t="s">
        <v>368</v>
      </c>
    </row>
    <row r="380" spans="1:49" ht="53.25" x14ac:dyDescent="0.2">
      <c r="A380" s="471" t="s">
        <v>497</v>
      </c>
      <c r="B380" s="626"/>
      <c r="C380" s="626"/>
      <c r="D380" s="626"/>
      <c r="E380" s="626"/>
      <c r="F380" s="626"/>
      <c r="G380" s="626"/>
      <c r="H380" s="626"/>
      <c r="I380" s="626"/>
      <c r="J380" s="626"/>
      <c r="K380" s="626"/>
      <c r="L380" s="626"/>
      <c r="M380" s="626"/>
      <c r="N380" s="626"/>
      <c r="O380" s="626"/>
      <c r="P380" s="626"/>
      <c r="Q380" s="626"/>
      <c r="R380" s="626"/>
      <c r="S380" s="626"/>
      <c r="T380" s="626"/>
      <c r="U380" s="626"/>
      <c r="V380" s="626"/>
      <c r="W380" s="626"/>
      <c r="X380" s="626"/>
      <c r="Y380" s="626"/>
      <c r="Z380" s="626"/>
      <c r="AA380" s="627"/>
      <c r="AB380" s="626"/>
      <c r="AC380" s="626"/>
      <c r="AD380" s="626"/>
      <c r="AE380" s="626"/>
      <c r="AF380" s="626"/>
      <c r="AG380" s="626"/>
      <c r="AH380" s="626"/>
      <c r="AI380" s="626"/>
      <c r="AJ380" s="626"/>
      <c r="AK380" s="626"/>
      <c r="AL380" s="626"/>
      <c r="AM380" s="626"/>
      <c r="AN380" s="626"/>
      <c r="AO380" s="626"/>
      <c r="AP380" s="626"/>
      <c r="AQ380" s="626"/>
      <c r="AR380" s="626"/>
      <c r="AS380" s="626"/>
      <c r="AT380" s="626"/>
      <c r="AU380" s="626"/>
      <c r="AV380" s="626"/>
      <c r="AW380" s="626"/>
    </row>
    <row r="381" spans="1:49" x14ac:dyDescent="0.2">
      <c r="A381" s="461" t="s">
        <v>468</v>
      </c>
      <c r="B381" s="629">
        <f t="shared" ref="B381:AW381" si="49">AVERAGE($B$360:$AW$360)</f>
        <v>6.1818181818181817</v>
      </c>
      <c r="C381" s="629">
        <f t="shared" si="49"/>
        <v>6.1818181818181817</v>
      </c>
      <c r="D381" s="629">
        <f t="shared" si="49"/>
        <v>6.1818181818181817</v>
      </c>
      <c r="E381" s="629">
        <f t="shared" si="49"/>
        <v>6.1818181818181817</v>
      </c>
      <c r="F381" s="629">
        <f t="shared" si="49"/>
        <v>6.1818181818181817</v>
      </c>
      <c r="G381" s="629">
        <f t="shared" si="49"/>
        <v>6.1818181818181817</v>
      </c>
      <c r="H381" s="629">
        <f t="shared" si="49"/>
        <v>6.1818181818181817</v>
      </c>
      <c r="I381" s="629">
        <f t="shared" si="49"/>
        <v>6.1818181818181817</v>
      </c>
      <c r="J381" s="629">
        <f t="shared" si="49"/>
        <v>6.1818181818181817</v>
      </c>
      <c r="K381" s="629">
        <f t="shared" si="49"/>
        <v>6.1818181818181817</v>
      </c>
      <c r="L381" s="629">
        <f t="shared" si="49"/>
        <v>6.1818181818181817</v>
      </c>
      <c r="M381" s="629">
        <f t="shared" si="49"/>
        <v>6.1818181818181817</v>
      </c>
      <c r="N381" s="629">
        <f t="shared" si="49"/>
        <v>6.1818181818181817</v>
      </c>
      <c r="O381" s="629">
        <f t="shared" si="49"/>
        <v>6.1818181818181817</v>
      </c>
      <c r="P381" s="629">
        <f t="shared" si="49"/>
        <v>6.1818181818181817</v>
      </c>
      <c r="Q381" s="629">
        <f t="shared" si="49"/>
        <v>6.1818181818181817</v>
      </c>
      <c r="R381" s="629">
        <f t="shared" si="49"/>
        <v>6.1818181818181817</v>
      </c>
      <c r="S381" s="629">
        <f t="shared" si="49"/>
        <v>6.1818181818181817</v>
      </c>
      <c r="T381" s="629">
        <f t="shared" si="49"/>
        <v>6.1818181818181817</v>
      </c>
      <c r="U381" s="629">
        <f t="shared" si="49"/>
        <v>6.1818181818181817</v>
      </c>
      <c r="V381" s="629">
        <f t="shared" si="49"/>
        <v>6.1818181818181817</v>
      </c>
      <c r="W381" s="629">
        <f t="shared" si="49"/>
        <v>6.1818181818181817</v>
      </c>
      <c r="X381" s="629">
        <f t="shared" si="49"/>
        <v>6.1818181818181817</v>
      </c>
      <c r="Y381" s="629">
        <f t="shared" si="49"/>
        <v>6.1818181818181817</v>
      </c>
      <c r="Z381" s="629">
        <f t="shared" si="49"/>
        <v>6.1818181818181817</v>
      </c>
      <c r="AA381" s="629">
        <f t="shared" si="49"/>
        <v>6.1818181818181817</v>
      </c>
      <c r="AB381" s="629">
        <f t="shared" si="49"/>
        <v>6.1818181818181817</v>
      </c>
      <c r="AC381" s="629">
        <f t="shared" si="49"/>
        <v>6.1818181818181817</v>
      </c>
      <c r="AD381" s="629">
        <f t="shared" si="49"/>
        <v>6.1818181818181817</v>
      </c>
      <c r="AE381" s="629">
        <f t="shared" si="49"/>
        <v>6.1818181818181817</v>
      </c>
      <c r="AF381" s="629">
        <f t="shared" si="49"/>
        <v>6.1818181818181817</v>
      </c>
      <c r="AG381" s="629">
        <f t="shared" si="49"/>
        <v>6.1818181818181817</v>
      </c>
      <c r="AH381" s="629">
        <f t="shared" si="49"/>
        <v>6.1818181818181817</v>
      </c>
      <c r="AI381" s="629">
        <f t="shared" si="49"/>
        <v>6.1818181818181817</v>
      </c>
      <c r="AJ381" s="629">
        <f t="shared" si="49"/>
        <v>6.1818181818181817</v>
      </c>
      <c r="AK381" s="629">
        <f t="shared" si="49"/>
        <v>6.1818181818181817</v>
      </c>
      <c r="AL381" s="629">
        <f t="shared" si="49"/>
        <v>6.1818181818181817</v>
      </c>
      <c r="AM381" s="629">
        <f t="shared" si="49"/>
        <v>6.1818181818181817</v>
      </c>
      <c r="AN381" s="629">
        <f t="shared" si="49"/>
        <v>6.1818181818181817</v>
      </c>
      <c r="AO381" s="629">
        <f t="shared" si="49"/>
        <v>6.1818181818181817</v>
      </c>
      <c r="AP381" s="629">
        <f t="shared" si="49"/>
        <v>6.1818181818181817</v>
      </c>
      <c r="AQ381" s="629">
        <f t="shared" si="49"/>
        <v>6.1818181818181817</v>
      </c>
      <c r="AR381" s="629">
        <f t="shared" si="49"/>
        <v>6.1818181818181817</v>
      </c>
      <c r="AS381" s="629">
        <f t="shared" si="49"/>
        <v>6.1818181818181817</v>
      </c>
      <c r="AT381" s="629">
        <f t="shared" si="49"/>
        <v>6.1818181818181817</v>
      </c>
      <c r="AU381" s="629">
        <f t="shared" si="49"/>
        <v>6.1818181818181817</v>
      </c>
      <c r="AV381" s="629">
        <f t="shared" si="49"/>
        <v>6.1818181818181817</v>
      </c>
      <c r="AW381" s="629">
        <f t="shared" si="49"/>
        <v>6.1818181818181817</v>
      </c>
    </row>
    <row r="382" spans="1:49" x14ac:dyDescent="0.2">
      <c r="A382" s="470" t="s">
        <v>467</v>
      </c>
      <c r="B382" s="629">
        <f>SUM(C379:AW379)/COUNT(C379:AW379)</f>
        <v>4.0625</v>
      </c>
      <c r="C382" s="626"/>
      <c r="D382" s="626"/>
      <c r="E382" s="626"/>
      <c r="F382" s="626"/>
      <c r="G382" s="626"/>
      <c r="H382" s="626"/>
      <c r="I382" s="626"/>
      <c r="J382" s="626"/>
      <c r="K382" s="626"/>
      <c r="L382" s="626"/>
      <c r="M382" s="626"/>
      <c r="N382" s="626"/>
      <c r="O382" s="626"/>
      <c r="P382" s="626"/>
      <c r="Q382" s="626"/>
      <c r="R382" s="626"/>
      <c r="S382" s="626"/>
      <c r="T382" s="626"/>
      <c r="U382" s="626"/>
      <c r="V382" s="626"/>
      <c r="W382" s="626"/>
      <c r="X382" s="626"/>
      <c r="Y382" s="626"/>
      <c r="Z382" s="626"/>
      <c r="AA382" s="627"/>
      <c r="AB382" s="626"/>
      <c r="AC382" s="626"/>
      <c r="AD382" s="626"/>
      <c r="AE382" s="626"/>
      <c r="AF382" s="626"/>
      <c r="AG382" s="626"/>
      <c r="AH382" s="626"/>
      <c r="AI382" s="626"/>
      <c r="AJ382" s="626"/>
      <c r="AK382" s="626"/>
      <c r="AL382" s="626"/>
      <c r="AM382" s="626"/>
      <c r="AN382" s="626"/>
      <c r="AO382" s="626"/>
      <c r="AP382" s="626"/>
      <c r="AQ382" s="626"/>
      <c r="AR382" s="626"/>
      <c r="AS382" s="626"/>
      <c r="AT382" s="626"/>
      <c r="AU382" s="626"/>
      <c r="AV382" s="626"/>
      <c r="AW382" s="626"/>
    </row>
    <row r="383" spans="1:49" ht="25.5" x14ac:dyDescent="0.2">
      <c r="A383" s="470" t="s">
        <v>470</v>
      </c>
      <c r="B383" s="629">
        <f>SUM(B382)/1.128</f>
        <v>3.6015070921985819</v>
      </c>
      <c r="C383" s="626"/>
      <c r="D383" s="626"/>
      <c r="E383" s="626"/>
      <c r="F383" s="626"/>
      <c r="G383" s="626"/>
      <c r="H383" s="626"/>
      <c r="I383" s="626"/>
      <c r="J383" s="626"/>
      <c r="K383" s="626"/>
      <c r="L383" s="626"/>
      <c r="M383" s="626"/>
      <c r="N383" s="626"/>
      <c r="O383" s="626"/>
      <c r="P383" s="626"/>
      <c r="Q383" s="626"/>
      <c r="R383" s="626"/>
      <c r="S383" s="626"/>
      <c r="T383" s="626"/>
      <c r="U383" s="626"/>
      <c r="V383" s="626"/>
      <c r="W383" s="626"/>
      <c r="X383" s="626"/>
      <c r="Y383" s="626"/>
      <c r="Z383" s="626"/>
      <c r="AA383" s="627"/>
      <c r="AB383" s="626"/>
      <c r="AC383" s="626"/>
      <c r="AD383" s="626"/>
      <c r="AE383" s="626"/>
      <c r="AF383" s="626"/>
      <c r="AG383" s="626"/>
      <c r="AH383" s="626"/>
      <c r="AI383" s="626"/>
      <c r="AJ383" s="626"/>
      <c r="AK383" s="626"/>
      <c r="AL383" s="626"/>
      <c r="AM383" s="626"/>
      <c r="AN383" s="626"/>
      <c r="AO383" s="626"/>
      <c r="AP383" s="626"/>
      <c r="AQ383" s="626"/>
      <c r="AR383" s="626"/>
      <c r="AS383" s="626"/>
      <c r="AT383" s="626"/>
      <c r="AU383" s="626"/>
      <c r="AV383" s="626"/>
      <c r="AW383" s="626"/>
    </row>
    <row r="384" spans="1:49" x14ac:dyDescent="0.2">
      <c r="A384" s="470" t="s">
        <v>473</v>
      </c>
      <c r="B384" s="629">
        <f t="shared" ref="B384:AW384" si="50">$B$381+ (3*$B$383)</f>
        <v>16.98633945841393</v>
      </c>
      <c r="C384" s="629">
        <f t="shared" si="50"/>
        <v>16.98633945841393</v>
      </c>
      <c r="D384" s="629">
        <f t="shared" si="50"/>
        <v>16.98633945841393</v>
      </c>
      <c r="E384" s="629">
        <f t="shared" si="50"/>
        <v>16.98633945841393</v>
      </c>
      <c r="F384" s="629">
        <f t="shared" si="50"/>
        <v>16.98633945841393</v>
      </c>
      <c r="G384" s="629">
        <f t="shared" si="50"/>
        <v>16.98633945841393</v>
      </c>
      <c r="H384" s="629">
        <f t="shared" si="50"/>
        <v>16.98633945841393</v>
      </c>
      <c r="I384" s="629">
        <f t="shared" si="50"/>
        <v>16.98633945841393</v>
      </c>
      <c r="J384" s="629">
        <f t="shared" si="50"/>
        <v>16.98633945841393</v>
      </c>
      <c r="K384" s="629">
        <f t="shared" si="50"/>
        <v>16.98633945841393</v>
      </c>
      <c r="L384" s="629">
        <f t="shared" si="50"/>
        <v>16.98633945841393</v>
      </c>
      <c r="M384" s="629">
        <f t="shared" si="50"/>
        <v>16.98633945841393</v>
      </c>
      <c r="N384" s="629">
        <f t="shared" si="50"/>
        <v>16.98633945841393</v>
      </c>
      <c r="O384" s="629">
        <f t="shared" si="50"/>
        <v>16.98633945841393</v>
      </c>
      <c r="P384" s="629">
        <f t="shared" si="50"/>
        <v>16.98633945841393</v>
      </c>
      <c r="Q384" s="629">
        <f t="shared" si="50"/>
        <v>16.98633945841393</v>
      </c>
      <c r="R384" s="629">
        <f t="shared" si="50"/>
        <v>16.98633945841393</v>
      </c>
      <c r="S384" s="629">
        <f t="shared" si="50"/>
        <v>16.98633945841393</v>
      </c>
      <c r="T384" s="629">
        <f t="shared" si="50"/>
        <v>16.98633945841393</v>
      </c>
      <c r="U384" s="629">
        <f t="shared" si="50"/>
        <v>16.98633945841393</v>
      </c>
      <c r="V384" s="629">
        <f t="shared" si="50"/>
        <v>16.98633945841393</v>
      </c>
      <c r="W384" s="629">
        <f t="shared" si="50"/>
        <v>16.98633945841393</v>
      </c>
      <c r="X384" s="629">
        <f t="shared" si="50"/>
        <v>16.98633945841393</v>
      </c>
      <c r="Y384" s="629">
        <f t="shared" si="50"/>
        <v>16.98633945841393</v>
      </c>
      <c r="Z384" s="629">
        <f t="shared" si="50"/>
        <v>16.98633945841393</v>
      </c>
      <c r="AA384" s="629">
        <f t="shared" si="50"/>
        <v>16.98633945841393</v>
      </c>
      <c r="AB384" s="629">
        <f t="shared" si="50"/>
        <v>16.98633945841393</v>
      </c>
      <c r="AC384" s="629">
        <f t="shared" si="50"/>
        <v>16.98633945841393</v>
      </c>
      <c r="AD384" s="629">
        <f t="shared" si="50"/>
        <v>16.98633945841393</v>
      </c>
      <c r="AE384" s="629">
        <f t="shared" si="50"/>
        <v>16.98633945841393</v>
      </c>
      <c r="AF384" s="629">
        <f t="shared" si="50"/>
        <v>16.98633945841393</v>
      </c>
      <c r="AG384" s="629">
        <f t="shared" si="50"/>
        <v>16.98633945841393</v>
      </c>
      <c r="AH384" s="629">
        <f t="shared" si="50"/>
        <v>16.98633945841393</v>
      </c>
      <c r="AI384" s="629">
        <f t="shared" si="50"/>
        <v>16.98633945841393</v>
      </c>
      <c r="AJ384" s="629">
        <f t="shared" si="50"/>
        <v>16.98633945841393</v>
      </c>
      <c r="AK384" s="629">
        <f t="shared" si="50"/>
        <v>16.98633945841393</v>
      </c>
      <c r="AL384" s="629">
        <f t="shared" si="50"/>
        <v>16.98633945841393</v>
      </c>
      <c r="AM384" s="629">
        <f t="shared" si="50"/>
        <v>16.98633945841393</v>
      </c>
      <c r="AN384" s="629">
        <f t="shared" si="50"/>
        <v>16.98633945841393</v>
      </c>
      <c r="AO384" s="629">
        <f t="shared" si="50"/>
        <v>16.98633945841393</v>
      </c>
      <c r="AP384" s="629">
        <f t="shared" si="50"/>
        <v>16.98633945841393</v>
      </c>
      <c r="AQ384" s="629">
        <f t="shared" si="50"/>
        <v>16.98633945841393</v>
      </c>
      <c r="AR384" s="629">
        <f t="shared" si="50"/>
        <v>16.98633945841393</v>
      </c>
      <c r="AS384" s="629">
        <f t="shared" si="50"/>
        <v>16.98633945841393</v>
      </c>
      <c r="AT384" s="629">
        <f t="shared" si="50"/>
        <v>16.98633945841393</v>
      </c>
      <c r="AU384" s="629">
        <f t="shared" si="50"/>
        <v>16.98633945841393</v>
      </c>
      <c r="AV384" s="629">
        <f t="shared" si="50"/>
        <v>16.98633945841393</v>
      </c>
      <c r="AW384" s="629">
        <f t="shared" si="50"/>
        <v>16.98633945841393</v>
      </c>
    </row>
    <row r="385" spans="1:49" x14ac:dyDescent="0.2">
      <c r="A385" s="470" t="s">
        <v>475</v>
      </c>
      <c r="B385" s="629">
        <f t="shared" ref="B385:AW385" si="51">$B$381- (3*$B$383)</f>
        <v>-4.6227030947775649</v>
      </c>
      <c r="C385" s="629">
        <f t="shared" si="51"/>
        <v>-4.6227030947775649</v>
      </c>
      <c r="D385" s="629">
        <f t="shared" si="51"/>
        <v>-4.6227030947775649</v>
      </c>
      <c r="E385" s="629">
        <f t="shared" si="51"/>
        <v>-4.6227030947775649</v>
      </c>
      <c r="F385" s="629">
        <f t="shared" si="51"/>
        <v>-4.6227030947775649</v>
      </c>
      <c r="G385" s="629">
        <f t="shared" si="51"/>
        <v>-4.6227030947775649</v>
      </c>
      <c r="H385" s="629">
        <f t="shared" si="51"/>
        <v>-4.6227030947775649</v>
      </c>
      <c r="I385" s="629">
        <f t="shared" si="51"/>
        <v>-4.6227030947775649</v>
      </c>
      <c r="J385" s="629">
        <f t="shared" si="51"/>
        <v>-4.6227030947775649</v>
      </c>
      <c r="K385" s="629">
        <f t="shared" si="51"/>
        <v>-4.6227030947775649</v>
      </c>
      <c r="L385" s="629">
        <f t="shared" si="51"/>
        <v>-4.6227030947775649</v>
      </c>
      <c r="M385" s="629">
        <f t="shared" si="51"/>
        <v>-4.6227030947775649</v>
      </c>
      <c r="N385" s="629">
        <f t="shared" si="51"/>
        <v>-4.6227030947775649</v>
      </c>
      <c r="O385" s="629">
        <f t="shared" si="51"/>
        <v>-4.6227030947775649</v>
      </c>
      <c r="P385" s="629">
        <f t="shared" si="51"/>
        <v>-4.6227030947775649</v>
      </c>
      <c r="Q385" s="629">
        <f t="shared" si="51"/>
        <v>-4.6227030947775649</v>
      </c>
      <c r="R385" s="629">
        <f t="shared" si="51"/>
        <v>-4.6227030947775649</v>
      </c>
      <c r="S385" s="629">
        <f t="shared" si="51"/>
        <v>-4.6227030947775649</v>
      </c>
      <c r="T385" s="629">
        <f t="shared" si="51"/>
        <v>-4.6227030947775649</v>
      </c>
      <c r="U385" s="629">
        <f t="shared" si="51"/>
        <v>-4.6227030947775649</v>
      </c>
      <c r="V385" s="629">
        <f t="shared" si="51"/>
        <v>-4.6227030947775649</v>
      </c>
      <c r="W385" s="629">
        <f t="shared" si="51"/>
        <v>-4.6227030947775649</v>
      </c>
      <c r="X385" s="629">
        <f t="shared" si="51"/>
        <v>-4.6227030947775649</v>
      </c>
      <c r="Y385" s="629">
        <f t="shared" si="51"/>
        <v>-4.6227030947775649</v>
      </c>
      <c r="Z385" s="629">
        <f t="shared" si="51"/>
        <v>-4.6227030947775649</v>
      </c>
      <c r="AA385" s="629">
        <f t="shared" si="51"/>
        <v>-4.6227030947775649</v>
      </c>
      <c r="AB385" s="629">
        <f t="shared" si="51"/>
        <v>-4.6227030947775649</v>
      </c>
      <c r="AC385" s="629">
        <f t="shared" si="51"/>
        <v>-4.6227030947775649</v>
      </c>
      <c r="AD385" s="629">
        <f t="shared" si="51"/>
        <v>-4.6227030947775649</v>
      </c>
      <c r="AE385" s="629">
        <f t="shared" si="51"/>
        <v>-4.6227030947775649</v>
      </c>
      <c r="AF385" s="629">
        <f t="shared" si="51"/>
        <v>-4.6227030947775649</v>
      </c>
      <c r="AG385" s="629">
        <f t="shared" si="51"/>
        <v>-4.6227030947775649</v>
      </c>
      <c r="AH385" s="629">
        <f t="shared" si="51"/>
        <v>-4.6227030947775649</v>
      </c>
      <c r="AI385" s="629">
        <f t="shared" si="51"/>
        <v>-4.6227030947775649</v>
      </c>
      <c r="AJ385" s="629">
        <f t="shared" si="51"/>
        <v>-4.6227030947775649</v>
      </c>
      <c r="AK385" s="629">
        <f t="shared" si="51"/>
        <v>-4.6227030947775649</v>
      </c>
      <c r="AL385" s="629">
        <f t="shared" si="51"/>
        <v>-4.6227030947775649</v>
      </c>
      <c r="AM385" s="629">
        <f t="shared" si="51"/>
        <v>-4.6227030947775649</v>
      </c>
      <c r="AN385" s="629">
        <f t="shared" si="51"/>
        <v>-4.6227030947775649</v>
      </c>
      <c r="AO385" s="629">
        <f t="shared" si="51"/>
        <v>-4.6227030947775649</v>
      </c>
      <c r="AP385" s="629">
        <f t="shared" si="51"/>
        <v>-4.6227030947775649</v>
      </c>
      <c r="AQ385" s="629">
        <f t="shared" si="51"/>
        <v>-4.6227030947775649</v>
      </c>
      <c r="AR385" s="629">
        <f t="shared" si="51"/>
        <v>-4.6227030947775649</v>
      </c>
      <c r="AS385" s="629">
        <f t="shared" si="51"/>
        <v>-4.6227030947775649</v>
      </c>
      <c r="AT385" s="629">
        <f t="shared" si="51"/>
        <v>-4.6227030947775649</v>
      </c>
      <c r="AU385" s="629">
        <f t="shared" si="51"/>
        <v>-4.6227030947775649</v>
      </c>
      <c r="AV385" s="629">
        <f t="shared" si="51"/>
        <v>-4.6227030947775649</v>
      </c>
      <c r="AW385" s="629">
        <f t="shared" si="51"/>
        <v>-4.6227030947775649</v>
      </c>
    </row>
    <row r="386" spans="1:49" x14ac:dyDescent="0.2">
      <c r="A386" s="468"/>
      <c r="B386" s="626"/>
      <c r="C386" s="626"/>
      <c r="D386" s="626"/>
      <c r="E386" s="626"/>
      <c r="F386" s="626"/>
      <c r="G386" s="626"/>
      <c r="H386" s="626"/>
      <c r="I386" s="626"/>
      <c r="J386" s="626"/>
      <c r="K386" s="626"/>
      <c r="L386" s="626"/>
      <c r="M386" s="626"/>
      <c r="N386" s="626"/>
      <c r="O386" s="626"/>
      <c r="P386" s="626"/>
      <c r="Q386" s="626"/>
      <c r="R386" s="626"/>
      <c r="S386" s="626"/>
      <c r="T386" s="626"/>
      <c r="U386" s="626"/>
      <c r="V386" s="626"/>
      <c r="W386" s="626"/>
      <c r="X386" s="626"/>
      <c r="Y386" s="626"/>
      <c r="Z386" s="626"/>
      <c r="AA386" s="627"/>
      <c r="AB386" s="626"/>
      <c r="AC386" s="626"/>
      <c r="AD386" s="626"/>
      <c r="AE386" s="626"/>
      <c r="AF386" s="626"/>
      <c r="AG386" s="626"/>
      <c r="AH386" s="626"/>
      <c r="AI386" s="626"/>
      <c r="AJ386" s="626"/>
      <c r="AK386" s="626"/>
      <c r="AL386" s="626"/>
      <c r="AM386" s="626"/>
      <c r="AN386" s="626"/>
      <c r="AO386" s="626"/>
      <c r="AP386" s="626"/>
      <c r="AQ386" s="626"/>
      <c r="AR386" s="626"/>
      <c r="AS386" s="626"/>
      <c r="AT386" s="626"/>
      <c r="AU386" s="626"/>
      <c r="AV386" s="626"/>
      <c r="AW386" s="626"/>
    </row>
    <row r="387" spans="1:49" ht="30" x14ac:dyDescent="0.2">
      <c r="A387" s="533" t="s">
        <v>252</v>
      </c>
      <c r="B387" s="478" t="s">
        <v>491</v>
      </c>
      <c r="C387" s="472"/>
      <c r="D387" s="626"/>
      <c r="E387" s="626"/>
      <c r="F387" s="626"/>
      <c r="G387" s="626"/>
      <c r="H387" s="626"/>
      <c r="I387" s="626"/>
      <c r="J387" s="626"/>
      <c r="K387" s="626"/>
      <c r="L387" s="626"/>
      <c r="M387" s="626"/>
      <c r="N387" s="626"/>
      <c r="O387" s="626"/>
      <c r="P387" s="626"/>
      <c r="Q387" s="626"/>
      <c r="R387" s="626"/>
      <c r="S387" s="626"/>
      <c r="T387" s="626"/>
      <c r="U387" s="626"/>
      <c r="V387" s="626"/>
      <c r="W387" s="626"/>
      <c r="X387" s="626"/>
      <c r="Y387" s="626"/>
      <c r="Z387" s="626"/>
      <c r="AA387" s="627"/>
      <c r="AB387" s="626"/>
      <c r="AC387" s="626"/>
      <c r="AD387" s="626"/>
      <c r="AE387" s="626"/>
      <c r="AF387" s="626"/>
      <c r="AG387" s="626"/>
      <c r="AH387" s="626"/>
      <c r="AI387" s="626"/>
      <c r="AJ387" s="626"/>
      <c r="AK387" s="626"/>
      <c r="AL387" s="626"/>
      <c r="AM387" s="626"/>
      <c r="AN387" s="626"/>
      <c r="AO387" s="626"/>
      <c r="AP387" s="626"/>
      <c r="AQ387" s="626"/>
      <c r="AR387" s="626"/>
      <c r="AS387" s="626"/>
      <c r="AT387" s="626"/>
      <c r="AU387" s="626"/>
      <c r="AV387" s="626"/>
      <c r="AW387" s="626"/>
    </row>
    <row r="388" spans="1:49" x14ac:dyDescent="0.2">
      <c r="A388" s="479" t="s">
        <v>130</v>
      </c>
      <c r="B388" s="626"/>
      <c r="C388" s="626"/>
      <c r="D388" s="626"/>
      <c r="E388" s="626"/>
      <c r="F388" s="626"/>
      <c r="G388" s="626"/>
      <c r="H388" s="626"/>
      <c r="I388" s="626"/>
      <c r="J388" s="626"/>
      <c r="K388" s="626"/>
      <c r="L388" s="626"/>
      <c r="M388" s="626"/>
      <c r="N388" s="626"/>
      <c r="O388" s="626"/>
      <c r="P388" s="626"/>
      <c r="Q388" s="626"/>
      <c r="R388" s="626"/>
      <c r="S388" s="626"/>
      <c r="T388" s="626"/>
      <c r="U388" s="626"/>
      <c r="V388" s="626"/>
      <c r="W388" s="626"/>
      <c r="X388" s="626"/>
      <c r="Y388" s="626"/>
      <c r="Z388" s="626"/>
      <c r="AA388" s="627"/>
      <c r="AB388" s="626"/>
      <c r="AC388" s="626"/>
      <c r="AD388" s="626"/>
      <c r="AE388" s="626"/>
      <c r="AF388" s="626"/>
      <c r="AG388" s="626"/>
      <c r="AH388" s="626"/>
      <c r="AI388" s="626"/>
      <c r="AJ388" s="626"/>
      <c r="AK388" s="626"/>
      <c r="AL388" s="626"/>
      <c r="AM388" s="626"/>
      <c r="AN388" s="626"/>
      <c r="AO388" s="626"/>
      <c r="AP388" s="626"/>
      <c r="AQ388" s="626"/>
      <c r="AR388" s="626"/>
      <c r="AS388" s="626"/>
      <c r="AT388" s="626"/>
      <c r="AU388" s="626"/>
      <c r="AV388" s="626"/>
      <c r="AW388" s="626"/>
    </row>
    <row r="389" spans="1:49" x14ac:dyDescent="0.2">
      <c r="A389" s="479" t="s">
        <v>178</v>
      </c>
      <c r="B389" s="626"/>
      <c r="C389" s="626"/>
      <c r="D389" s="626"/>
      <c r="E389" s="626"/>
      <c r="F389" s="626"/>
      <c r="G389" s="626"/>
      <c r="H389" s="626"/>
      <c r="I389" s="626"/>
      <c r="J389" s="626"/>
      <c r="K389" s="626"/>
      <c r="L389" s="626"/>
      <c r="M389" s="626"/>
      <c r="N389" s="626"/>
      <c r="O389" s="626"/>
      <c r="P389" s="626"/>
      <c r="Q389" s="626"/>
      <c r="R389" s="626"/>
      <c r="S389" s="626"/>
      <c r="T389" s="626"/>
      <c r="U389" s="626"/>
      <c r="V389" s="626"/>
      <c r="W389" s="626"/>
      <c r="X389" s="626"/>
      <c r="Y389" s="626"/>
      <c r="Z389" s="626"/>
      <c r="AA389" s="627"/>
      <c r="AB389" s="626"/>
      <c r="AC389" s="626"/>
      <c r="AD389" s="626"/>
      <c r="AE389" s="626"/>
      <c r="AF389" s="626"/>
      <c r="AG389" s="626"/>
      <c r="AH389" s="626"/>
      <c r="AI389" s="626"/>
      <c r="AJ389" s="626"/>
      <c r="AK389" s="626"/>
      <c r="AL389" s="626"/>
      <c r="AM389" s="626"/>
      <c r="AN389" s="626"/>
      <c r="AO389" s="626"/>
      <c r="AP389" s="626"/>
      <c r="AQ389" s="626"/>
      <c r="AR389" s="626"/>
      <c r="AS389" s="626"/>
      <c r="AT389" s="626"/>
      <c r="AU389" s="626"/>
      <c r="AV389" s="626"/>
      <c r="AW389" s="626"/>
    </row>
    <row r="390" spans="1:49" x14ac:dyDescent="0.2">
      <c r="A390" s="498" t="s">
        <v>466</v>
      </c>
      <c r="B390" s="628"/>
      <c r="C390" s="628">
        <f>SUM(C361-B361)*-1</f>
        <v>10</v>
      </c>
      <c r="D390" s="628">
        <f t="shared" ref="D390:V390" si="52">SUM(D361-C361)</f>
        <v>17</v>
      </c>
      <c r="E390" s="628">
        <f>SUM(E361-D361)*-1</f>
        <v>26</v>
      </c>
      <c r="F390" s="628">
        <f t="shared" si="52"/>
        <v>1</v>
      </c>
      <c r="G390" s="628">
        <f t="shared" si="52"/>
        <v>5</v>
      </c>
      <c r="H390" s="628">
        <f>SUM(H361-G361)*-1</f>
        <v>9</v>
      </c>
      <c r="I390" s="628">
        <f t="shared" si="52"/>
        <v>4</v>
      </c>
      <c r="J390" s="628">
        <f t="shared" si="52"/>
        <v>0</v>
      </c>
      <c r="K390" s="628">
        <f>SUM(K361-J361)*-1</f>
        <v>2</v>
      </c>
      <c r="L390" s="628">
        <f t="shared" si="52"/>
        <v>6</v>
      </c>
      <c r="M390" s="628">
        <f>SUM(M361-L361)*-1</f>
        <v>6</v>
      </c>
      <c r="N390" s="628">
        <f t="shared" si="52"/>
        <v>0</v>
      </c>
      <c r="O390" s="628">
        <f t="shared" si="52"/>
        <v>0</v>
      </c>
      <c r="P390" s="628">
        <f t="shared" si="52"/>
        <v>0</v>
      </c>
      <c r="Q390" s="628">
        <f t="shared" si="52"/>
        <v>2</v>
      </c>
      <c r="R390" s="628">
        <f t="shared" si="52"/>
        <v>0</v>
      </c>
      <c r="S390" s="628">
        <f>SUM(S361-R361)*-1</f>
        <v>4</v>
      </c>
      <c r="T390" s="628">
        <f t="shared" si="52"/>
        <v>1</v>
      </c>
      <c r="U390" s="628">
        <f t="shared" si="52"/>
        <v>7</v>
      </c>
      <c r="V390" s="628">
        <f t="shared" si="52"/>
        <v>0</v>
      </c>
      <c r="W390" s="628">
        <f>SUM(W361-V361)*-1</f>
        <v>3</v>
      </c>
      <c r="X390" s="628">
        <f t="shared" ref="X390" si="53">SUM(X361-W361)</f>
        <v>2</v>
      </c>
      <c r="Y390" s="628">
        <f>SUM(Y361-X361)*-1</f>
        <v>5</v>
      </c>
      <c r="Z390" s="628">
        <f t="shared" ref="Z390" si="54">SUM(Z361-Y361)</f>
        <v>1</v>
      </c>
      <c r="AA390" s="628">
        <f>SUM(AA361-Z361)*-1</f>
        <v>1</v>
      </c>
      <c r="AB390" s="628">
        <f>SUM(AB361-AA361)*-1</f>
        <v>3</v>
      </c>
      <c r="AC390" s="628">
        <f>SUM(AC361-AB361)</f>
        <v>2</v>
      </c>
      <c r="AD390" s="628">
        <f>SUM(AD361-AC361)</f>
        <v>2</v>
      </c>
      <c r="AE390" s="628">
        <f>SUM(AE361-AD361)</f>
        <v>5</v>
      </c>
      <c r="AF390" s="628">
        <f>SUM(AF361-AE361)*-1</f>
        <v>1</v>
      </c>
      <c r="AG390" s="628">
        <f>SUM(AG361-AF361)*-1</f>
        <v>0</v>
      </c>
      <c r="AH390" s="628">
        <f>SUM(AH361-AG361)*-1</f>
        <v>2</v>
      </c>
      <c r="AI390" s="497" t="s">
        <v>368</v>
      </c>
      <c r="AJ390" s="497" t="s">
        <v>368</v>
      </c>
      <c r="AK390" s="497" t="s">
        <v>368</v>
      </c>
      <c r="AL390" s="497" t="s">
        <v>368</v>
      </c>
      <c r="AM390" s="497" t="s">
        <v>368</v>
      </c>
      <c r="AN390" s="497" t="s">
        <v>368</v>
      </c>
      <c r="AO390" s="497" t="s">
        <v>368</v>
      </c>
      <c r="AP390" s="497" t="s">
        <v>368</v>
      </c>
      <c r="AQ390" s="497" t="s">
        <v>368</v>
      </c>
      <c r="AR390" s="497" t="s">
        <v>368</v>
      </c>
      <c r="AS390" s="497" t="s">
        <v>368</v>
      </c>
      <c r="AT390" s="497" t="s">
        <v>368</v>
      </c>
      <c r="AU390" s="497" t="s">
        <v>368</v>
      </c>
      <c r="AV390" s="497" t="s">
        <v>368</v>
      </c>
      <c r="AW390" s="497" t="s">
        <v>368</v>
      </c>
    </row>
    <row r="391" spans="1:49" ht="53.25" x14ac:dyDescent="0.2">
      <c r="A391" s="471" t="s">
        <v>497</v>
      </c>
      <c r="B391" s="626"/>
      <c r="C391" s="626"/>
      <c r="D391" s="626"/>
      <c r="E391" s="626"/>
      <c r="F391" s="626"/>
      <c r="G391" s="626"/>
      <c r="H391" s="626"/>
      <c r="I391" s="626"/>
      <c r="J391" s="626"/>
      <c r="K391" s="626"/>
      <c r="L391" s="626"/>
      <c r="M391" s="626"/>
      <c r="N391" s="626"/>
      <c r="O391" s="626"/>
      <c r="P391" s="626"/>
      <c r="Q391" s="626"/>
      <c r="R391" s="626"/>
      <c r="S391" s="626"/>
      <c r="T391" s="626"/>
      <c r="U391" s="626"/>
      <c r="V391" s="626"/>
      <c r="W391" s="626"/>
      <c r="X391" s="626"/>
      <c r="Y391" s="626"/>
      <c r="Z391" s="626"/>
      <c r="AA391" s="627"/>
      <c r="AB391" s="626"/>
      <c r="AC391" s="626"/>
      <c r="AD391" s="626"/>
      <c r="AE391" s="626"/>
      <c r="AF391" s="626"/>
      <c r="AG391" s="626"/>
      <c r="AH391" s="626"/>
      <c r="AI391" s="626"/>
      <c r="AJ391" s="626"/>
      <c r="AK391" s="626"/>
      <c r="AL391" s="626"/>
      <c r="AM391" s="626"/>
      <c r="AN391" s="626"/>
      <c r="AO391" s="626"/>
      <c r="AP391" s="626"/>
      <c r="AQ391" s="626"/>
      <c r="AR391" s="626"/>
      <c r="AS391" s="626"/>
      <c r="AT391" s="626"/>
      <c r="AU391" s="626"/>
      <c r="AV391" s="626"/>
      <c r="AW391" s="626"/>
    </row>
    <row r="392" spans="1:49" x14ac:dyDescent="0.2">
      <c r="A392" s="506" t="s">
        <v>468</v>
      </c>
      <c r="B392" s="629">
        <f t="shared" ref="B392:AW392" si="55">AVERAGE($B$361:$AW$361)</f>
        <v>6.4242424242424239</v>
      </c>
      <c r="C392" s="629">
        <f t="shared" si="55"/>
        <v>6.4242424242424239</v>
      </c>
      <c r="D392" s="629">
        <f t="shared" si="55"/>
        <v>6.4242424242424239</v>
      </c>
      <c r="E392" s="629">
        <f t="shared" si="55"/>
        <v>6.4242424242424239</v>
      </c>
      <c r="F392" s="629">
        <f t="shared" si="55"/>
        <v>6.4242424242424239</v>
      </c>
      <c r="G392" s="629">
        <f t="shared" si="55"/>
        <v>6.4242424242424239</v>
      </c>
      <c r="H392" s="629">
        <f t="shared" si="55"/>
        <v>6.4242424242424239</v>
      </c>
      <c r="I392" s="629">
        <f t="shared" si="55"/>
        <v>6.4242424242424239</v>
      </c>
      <c r="J392" s="629">
        <f t="shared" si="55"/>
        <v>6.4242424242424239</v>
      </c>
      <c r="K392" s="629">
        <f t="shared" si="55"/>
        <v>6.4242424242424239</v>
      </c>
      <c r="L392" s="629">
        <f t="shared" si="55"/>
        <v>6.4242424242424239</v>
      </c>
      <c r="M392" s="629">
        <f t="shared" si="55"/>
        <v>6.4242424242424239</v>
      </c>
      <c r="N392" s="629">
        <f t="shared" si="55"/>
        <v>6.4242424242424239</v>
      </c>
      <c r="O392" s="629">
        <f t="shared" si="55"/>
        <v>6.4242424242424239</v>
      </c>
      <c r="P392" s="629">
        <f t="shared" si="55"/>
        <v>6.4242424242424239</v>
      </c>
      <c r="Q392" s="629">
        <f t="shared" si="55"/>
        <v>6.4242424242424239</v>
      </c>
      <c r="R392" s="629">
        <f t="shared" si="55"/>
        <v>6.4242424242424239</v>
      </c>
      <c r="S392" s="629">
        <f t="shared" si="55"/>
        <v>6.4242424242424239</v>
      </c>
      <c r="T392" s="629">
        <f t="shared" si="55"/>
        <v>6.4242424242424239</v>
      </c>
      <c r="U392" s="629">
        <f t="shared" si="55"/>
        <v>6.4242424242424239</v>
      </c>
      <c r="V392" s="629">
        <f t="shared" si="55"/>
        <v>6.4242424242424239</v>
      </c>
      <c r="W392" s="629">
        <f t="shared" si="55"/>
        <v>6.4242424242424239</v>
      </c>
      <c r="X392" s="629">
        <f t="shared" si="55"/>
        <v>6.4242424242424239</v>
      </c>
      <c r="Y392" s="629">
        <f t="shared" si="55"/>
        <v>6.4242424242424239</v>
      </c>
      <c r="Z392" s="629">
        <f t="shared" si="55"/>
        <v>6.4242424242424239</v>
      </c>
      <c r="AA392" s="629">
        <f t="shared" si="55"/>
        <v>6.4242424242424239</v>
      </c>
      <c r="AB392" s="629">
        <f t="shared" si="55"/>
        <v>6.4242424242424239</v>
      </c>
      <c r="AC392" s="629">
        <f t="shared" si="55"/>
        <v>6.4242424242424239</v>
      </c>
      <c r="AD392" s="629">
        <f t="shared" si="55"/>
        <v>6.4242424242424239</v>
      </c>
      <c r="AE392" s="629">
        <f t="shared" si="55"/>
        <v>6.4242424242424239</v>
      </c>
      <c r="AF392" s="629">
        <f t="shared" si="55"/>
        <v>6.4242424242424239</v>
      </c>
      <c r="AG392" s="629">
        <f t="shared" si="55"/>
        <v>6.4242424242424239</v>
      </c>
      <c r="AH392" s="629">
        <f t="shared" si="55"/>
        <v>6.4242424242424239</v>
      </c>
      <c r="AI392" s="629">
        <f t="shared" si="55"/>
        <v>6.4242424242424239</v>
      </c>
      <c r="AJ392" s="629">
        <f t="shared" si="55"/>
        <v>6.4242424242424239</v>
      </c>
      <c r="AK392" s="629">
        <f t="shared" si="55"/>
        <v>6.4242424242424239</v>
      </c>
      <c r="AL392" s="629">
        <f t="shared" si="55"/>
        <v>6.4242424242424239</v>
      </c>
      <c r="AM392" s="629">
        <f t="shared" si="55"/>
        <v>6.4242424242424239</v>
      </c>
      <c r="AN392" s="629">
        <f t="shared" si="55"/>
        <v>6.4242424242424239</v>
      </c>
      <c r="AO392" s="629">
        <f t="shared" si="55"/>
        <v>6.4242424242424239</v>
      </c>
      <c r="AP392" s="629">
        <f t="shared" si="55"/>
        <v>6.4242424242424239</v>
      </c>
      <c r="AQ392" s="629">
        <f t="shared" si="55"/>
        <v>6.4242424242424239</v>
      </c>
      <c r="AR392" s="629">
        <f t="shared" si="55"/>
        <v>6.4242424242424239</v>
      </c>
      <c r="AS392" s="629">
        <f t="shared" si="55"/>
        <v>6.4242424242424239</v>
      </c>
      <c r="AT392" s="629">
        <f t="shared" si="55"/>
        <v>6.4242424242424239</v>
      </c>
      <c r="AU392" s="629">
        <f t="shared" si="55"/>
        <v>6.4242424242424239</v>
      </c>
      <c r="AV392" s="629">
        <f t="shared" si="55"/>
        <v>6.4242424242424239</v>
      </c>
      <c r="AW392" s="629">
        <f t="shared" si="55"/>
        <v>6.4242424242424239</v>
      </c>
    </row>
    <row r="393" spans="1:49" x14ac:dyDescent="0.2">
      <c r="A393" s="470" t="s">
        <v>467</v>
      </c>
      <c r="B393" s="629">
        <f>SUM(C390:AW390)/COUNT(C390:AW390)</f>
        <v>3.96875</v>
      </c>
      <c r="C393" s="626"/>
      <c r="D393" s="626"/>
      <c r="E393" s="626"/>
      <c r="F393" s="626"/>
      <c r="G393" s="626"/>
      <c r="H393" s="626"/>
      <c r="I393" s="626"/>
      <c r="J393" s="626"/>
      <c r="K393" s="626"/>
      <c r="L393" s="626"/>
      <c r="M393" s="626"/>
      <c r="N393" s="626"/>
      <c r="O393" s="626"/>
      <c r="P393" s="626"/>
      <c r="Q393" s="626"/>
      <c r="R393" s="626"/>
      <c r="S393" s="626"/>
      <c r="T393" s="626"/>
      <c r="U393" s="626"/>
      <c r="V393" s="626"/>
      <c r="W393" s="626"/>
      <c r="X393" s="626"/>
      <c r="Y393" s="626"/>
      <c r="Z393" s="626"/>
      <c r="AA393" s="627"/>
      <c r="AB393" s="626"/>
      <c r="AC393" s="626"/>
      <c r="AD393" s="626"/>
      <c r="AE393" s="626"/>
      <c r="AF393" s="626"/>
      <c r="AG393" s="626"/>
      <c r="AH393" s="626"/>
      <c r="AI393" s="626"/>
      <c r="AJ393" s="626"/>
      <c r="AK393" s="626"/>
      <c r="AL393" s="626"/>
      <c r="AM393" s="626"/>
      <c r="AN393" s="626"/>
      <c r="AO393" s="626"/>
      <c r="AP393" s="626"/>
      <c r="AQ393" s="626"/>
      <c r="AR393" s="626"/>
      <c r="AS393" s="626"/>
      <c r="AT393" s="626"/>
      <c r="AU393" s="626"/>
      <c r="AV393" s="626"/>
      <c r="AW393" s="626"/>
    </row>
    <row r="394" spans="1:49" ht="25.5" x14ac:dyDescent="0.2">
      <c r="A394" s="470" t="s">
        <v>470</v>
      </c>
      <c r="B394" s="629">
        <f>SUM(B393)/1.128</f>
        <v>3.5183953900709222</v>
      </c>
      <c r="C394" s="626"/>
      <c r="D394" s="626"/>
      <c r="E394" s="626"/>
      <c r="F394" s="626"/>
      <c r="G394" s="626"/>
      <c r="H394" s="626"/>
      <c r="I394" s="626"/>
      <c r="J394" s="626"/>
      <c r="K394" s="626"/>
      <c r="L394" s="626"/>
      <c r="M394" s="626"/>
      <c r="N394" s="626"/>
      <c r="O394" s="626"/>
      <c r="P394" s="626"/>
      <c r="Q394" s="626"/>
      <c r="R394" s="626"/>
      <c r="S394" s="626"/>
      <c r="T394" s="626"/>
      <c r="U394" s="626"/>
      <c r="V394" s="626"/>
      <c r="W394" s="626"/>
      <c r="X394" s="626"/>
      <c r="Y394" s="626"/>
      <c r="Z394" s="626"/>
      <c r="AA394" s="627"/>
      <c r="AB394" s="626"/>
      <c r="AC394" s="626"/>
      <c r="AD394" s="626"/>
      <c r="AE394" s="626"/>
      <c r="AF394" s="626"/>
      <c r="AG394" s="626"/>
      <c r="AH394" s="626"/>
      <c r="AI394" s="626"/>
      <c r="AJ394" s="626"/>
      <c r="AK394" s="626"/>
      <c r="AL394" s="626"/>
      <c r="AM394" s="626"/>
      <c r="AN394" s="626"/>
      <c r="AO394" s="626"/>
      <c r="AP394" s="626"/>
      <c r="AQ394" s="626"/>
      <c r="AR394" s="626"/>
      <c r="AS394" s="626"/>
      <c r="AT394" s="626"/>
      <c r="AU394" s="626"/>
      <c r="AV394" s="626"/>
      <c r="AW394" s="626"/>
    </row>
    <row r="395" spans="1:49" x14ac:dyDescent="0.2">
      <c r="A395" s="507" t="s">
        <v>473</v>
      </c>
      <c r="B395" s="629">
        <f t="shared" ref="B395:AW395" si="56">$B$392+(3*$B$394)</f>
        <v>16.979428594455193</v>
      </c>
      <c r="C395" s="629">
        <f t="shared" si="56"/>
        <v>16.979428594455193</v>
      </c>
      <c r="D395" s="629">
        <f t="shared" si="56"/>
        <v>16.979428594455193</v>
      </c>
      <c r="E395" s="629">
        <f t="shared" si="56"/>
        <v>16.979428594455193</v>
      </c>
      <c r="F395" s="629">
        <f t="shared" si="56"/>
        <v>16.979428594455193</v>
      </c>
      <c r="G395" s="629">
        <f t="shared" si="56"/>
        <v>16.979428594455193</v>
      </c>
      <c r="H395" s="629">
        <f t="shared" si="56"/>
        <v>16.979428594455193</v>
      </c>
      <c r="I395" s="629">
        <f t="shared" si="56"/>
        <v>16.979428594455193</v>
      </c>
      <c r="J395" s="629">
        <f t="shared" si="56"/>
        <v>16.979428594455193</v>
      </c>
      <c r="K395" s="629">
        <f t="shared" si="56"/>
        <v>16.979428594455193</v>
      </c>
      <c r="L395" s="629">
        <f t="shared" si="56"/>
        <v>16.979428594455193</v>
      </c>
      <c r="M395" s="629">
        <f t="shared" si="56"/>
        <v>16.979428594455193</v>
      </c>
      <c r="N395" s="629">
        <f t="shared" si="56"/>
        <v>16.979428594455193</v>
      </c>
      <c r="O395" s="629">
        <f t="shared" si="56"/>
        <v>16.979428594455193</v>
      </c>
      <c r="P395" s="629">
        <f t="shared" si="56"/>
        <v>16.979428594455193</v>
      </c>
      <c r="Q395" s="629">
        <f t="shared" si="56"/>
        <v>16.979428594455193</v>
      </c>
      <c r="R395" s="629">
        <f t="shared" si="56"/>
        <v>16.979428594455193</v>
      </c>
      <c r="S395" s="629">
        <f t="shared" si="56"/>
        <v>16.979428594455193</v>
      </c>
      <c r="T395" s="629">
        <f t="shared" si="56"/>
        <v>16.979428594455193</v>
      </c>
      <c r="U395" s="629">
        <f t="shared" si="56"/>
        <v>16.979428594455193</v>
      </c>
      <c r="V395" s="629">
        <f t="shared" si="56"/>
        <v>16.979428594455193</v>
      </c>
      <c r="W395" s="629">
        <f t="shared" si="56"/>
        <v>16.979428594455193</v>
      </c>
      <c r="X395" s="629">
        <f t="shared" si="56"/>
        <v>16.979428594455193</v>
      </c>
      <c r="Y395" s="629">
        <f t="shared" si="56"/>
        <v>16.979428594455193</v>
      </c>
      <c r="Z395" s="629">
        <f t="shared" si="56"/>
        <v>16.979428594455193</v>
      </c>
      <c r="AA395" s="629">
        <f t="shared" si="56"/>
        <v>16.979428594455193</v>
      </c>
      <c r="AB395" s="629">
        <f t="shared" si="56"/>
        <v>16.979428594455193</v>
      </c>
      <c r="AC395" s="629">
        <f t="shared" si="56"/>
        <v>16.979428594455193</v>
      </c>
      <c r="AD395" s="629">
        <f t="shared" si="56"/>
        <v>16.979428594455193</v>
      </c>
      <c r="AE395" s="629">
        <f t="shared" si="56"/>
        <v>16.979428594455193</v>
      </c>
      <c r="AF395" s="629">
        <f t="shared" si="56"/>
        <v>16.979428594455193</v>
      </c>
      <c r="AG395" s="629">
        <f t="shared" si="56"/>
        <v>16.979428594455193</v>
      </c>
      <c r="AH395" s="629">
        <f t="shared" si="56"/>
        <v>16.979428594455193</v>
      </c>
      <c r="AI395" s="629">
        <f t="shared" si="56"/>
        <v>16.979428594455193</v>
      </c>
      <c r="AJ395" s="629">
        <f t="shared" si="56"/>
        <v>16.979428594455193</v>
      </c>
      <c r="AK395" s="629">
        <f t="shared" si="56"/>
        <v>16.979428594455193</v>
      </c>
      <c r="AL395" s="629">
        <f t="shared" si="56"/>
        <v>16.979428594455193</v>
      </c>
      <c r="AM395" s="629">
        <f t="shared" si="56"/>
        <v>16.979428594455193</v>
      </c>
      <c r="AN395" s="629">
        <f t="shared" si="56"/>
        <v>16.979428594455193</v>
      </c>
      <c r="AO395" s="629">
        <f t="shared" si="56"/>
        <v>16.979428594455193</v>
      </c>
      <c r="AP395" s="629">
        <f t="shared" si="56"/>
        <v>16.979428594455193</v>
      </c>
      <c r="AQ395" s="629">
        <f t="shared" si="56"/>
        <v>16.979428594455193</v>
      </c>
      <c r="AR395" s="629">
        <f t="shared" si="56"/>
        <v>16.979428594455193</v>
      </c>
      <c r="AS395" s="629">
        <f t="shared" si="56"/>
        <v>16.979428594455193</v>
      </c>
      <c r="AT395" s="629">
        <f t="shared" si="56"/>
        <v>16.979428594455193</v>
      </c>
      <c r="AU395" s="629">
        <f t="shared" si="56"/>
        <v>16.979428594455193</v>
      </c>
      <c r="AV395" s="629">
        <f t="shared" si="56"/>
        <v>16.979428594455193</v>
      </c>
      <c r="AW395" s="629">
        <f t="shared" si="56"/>
        <v>16.979428594455193</v>
      </c>
    </row>
    <row r="396" spans="1:49" x14ac:dyDescent="0.2">
      <c r="A396" s="507" t="s">
        <v>475</v>
      </c>
      <c r="B396" s="629">
        <f t="shared" ref="B396:AW396" si="57">$B$392-(3*$B$394)</f>
        <v>-4.1309437459703435</v>
      </c>
      <c r="C396" s="629">
        <f t="shared" si="57"/>
        <v>-4.1309437459703435</v>
      </c>
      <c r="D396" s="629">
        <f t="shared" si="57"/>
        <v>-4.1309437459703435</v>
      </c>
      <c r="E396" s="629">
        <f t="shared" si="57"/>
        <v>-4.1309437459703435</v>
      </c>
      <c r="F396" s="629">
        <f t="shared" si="57"/>
        <v>-4.1309437459703435</v>
      </c>
      <c r="G396" s="629">
        <f t="shared" si="57"/>
        <v>-4.1309437459703435</v>
      </c>
      <c r="H396" s="629">
        <f t="shared" si="57"/>
        <v>-4.1309437459703435</v>
      </c>
      <c r="I396" s="629">
        <f t="shared" si="57"/>
        <v>-4.1309437459703435</v>
      </c>
      <c r="J396" s="629">
        <f t="shared" si="57"/>
        <v>-4.1309437459703435</v>
      </c>
      <c r="K396" s="629">
        <f t="shared" si="57"/>
        <v>-4.1309437459703435</v>
      </c>
      <c r="L396" s="629">
        <f t="shared" si="57"/>
        <v>-4.1309437459703435</v>
      </c>
      <c r="M396" s="629">
        <f t="shared" si="57"/>
        <v>-4.1309437459703435</v>
      </c>
      <c r="N396" s="629">
        <f t="shared" si="57"/>
        <v>-4.1309437459703435</v>
      </c>
      <c r="O396" s="629">
        <f t="shared" si="57"/>
        <v>-4.1309437459703435</v>
      </c>
      <c r="P396" s="629">
        <f t="shared" si="57"/>
        <v>-4.1309437459703435</v>
      </c>
      <c r="Q396" s="629">
        <f t="shared" si="57"/>
        <v>-4.1309437459703435</v>
      </c>
      <c r="R396" s="629">
        <f t="shared" si="57"/>
        <v>-4.1309437459703435</v>
      </c>
      <c r="S396" s="629">
        <f t="shared" si="57"/>
        <v>-4.1309437459703435</v>
      </c>
      <c r="T396" s="629">
        <f t="shared" si="57"/>
        <v>-4.1309437459703435</v>
      </c>
      <c r="U396" s="629">
        <f t="shared" si="57"/>
        <v>-4.1309437459703435</v>
      </c>
      <c r="V396" s="629">
        <f t="shared" si="57"/>
        <v>-4.1309437459703435</v>
      </c>
      <c r="W396" s="629">
        <f t="shared" si="57"/>
        <v>-4.1309437459703435</v>
      </c>
      <c r="X396" s="629">
        <f t="shared" si="57"/>
        <v>-4.1309437459703435</v>
      </c>
      <c r="Y396" s="629">
        <f t="shared" si="57"/>
        <v>-4.1309437459703435</v>
      </c>
      <c r="Z396" s="629">
        <f t="shared" si="57"/>
        <v>-4.1309437459703435</v>
      </c>
      <c r="AA396" s="629">
        <f t="shared" si="57"/>
        <v>-4.1309437459703435</v>
      </c>
      <c r="AB396" s="629">
        <f t="shared" si="57"/>
        <v>-4.1309437459703435</v>
      </c>
      <c r="AC396" s="629">
        <f t="shared" si="57"/>
        <v>-4.1309437459703435</v>
      </c>
      <c r="AD396" s="629">
        <f t="shared" si="57"/>
        <v>-4.1309437459703435</v>
      </c>
      <c r="AE396" s="629">
        <f t="shared" si="57"/>
        <v>-4.1309437459703435</v>
      </c>
      <c r="AF396" s="629">
        <f t="shared" si="57"/>
        <v>-4.1309437459703435</v>
      </c>
      <c r="AG396" s="629">
        <f t="shared" si="57"/>
        <v>-4.1309437459703435</v>
      </c>
      <c r="AH396" s="629">
        <f t="shared" si="57"/>
        <v>-4.1309437459703435</v>
      </c>
      <c r="AI396" s="629">
        <f t="shared" si="57"/>
        <v>-4.1309437459703435</v>
      </c>
      <c r="AJ396" s="629">
        <f t="shared" si="57"/>
        <v>-4.1309437459703435</v>
      </c>
      <c r="AK396" s="629">
        <f t="shared" si="57"/>
        <v>-4.1309437459703435</v>
      </c>
      <c r="AL396" s="629">
        <f t="shared" si="57"/>
        <v>-4.1309437459703435</v>
      </c>
      <c r="AM396" s="629">
        <f t="shared" si="57"/>
        <v>-4.1309437459703435</v>
      </c>
      <c r="AN396" s="629">
        <f t="shared" si="57"/>
        <v>-4.1309437459703435</v>
      </c>
      <c r="AO396" s="629">
        <f t="shared" si="57"/>
        <v>-4.1309437459703435</v>
      </c>
      <c r="AP396" s="629">
        <f t="shared" si="57"/>
        <v>-4.1309437459703435</v>
      </c>
      <c r="AQ396" s="629">
        <f t="shared" si="57"/>
        <v>-4.1309437459703435</v>
      </c>
      <c r="AR396" s="629">
        <f t="shared" si="57"/>
        <v>-4.1309437459703435</v>
      </c>
      <c r="AS396" s="629">
        <f t="shared" si="57"/>
        <v>-4.1309437459703435</v>
      </c>
      <c r="AT396" s="629">
        <f t="shared" si="57"/>
        <v>-4.1309437459703435</v>
      </c>
      <c r="AU396" s="629">
        <f t="shared" si="57"/>
        <v>-4.1309437459703435</v>
      </c>
      <c r="AV396" s="629">
        <f t="shared" si="57"/>
        <v>-4.1309437459703435</v>
      </c>
      <c r="AW396" s="629">
        <f t="shared" si="57"/>
        <v>-4.1309437459703435</v>
      </c>
    </row>
    <row r="397" spans="1:49" x14ac:dyDescent="0.2">
      <c r="A397" s="468"/>
      <c r="B397" s="626"/>
      <c r="C397" s="626"/>
      <c r="D397" s="626"/>
      <c r="E397" s="626"/>
      <c r="F397" s="626"/>
      <c r="G397" s="626"/>
      <c r="H397" s="626"/>
      <c r="I397" s="626"/>
      <c r="J397" s="626"/>
      <c r="K397" s="626"/>
      <c r="L397" s="626"/>
      <c r="M397" s="626"/>
      <c r="N397" s="626"/>
      <c r="O397" s="626"/>
      <c r="P397" s="626"/>
      <c r="Q397" s="626"/>
      <c r="R397" s="626"/>
      <c r="S397" s="626"/>
      <c r="T397" s="626"/>
      <c r="U397" s="626"/>
      <c r="V397" s="626"/>
      <c r="W397" s="626"/>
      <c r="X397" s="626"/>
      <c r="Y397" s="626"/>
      <c r="Z397" s="626"/>
      <c r="AA397" s="627"/>
      <c r="AB397" s="626"/>
      <c r="AC397" s="626"/>
      <c r="AD397" s="626"/>
      <c r="AE397" s="626"/>
      <c r="AF397" s="626"/>
      <c r="AG397" s="626"/>
      <c r="AH397" s="626"/>
      <c r="AI397" s="626"/>
      <c r="AJ397" s="626"/>
      <c r="AK397" s="626"/>
      <c r="AL397" s="626"/>
      <c r="AM397" s="626"/>
      <c r="AN397" s="626"/>
      <c r="AO397" s="626"/>
      <c r="AP397" s="626"/>
      <c r="AQ397" s="626"/>
      <c r="AR397" s="626"/>
      <c r="AS397" s="626"/>
      <c r="AT397" s="626"/>
      <c r="AU397" s="626"/>
      <c r="AV397" s="626"/>
      <c r="AW397" s="626"/>
    </row>
    <row r="398" spans="1:49" ht="15" x14ac:dyDescent="0.2">
      <c r="A398" s="534" t="s">
        <v>384</v>
      </c>
      <c r="B398" s="478" t="s">
        <v>491</v>
      </c>
      <c r="C398" s="472"/>
      <c r="D398" s="626"/>
      <c r="E398" s="626"/>
      <c r="F398" s="626"/>
      <c r="G398" s="626"/>
      <c r="H398" s="626"/>
      <c r="I398" s="626"/>
      <c r="J398" s="626"/>
      <c r="K398" s="626"/>
      <c r="L398" s="626"/>
      <c r="M398" s="626"/>
      <c r="N398" s="626"/>
      <c r="O398" s="626"/>
      <c r="P398" s="626"/>
      <c r="Q398" s="626"/>
      <c r="R398" s="626"/>
      <c r="S398" s="626"/>
      <c r="T398" s="626"/>
      <c r="U398" s="626"/>
      <c r="V398" s="626"/>
      <c r="W398" s="626"/>
      <c r="X398" s="626"/>
      <c r="Y398" s="626"/>
      <c r="Z398" s="626"/>
      <c r="AA398" s="627"/>
      <c r="AB398" s="626"/>
      <c r="AC398" s="626"/>
      <c r="AD398" s="626"/>
      <c r="AE398" s="626"/>
      <c r="AF398" s="626"/>
      <c r="AG398" s="626"/>
      <c r="AH398" s="626"/>
      <c r="AI398" s="626"/>
      <c r="AJ398" s="626"/>
      <c r="AK398" s="626"/>
      <c r="AL398" s="626"/>
      <c r="AM398" s="626"/>
      <c r="AN398" s="626"/>
      <c r="AO398" s="626"/>
      <c r="AP398" s="626"/>
      <c r="AQ398" s="626"/>
      <c r="AR398" s="626"/>
      <c r="AS398" s="626"/>
      <c r="AT398" s="626"/>
      <c r="AU398" s="626"/>
      <c r="AV398" s="626"/>
      <c r="AW398" s="626"/>
    </row>
    <row r="399" spans="1:49" x14ac:dyDescent="0.2">
      <c r="A399" s="479" t="s">
        <v>130</v>
      </c>
      <c r="B399" s="626"/>
      <c r="C399" s="626"/>
      <c r="D399" s="626"/>
      <c r="E399" s="626"/>
      <c r="F399" s="626"/>
      <c r="G399" s="626"/>
      <c r="H399" s="626"/>
      <c r="I399" s="626"/>
      <c r="J399" s="626"/>
      <c r="K399" s="626"/>
      <c r="L399" s="626"/>
      <c r="M399" s="626"/>
      <c r="N399" s="626"/>
      <c r="O399" s="626"/>
      <c r="P399" s="626"/>
      <c r="Q399" s="626"/>
      <c r="R399" s="626"/>
      <c r="S399" s="626"/>
      <c r="T399" s="626"/>
      <c r="U399" s="626"/>
      <c r="V399" s="626"/>
      <c r="W399" s="626"/>
      <c r="X399" s="626"/>
      <c r="Y399" s="626"/>
      <c r="Z399" s="626"/>
      <c r="AA399" s="627"/>
      <c r="AB399" s="626"/>
      <c r="AC399" s="626"/>
      <c r="AD399" s="626"/>
      <c r="AE399" s="626"/>
      <c r="AF399" s="626"/>
      <c r="AG399" s="626"/>
      <c r="AH399" s="626"/>
      <c r="AI399" s="626"/>
      <c r="AJ399" s="626"/>
      <c r="AK399" s="626"/>
      <c r="AL399" s="626"/>
      <c r="AM399" s="626"/>
      <c r="AN399" s="626"/>
      <c r="AO399" s="626"/>
      <c r="AP399" s="626"/>
      <c r="AQ399" s="626"/>
      <c r="AR399" s="626"/>
      <c r="AS399" s="626"/>
      <c r="AT399" s="626"/>
      <c r="AU399" s="626"/>
      <c r="AV399" s="626"/>
      <c r="AW399" s="626"/>
    </row>
    <row r="400" spans="1:49" x14ac:dyDescent="0.2">
      <c r="A400" s="479" t="s">
        <v>178</v>
      </c>
      <c r="B400" s="626"/>
      <c r="C400" s="626"/>
      <c r="D400" s="626"/>
      <c r="E400" s="626"/>
      <c r="F400" s="626"/>
      <c r="G400" s="626"/>
      <c r="H400" s="626"/>
      <c r="I400" s="626"/>
      <c r="J400" s="626"/>
      <c r="K400" s="626"/>
      <c r="L400" s="626"/>
      <c r="M400" s="626"/>
      <c r="N400" s="626"/>
      <c r="O400" s="626"/>
      <c r="P400" s="626"/>
      <c r="Q400" s="626"/>
      <c r="R400" s="626"/>
      <c r="S400" s="626"/>
      <c r="T400" s="626"/>
      <c r="U400" s="626"/>
      <c r="V400" s="626"/>
      <c r="W400" s="626"/>
      <c r="X400" s="626"/>
      <c r="Y400" s="626"/>
      <c r="Z400" s="626"/>
      <c r="AA400" s="627"/>
      <c r="AB400" s="626"/>
      <c r="AC400" s="626"/>
      <c r="AD400" s="626"/>
      <c r="AE400" s="626"/>
      <c r="AF400" s="626"/>
      <c r="AG400" s="626"/>
      <c r="AH400" s="626"/>
      <c r="AI400" s="626"/>
      <c r="AJ400" s="626"/>
      <c r="AK400" s="626"/>
      <c r="AL400" s="626"/>
      <c r="AM400" s="626"/>
      <c r="AN400" s="626"/>
      <c r="AO400" s="626"/>
      <c r="AP400" s="626"/>
      <c r="AQ400" s="626"/>
      <c r="AR400" s="626"/>
      <c r="AS400" s="626"/>
      <c r="AT400" s="626"/>
      <c r="AU400" s="626"/>
      <c r="AV400" s="626"/>
      <c r="AW400" s="626"/>
    </row>
    <row r="401" spans="1:49" x14ac:dyDescent="0.2">
      <c r="A401" s="498" t="s">
        <v>466</v>
      </c>
      <c r="B401" s="628"/>
      <c r="C401" s="628">
        <f>SUM(C362-B362)</f>
        <v>0</v>
      </c>
      <c r="D401" s="628">
        <f t="shared" ref="D401:AH401" si="58">SUM(D362-C362)</f>
        <v>0</v>
      </c>
      <c r="E401" s="628">
        <f t="shared" si="58"/>
        <v>0</v>
      </c>
      <c r="F401" s="628">
        <f t="shared" si="58"/>
        <v>0</v>
      </c>
      <c r="G401" s="628">
        <f t="shared" si="58"/>
        <v>0</v>
      </c>
      <c r="H401" s="628">
        <f t="shared" si="58"/>
        <v>0</v>
      </c>
      <c r="I401" s="628">
        <f t="shared" si="58"/>
        <v>0</v>
      </c>
      <c r="J401" s="628">
        <f t="shared" si="58"/>
        <v>0</v>
      </c>
      <c r="K401" s="628">
        <f t="shared" si="58"/>
        <v>0</v>
      </c>
      <c r="L401" s="628">
        <f t="shared" si="58"/>
        <v>0</v>
      </c>
      <c r="M401" s="628">
        <f t="shared" si="58"/>
        <v>0</v>
      </c>
      <c r="N401" s="628">
        <f t="shared" si="58"/>
        <v>0</v>
      </c>
      <c r="O401" s="628">
        <f t="shared" si="58"/>
        <v>0</v>
      </c>
      <c r="P401" s="628">
        <f t="shared" si="58"/>
        <v>0</v>
      </c>
      <c r="Q401" s="628">
        <f t="shared" si="58"/>
        <v>0</v>
      </c>
      <c r="R401" s="628">
        <f t="shared" si="58"/>
        <v>0</v>
      </c>
      <c r="S401" s="628">
        <f t="shared" si="58"/>
        <v>0</v>
      </c>
      <c r="T401" s="628">
        <f t="shared" si="58"/>
        <v>0</v>
      </c>
      <c r="U401" s="628">
        <f t="shared" si="58"/>
        <v>0</v>
      </c>
      <c r="V401" s="628">
        <f t="shared" si="58"/>
        <v>0</v>
      </c>
      <c r="W401" s="628">
        <f t="shared" si="58"/>
        <v>0</v>
      </c>
      <c r="X401" s="628">
        <f t="shared" si="58"/>
        <v>0</v>
      </c>
      <c r="Y401" s="628">
        <f t="shared" si="58"/>
        <v>0</v>
      </c>
      <c r="Z401" s="628">
        <f t="shared" si="58"/>
        <v>0</v>
      </c>
      <c r="AA401" s="628">
        <f t="shared" si="58"/>
        <v>0</v>
      </c>
      <c r="AB401" s="628">
        <f t="shared" si="58"/>
        <v>0</v>
      </c>
      <c r="AC401" s="628">
        <f t="shared" si="58"/>
        <v>0</v>
      </c>
      <c r="AD401" s="628">
        <f t="shared" si="58"/>
        <v>0</v>
      </c>
      <c r="AE401" s="628">
        <f t="shared" si="58"/>
        <v>0</v>
      </c>
      <c r="AF401" s="628">
        <f t="shared" si="58"/>
        <v>0</v>
      </c>
      <c r="AG401" s="628">
        <f t="shared" si="58"/>
        <v>0</v>
      </c>
      <c r="AH401" s="628">
        <f t="shared" si="58"/>
        <v>0</v>
      </c>
      <c r="AI401" s="497" t="s">
        <v>368</v>
      </c>
      <c r="AJ401" s="497" t="s">
        <v>368</v>
      </c>
      <c r="AK401" s="497" t="s">
        <v>368</v>
      </c>
      <c r="AL401" s="497" t="s">
        <v>368</v>
      </c>
      <c r="AM401" s="497" t="s">
        <v>368</v>
      </c>
      <c r="AN401" s="497" t="s">
        <v>368</v>
      </c>
      <c r="AO401" s="497" t="s">
        <v>368</v>
      </c>
      <c r="AP401" s="497" t="s">
        <v>368</v>
      </c>
      <c r="AQ401" s="497" t="s">
        <v>368</v>
      </c>
      <c r="AR401" s="497" t="s">
        <v>368</v>
      </c>
      <c r="AS401" s="497" t="s">
        <v>368</v>
      </c>
      <c r="AT401" s="497" t="s">
        <v>368</v>
      </c>
      <c r="AU401" s="497" t="s">
        <v>368</v>
      </c>
      <c r="AV401" s="497" t="s">
        <v>368</v>
      </c>
      <c r="AW401" s="497" t="s">
        <v>368</v>
      </c>
    </row>
    <row r="402" spans="1:49" ht="53.25" x14ac:dyDescent="0.2">
      <c r="A402" s="471" t="s">
        <v>497</v>
      </c>
      <c r="B402" s="626"/>
      <c r="C402" s="626"/>
      <c r="D402" s="626"/>
      <c r="E402" s="626"/>
      <c r="F402" s="626"/>
      <c r="G402" s="626"/>
      <c r="H402" s="626"/>
      <c r="I402" s="626"/>
      <c r="J402" s="626"/>
      <c r="K402" s="626"/>
      <c r="L402" s="626"/>
      <c r="M402" s="626"/>
      <c r="N402" s="626"/>
      <c r="O402" s="626"/>
      <c r="P402" s="626"/>
      <c r="Q402" s="626"/>
      <c r="R402" s="626"/>
      <c r="S402" s="626"/>
      <c r="T402" s="626"/>
      <c r="U402" s="626"/>
      <c r="V402" s="626"/>
      <c r="W402" s="626"/>
      <c r="X402" s="626"/>
      <c r="Y402" s="626"/>
      <c r="Z402" s="626"/>
      <c r="AA402" s="627"/>
      <c r="AB402" s="626"/>
      <c r="AC402" s="626"/>
      <c r="AD402" s="626"/>
      <c r="AE402" s="626"/>
      <c r="AF402" s="626"/>
      <c r="AG402" s="626"/>
      <c r="AH402" s="626"/>
      <c r="AI402" s="626"/>
      <c r="AJ402" s="626"/>
      <c r="AK402" s="626"/>
      <c r="AL402" s="626"/>
      <c r="AM402" s="626"/>
      <c r="AN402" s="626"/>
      <c r="AO402" s="626"/>
      <c r="AP402" s="626"/>
      <c r="AQ402" s="626"/>
      <c r="AR402" s="626"/>
      <c r="AS402" s="626"/>
      <c r="AT402" s="626"/>
      <c r="AU402" s="626"/>
      <c r="AV402" s="626"/>
      <c r="AW402" s="626"/>
    </row>
    <row r="403" spans="1:49" x14ac:dyDescent="0.2">
      <c r="A403" s="461" t="s">
        <v>468</v>
      </c>
      <c r="B403" s="626">
        <f t="shared" ref="B403:AW403" si="59">AVERAGE($B$362:$AW$362)</f>
        <v>0</v>
      </c>
      <c r="C403" s="626">
        <f t="shared" si="59"/>
        <v>0</v>
      </c>
      <c r="D403" s="626">
        <f t="shared" si="59"/>
        <v>0</v>
      </c>
      <c r="E403" s="626">
        <f t="shared" si="59"/>
        <v>0</v>
      </c>
      <c r="F403" s="626">
        <f t="shared" si="59"/>
        <v>0</v>
      </c>
      <c r="G403" s="626">
        <f t="shared" si="59"/>
        <v>0</v>
      </c>
      <c r="H403" s="626">
        <f t="shared" si="59"/>
        <v>0</v>
      </c>
      <c r="I403" s="626">
        <f t="shared" si="59"/>
        <v>0</v>
      </c>
      <c r="J403" s="626">
        <f t="shared" si="59"/>
        <v>0</v>
      </c>
      <c r="K403" s="626">
        <f t="shared" si="59"/>
        <v>0</v>
      </c>
      <c r="L403" s="626">
        <f t="shared" si="59"/>
        <v>0</v>
      </c>
      <c r="M403" s="626">
        <f t="shared" si="59"/>
        <v>0</v>
      </c>
      <c r="N403" s="626">
        <f t="shared" si="59"/>
        <v>0</v>
      </c>
      <c r="O403" s="626">
        <f t="shared" si="59"/>
        <v>0</v>
      </c>
      <c r="P403" s="626">
        <f t="shared" si="59"/>
        <v>0</v>
      </c>
      <c r="Q403" s="626">
        <f t="shared" si="59"/>
        <v>0</v>
      </c>
      <c r="R403" s="626">
        <f t="shared" si="59"/>
        <v>0</v>
      </c>
      <c r="S403" s="626">
        <f t="shared" si="59"/>
        <v>0</v>
      </c>
      <c r="T403" s="626">
        <f t="shared" si="59"/>
        <v>0</v>
      </c>
      <c r="U403" s="626">
        <f t="shared" si="59"/>
        <v>0</v>
      </c>
      <c r="V403" s="626">
        <f t="shared" si="59"/>
        <v>0</v>
      </c>
      <c r="W403" s="626">
        <f t="shared" si="59"/>
        <v>0</v>
      </c>
      <c r="X403" s="626">
        <f t="shared" si="59"/>
        <v>0</v>
      </c>
      <c r="Y403" s="626">
        <f t="shared" si="59"/>
        <v>0</v>
      </c>
      <c r="Z403" s="626">
        <f t="shared" si="59"/>
        <v>0</v>
      </c>
      <c r="AA403" s="626">
        <f t="shared" si="59"/>
        <v>0</v>
      </c>
      <c r="AB403" s="626">
        <f t="shared" si="59"/>
        <v>0</v>
      </c>
      <c r="AC403" s="626">
        <f t="shared" si="59"/>
        <v>0</v>
      </c>
      <c r="AD403" s="626">
        <f t="shared" si="59"/>
        <v>0</v>
      </c>
      <c r="AE403" s="626">
        <f t="shared" si="59"/>
        <v>0</v>
      </c>
      <c r="AF403" s="626">
        <f t="shared" si="59"/>
        <v>0</v>
      </c>
      <c r="AG403" s="626">
        <f t="shared" si="59"/>
        <v>0</v>
      </c>
      <c r="AH403" s="626">
        <f t="shared" si="59"/>
        <v>0</v>
      </c>
      <c r="AI403" s="626">
        <f t="shared" si="59"/>
        <v>0</v>
      </c>
      <c r="AJ403" s="626">
        <f t="shared" si="59"/>
        <v>0</v>
      </c>
      <c r="AK403" s="626">
        <f t="shared" si="59"/>
        <v>0</v>
      </c>
      <c r="AL403" s="626">
        <f t="shared" si="59"/>
        <v>0</v>
      </c>
      <c r="AM403" s="626">
        <f t="shared" si="59"/>
        <v>0</v>
      </c>
      <c r="AN403" s="626">
        <f t="shared" si="59"/>
        <v>0</v>
      </c>
      <c r="AO403" s="626">
        <f t="shared" si="59"/>
        <v>0</v>
      </c>
      <c r="AP403" s="626">
        <f t="shared" si="59"/>
        <v>0</v>
      </c>
      <c r="AQ403" s="626">
        <f t="shared" si="59"/>
        <v>0</v>
      </c>
      <c r="AR403" s="626">
        <f t="shared" si="59"/>
        <v>0</v>
      </c>
      <c r="AS403" s="626">
        <f t="shared" si="59"/>
        <v>0</v>
      </c>
      <c r="AT403" s="626">
        <f t="shared" si="59"/>
        <v>0</v>
      </c>
      <c r="AU403" s="626">
        <f t="shared" si="59"/>
        <v>0</v>
      </c>
      <c r="AV403" s="626">
        <f t="shared" si="59"/>
        <v>0</v>
      </c>
      <c r="AW403" s="626">
        <f t="shared" si="59"/>
        <v>0</v>
      </c>
    </row>
    <row r="404" spans="1:49" x14ac:dyDescent="0.2">
      <c r="A404" s="470" t="s">
        <v>467</v>
      </c>
      <c r="B404" s="626">
        <f>SUM(C401:AW401)/COUNT(C401:AW401)</f>
        <v>0</v>
      </c>
      <c r="C404" s="626"/>
      <c r="D404" s="626"/>
      <c r="E404" s="626"/>
      <c r="F404" s="626"/>
      <c r="G404" s="626"/>
      <c r="H404" s="626"/>
      <c r="I404" s="626"/>
      <c r="J404" s="626"/>
      <c r="K404" s="626"/>
      <c r="L404" s="626"/>
      <c r="M404" s="626"/>
      <c r="N404" s="626"/>
      <c r="O404" s="626"/>
      <c r="P404" s="626"/>
      <c r="Q404" s="626"/>
      <c r="R404" s="626"/>
      <c r="S404" s="626"/>
      <c r="T404" s="626"/>
      <c r="U404" s="626"/>
      <c r="V404" s="626"/>
      <c r="W404" s="626"/>
      <c r="X404" s="626"/>
      <c r="Y404" s="626"/>
      <c r="Z404" s="626"/>
      <c r="AA404" s="627"/>
      <c r="AB404" s="626"/>
      <c r="AC404" s="626"/>
      <c r="AD404" s="626"/>
      <c r="AE404" s="626"/>
      <c r="AF404" s="626"/>
      <c r="AG404" s="626"/>
      <c r="AH404" s="626"/>
      <c r="AI404" s="626"/>
      <c r="AJ404" s="626"/>
      <c r="AK404" s="626"/>
      <c r="AL404" s="626"/>
      <c r="AM404" s="626"/>
      <c r="AN404" s="626"/>
      <c r="AO404" s="626"/>
      <c r="AP404" s="626"/>
      <c r="AQ404" s="626"/>
      <c r="AR404" s="626"/>
      <c r="AS404" s="626"/>
      <c r="AT404" s="626"/>
      <c r="AU404" s="626"/>
      <c r="AV404" s="626"/>
      <c r="AW404" s="626"/>
    </row>
    <row r="405" spans="1:49" ht="25.5" x14ac:dyDescent="0.2">
      <c r="A405" s="470" t="s">
        <v>470</v>
      </c>
      <c r="B405" s="626">
        <f>B404/1.128</f>
        <v>0</v>
      </c>
      <c r="C405" s="626"/>
      <c r="D405" s="626"/>
      <c r="E405" s="626"/>
      <c r="F405" s="626"/>
      <c r="G405" s="626"/>
      <c r="H405" s="626"/>
      <c r="I405" s="626"/>
      <c r="J405" s="626"/>
      <c r="K405" s="626"/>
      <c r="L405" s="626"/>
      <c r="M405" s="626"/>
      <c r="N405" s="626"/>
      <c r="O405" s="626"/>
      <c r="P405" s="626"/>
      <c r="Q405" s="626"/>
      <c r="R405" s="626"/>
      <c r="S405" s="626"/>
      <c r="T405" s="626"/>
      <c r="U405" s="626"/>
      <c r="V405" s="626"/>
      <c r="W405" s="626"/>
      <c r="X405" s="626"/>
      <c r="Y405" s="626"/>
      <c r="Z405" s="626"/>
      <c r="AA405" s="627"/>
      <c r="AB405" s="626"/>
      <c r="AC405" s="626"/>
      <c r="AD405" s="626"/>
      <c r="AE405" s="626"/>
      <c r="AF405" s="626"/>
      <c r="AG405" s="626"/>
      <c r="AH405" s="626"/>
      <c r="AI405" s="626"/>
      <c r="AJ405" s="626"/>
      <c r="AK405" s="626"/>
      <c r="AL405" s="626"/>
      <c r="AM405" s="626"/>
      <c r="AN405" s="626"/>
      <c r="AO405" s="626"/>
      <c r="AP405" s="626"/>
      <c r="AQ405" s="626"/>
      <c r="AR405" s="626"/>
      <c r="AS405" s="626"/>
      <c r="AT405" s="626"/>
      <c r="AU405" s="626"/>
      <c r="AV405" s="626"/>
      <c r="AW405" s="626"/>
    </row>
    <row r="406" spans="1:49" x14ac:dyDescent="0.2">
      <c r="A406" s="470" t="s">
        <v>473</v>
      </c>
      <c r="B406" s="626"/>
      <c r="C406" s="626"/>
      <c r="D406" s="626"/>
      <c r="E406" s="626"/>
      <c r="F406" s="626"/>
      <c r="G406" s="626"/>
      <c r="H406" s="626"/>
      <c r="I406" s="626"/>
      <c r="J406" s="626"/>
      <c r="K406" s="626"/>
      <c r="L406" s="626"/>
      <c r="M406" s="626"/>
      <c r="N406" s="626"/>
      <c r="O406" s="626"/>
      <c r="P406" s="626"/>
      <c r="Q406" s="626"/>
      <c r="R406" s="626"/>
      <c r="S406" s="626"/>
      <c r="T406" s="626"/>
      <c r="U406" s="626"/>
      <c r="V406" s="626"/>
      <c r="W406" s="626"/>
      <c r="X406" s="626"/>
      <c r="Y406" s="626"/>
      <c r="Z406" s="626"/>
      <c r="AA406" s="627"/>
      <c r="AB406" s="626"/>
      <c r="AC406" s="626"/>
      <c r="AD406" s="626"/>
      <c r="AE406" s="626"/>
      <c r="AF406" s="626"/>
      <c r="AG406" s="626"/>
      <c r="AH406" s="626"/>
      <c r="AI406" s="626"/>
      <c r="AJ406" s="626"/>
      <c r="AK406" s="626"/>
      <c r="AL406" s="626"/>
      <c r="AM406" s="626"/>
      <c r="AN406" s="626"/>
      <c r="AO406" s="626"/>
      <c r="AP406" s="626"/>
      <c r="AQ406" s="626"/>
      <c r="AR406" s="626"/>
      <c r="AS406" s="626"/>
      <c r="AT406" s="626"/>
      <c r="AU406" s="626"/>
      <c r="AV406" s="626"/>
      <c r="AW406" s="626"/>
    </row>
    <row r="407" spans="1:49" x14ac:dyDescent="0.2">
      <c r="A407" s="470" t="s">
        <v>475</v>
      </c>
      <c r="B407" s="626"/>
      <c r="C407" s="626"/>
      <c r="D407" s="626"/>
      <c r="E407" s="626"/>
      <c r="F407" s="626"/>
      <c r="G407" s="626"/>
      <c r="H407" s="626"/>
      <c r="I407" s="626"/>
      <c r="J407" s="626"/>
      <c r="K407" s="626"/>
      <c r="L407" s="626"/>
      <c r="M407" s="626"/>
      <c r="N407" s="626"/>
      <c r="O407" s="626"/>
      <c r="P407" s="626"/>
      <c r="Q407" s="626"/>
      <c r="R407" s="626"/>
      <c r="S407" s="626"/>
      <c r="T407" s="626"/>
      <c r="U407" s="626"/>
      <c r="V407" s="626"/>
      <c r="W407" s="626"/>
      <c r="X407" s="626"/>
      <c r="Y407" s="626"/>
      <c r="Z407" s="626"/>
      <c r="AA407" s="627"/>
      <c r="AB407" s="626"/>
      <c r="AC407" s="626"/>
      <c r="AD407" s="626"/>
      <c r="AE407" s="626"/>
      <c r="AF407" s="626"/>
      <c r="AG407" s="626"/>
      <c r="AH407" s="626"/>
      <c r="AI407" s="626"/>
      <c r="AJ407" s="626"/>
      <c r="AK407" s="626"/>
      <c r="AL407" s="626"/>
      <c r="AM407" s="626"/>
      <c r="AN407" s="626"/>
      <c r="AO407" s="626"/>
      <c r="AP407" s="626"/>
      <c r="AQ407" s="626"/>
      <c r="AR407" s="626"/>
      <c r="AS407" s="626"/>
      <c r="AT407" s="626"/>
      <c r="AU407" s="626"/>
      <c r="AV407" s="626"/>
      <c r="AW407" s="626"/>
    </row>
    <row r="408" spans="1:49" x14ac:dyDescent="0.2">
      <c r="A408" s="468"/>
      <c r="B408" s="626"/>
      <c r="C408" s="626"/>
      <c r="D408" s="626"/>
      <c r="E408" s="626"/>
      <c r="F408" s="626"/>
      <c r="G408" s="626"/>
      <c r="H408" s="626"/>
      <c r="I408" s="626"/>
      <c r="J408" s="626"/>
      <c r="K408" s="626"/>
      <c r="L408" s="626"/>
      <c r="M408" s="626"/>
      <c r="N408" s="626"/>
      <c r="O408" s="626"/>
      <c r="P408" s="626"/>
      <c r="Q408" s="626"/>
      <c r="R408" s="626"/>
      <c r="S408" s="626"/>
      <c r="T408" s="626"/>
      <c r="U408" s="626"/>
      <c r="V408" s="626"/>
      <c r="W408" s="626"/>
      <c r="X408" s="626"/>
      <c r="Y408" s="626"/>
      <c r="Z408" s="626"/>
      <c r="AA408" s="627"/>
      <c r="AB408" s="626"/>
      <c r="AC408" s="626"/>
      <c r="AD408" s="626"/>
      <c r="AE408" s="626"/>
      <c r="AF408" s="626"/>
      <c r="AG408" s="626"/>
      <c r="AH408" s="626"/>
      <c r="AI408" s="626"/>
      <c r="AJ408" s="626"/>
      <c r="AK408" s="626"/>
      <c r="AL408" s="626"/>
      <c r="AM408" s="626"/>
      <c r="AN408" s="626"/>
      <c r="AO408" s="626"/>
      <c r="AP408" s="626"/>
      <c r="AQ408" s="626"/>
      <c r="AR408" s="626"/>
      <c r="AS408" s="626"/>
      <c r="AT408" s="626"/>
      <c r="AU408" s="626"/>
      <c r="AV408" s="626"/>
      <c r="AW408" s="626"/>
    </row>
    <row r="409" spans="1:49" ht="45" x14ac:dyDescent="0.25">
      <c r="A409" s="535" t="s">
        <v>253</v>
      </c>
      <c r="B409" s="478" t="s">
        <v>491</v>
      </c>
      <c r="C409" s="472"/>
      <c r="D409" s="626"/>
      <c r="E409" s="626"/>
      <c r="F409" s="626"/>
      <c r="G409" s="626"/>
      <c r="H409" s="626"/>
      <c r="I409" s="626"/>
      <c r="J409" s="626"/>
      <c r="K409" s="626"/>
      <c r="L409" s="626"/>
      <c r="M409" s="626"/>
      <c r="N409" s="626"/>
      <c r="O409" s="626"/>
      <c r="P409" s="626"/>
      <c r="Q409" s="626"/>
      <c r="R409" s="626"/>
      <c r="S409" s="626"/>
      <c r="T409" s="626"/>
      <c r="U409" s="626"/>
      <c r="V409" s="626"/>
      <c r="W409" s="626"/>
      <c r="X409" s="626"/>
      <c r="Y409" s="626"/>
      <c r="Z409" s="626"/>
      <c r="AA409" s="627"/>
      <c r="AB409" s="626"/>
      <c r="AC409" s="626"/>
      <c r="AD409" s="626"/>
      <c r="AE409" s="626"/>
      <c r="AF409" s="626"/>
      <c r="AG409" s="626"/>
      <c r="AH409" s="626"/>
      <c r="AI409" s="626"/>
      <c r="AJ409" s="626"/>
      <c r="AK409" s="626"/>
      <c r="AL409" s="626"/>
      <c r="AM409" s="626"/>
      <c r="AN409" s="626"/>
      <c r="AO409" s="626"/>
      <c r="AP409" s="626"/>
      <c r="AQ409" s="626"/>
      <c r="AR409" s="626"/>
      <c r="AS409" s="626"/>
      <c r="AT409" s="626"/>
      <c r="AU409" s="626"/>
      <c r="AV409" s="626"/>
      <c r="AW409" s="626"/>
    </row>
    <row r="410" spans="1:49" x14ac:dyDescent="0.2">
      <c r="A410" s="479" t="s">
        <v>130</v>
      </c>
      <c r="B410" s="626"/>
      <c r="C410" s="626"/>
      <c r="D410" s="626"/>
      <c r="E410" s="626"/>
      <c r="F410" s="626"/>
      <c r="G410" s="626"/>
      <c r="H410" s="626"/>
      <c r="I410" s="626"/>
      <c r="J410" s="626"/>
      <c r="K410" s="626"/>
      <c r="L410" s="626"/>
      <c r="M410" s="626"/>
      <c r="N410" s="626"/>
      <c r="O410" s="626"/>
      <c r="P410" s="626"/>
      <c r="Q410" s="626"/>
      <c r="R410" s="626"/>
      <c r="S410" s="626"/>
      <c r="T410" s="626"/>
      <c r="U410" s="626"/>
      <c r="V410" s="626"/>
      <c r="W410" s="626"/>
      <c r="X410" s="626"/>
      <c r="Y410" s="626"/>
      <c r="Z410" s="626"/>
      <c r="AA410" s="627"/>
      <c r="AB410" s="626"/>
      <c r="AC410" s="626"/>
      <c r="AD410" s="626"/>
      <c r="AE410" s="626"/>
      <c r="AF410" s="626"/>
      <c r="AG410" s="626"/>
      <c r="AH410" s="626"/>
      <c r="AI410" s="626"/>
      <c r="AJ410" s="626"/>
      <c r="AK410" s="626"/>
      <c r="AL410" s="626"/>
      <c r="AM410" s="626"/>
      <c r="AN410" s="626"/>
      <c r="AO410" s="626"/>
      <c r="AP410" s="626"/>
      <c r="AQ410" s="626"/>
      <c r="AR410" s="626"/>
      <c r="AS410" s="626"/>
      <c r="AT410" s="626"/>
      <c r="AU410" s="626"/>
      <c r="AV410" s="626"/>
      <c r="AW410" s="626"/>
    </row>
    <row r="411" spans="1:49" x14ac:dyDescent="0.2">
      <c r="A411" s="479" t="s">
        <v>178</v>
      </c>
      <c r="B411" s="626"/>
      <c r="C411" s="626"/>
      <c r="D411" s="626"/>
      <c r="E411" s="626"/>
      <c r="F411" s="626"/>
      <c r="G411" s="626"/>
      <c r="H411" s="626"/>
      <c r="I411" s="626"/>
      <c r="J411" s="626"/>
      <c r="K411" s="626"/>
      <c r="L411" s="626"/>
      <c r="M411" s="626"/>
      <c r="N411" s="626"/>
      <c r="O411" s="626"/>
      <c r="P411" s="626"/>
      <c r="Q411" s="626"/>
      <c r="R411" s="626"/>
      <c r="S411" s="626"/>
      <c r="T411" s="626"/>
      <c r="U411" s="626"/>
      <c r="V411" s="626"/>
      <c r="W411" s="626"/>
      <c r="X411" s="626"/>
      <c r="Y411" s="626"/>
      <c r="Z411" s="626"/>
      <c r="AA411" s="627"/>
      <c r="AB411" s="626"/>
      <c r="AC411" s="626"/>
      <c r="AD411" s="626"/>
      <c r="AE411" s="626"/>
      <c r="AF411" s="626"/>
      <c r="AG411" s="626"/>
      <c r="AH411" s="626"/>
      <c r="AI411" s="626"/>
      <c r="AJ411" s="626"/>
      <c r="AK411" s="626"/>
      <c r="AL411" s="626"/>
      <c r="AM411" s="626"/>
      <c r="AN411" s="626"/>
      <c r="AO411" s="626"/>
      <c r="AP411" s="626"/>
      <c r="AQ411" s="626"/>
      <c r="AR411" s="626"/>
      <c r="AS411" s="626"/>
      <c r="AT411" s="626"/>
      <c r="AU411" s="626"/>
      <c r="AV411" s="626"/>
      <c r="AW411" s="626"/>
    </row>
    <row r="412" spans="1:49" x14ac:dyDescent="0.2">
      <c r="A412" s="498" t="s">
        <v>466</v>
      </c>
      <c r="B412" s="628"/>
      <c r="C412" s="628">
        <f>SUM(C363-B363)*-1</f>
        <v>2</v>
      </c>
      <c r="D412" s="628">
        <f>SUM(D363-C363)*-1</f>
        <v>2</v>
      </c>
      <c r="E412" s="628">
        <f>SUM(E363-D363)*-1</f>
        <v>66</v>
      </c>
      <c r="F412" s="628">
        <f>SUM(F363-E363)*-1</f>
        <v>24</v>
      </c>
      <c r="G412" s="628">
        <f t="shared" ref="G412:W412" si="60">SUM(G363-F363)</f>
        <v>78</v>
      </c>
      <c r="H412" s="628">
        <f>SUM(H363-G363)*-1</f>
        <v>49</v>
      </c>
      <c r="I412" s="628">
        <f>SUM(I363-H363)*-1</f>
        <v>68</v>
      </c>
      <c r="J412" s="628">
        <f t="shared" ref="J412" si="61">SUM(J363-I363)</f>
        <v>9</v>
      </c>
      <c r="K412" s="628">
        <f>SUM(K363-J363)*-1</f>
        <v>5</v>
      </c>
      <c r="L412" s="628">
        <f t="shared" ref="L412" si="62">SUM(L363-K363)</f>
        <v>14</v>
      </c>
      <c r="M412" s="628">
        <f>SUM(M363-L363)*-1</f>
        <v>6</v>
      </c>
      <c r="N412" s="628">
        <f t="shared" ref="N412" si="63">SUM(N363-M363)</f>
        <v>189</v>
      </c>
      <c r="O412" s="628">
        <f>SUM(O363-N363)*-1</f>
        <v>36</v>
      </c>
      <c r="P412" s="628">
        <f t="shared" ref="P412" si="64">SUM(P363-O363)</f>
        <v>20</v>
      </c>
      <c r="Q412" s="628">
        <f>SUM(Q363-P363)*-1</f>
        <v>143</v>
      </c>
      <c r="R412" s="628">
        <f t="shared" ref="R412" si="65">SUM(R363-Q363)</f>
        <v>0</v>
      </c>
      <c r="S412" s="628">
        <f>SUM(S363-R363)*-1</f>
        <v>28</v>
      </c>
      <c r="T412" s="628">
        <f t="shared" ref="T412" si="66">SUM(T363-S363)</f>
        <v>11</v>
      </c>
      <c r="U412" s="628">
        <f>SUM(U363-T363)*-1</f>
        <v>5</v>
      </c>
      <c r="V412" s="628">
        <f t="shared" si="60"/>
        <v>47</v>
      </c>
      <c r="W412" s="628">
        <f t="shared" si="60"/>
        <v>26</v>
      </c>
      <c r="X412" s="628">
        <f>SUM(X363-W363)*-1</f>
        <v>65</v>
      </c>
      <c r="Y412" s="628">
        <f>SUM(Y363-X363)*-1</f>
        <v>8</v>
      </c>
      <c r="Z412" s="628">
        <f>SUM(Z363-Y363)</f>
        <v>45</v>
      </c>
      <c r="AA412" s="628">
        <f>SUM(AA363-Z363)*-1</f>
        <v>28</v>
      </c>
      <c r="AB412" s="628">
        <f>SUM(AB363-AA363)</f>
        <v>2</v>
      </c>
      <c r="AC412" s="628">
        <f>SUM(AC363-AB363)</f>
        <v>24</v>
      </c>
      <c r="AD412" s="628">
        <f>SUM(AD363-AC363)*-1</f>
        <v>29</v>
      </c>
      <c r="AE412" s="628">
        <f>SUM(AE363-AD363)</f>
        <v>12</v>
      </c>
      <c r="AF412" s="628">
        <f>SUM(AF363-AE363)</f>
        <v>38</v>
      </c>
      <c r="AG412" s="628">
        <f>SUM(AG363-AF363)</f>
        <v>0</v>
      </c>
      <c r="AH412" s="628">
        <f>SUM(AH363-AG363)</f>
        <v>5</v>
      </c>
      <c r="AI412" s="497" t="s">
        <v>368</v>
      </c>
      <c r="AJ412" s="497" t="s">
        <v>368</v>
      </c>
      <c r="AK412" s="497" t="s">
        <v>368</v>
      </c>
      <c r="AL412" s="497" t="s">
        <v>368</v>
      </c>
      <c r="AM412" s="497" t="s">
        <v>368</v>
      </c>
      <c r="AN412" s="497" t="s">
        <v>368</v>
      </c>
      <c r="AO412" s="497" t="s">
        <v>368</v>
      </c>
      <c r="AP412" s="497" t="s">
        <v>368</v>
      </c>
      <c r="AQ412" s="497" t="s">
        <v>368</v>
      </c>
      <c r="AR412" s="497" t="s">
        <v>368</v>
      </c>
      <c r="AS412" s="497" t="s">
        <v>368</v>
      </c>
      <c r="AT412" s="497" t="s">
        <v>368</v>
      </c>
      <c r="AU412" s="497" t="s">
        <v>368</v>
      </c>
      <c r="AV412" s="497" t="s">
        <v>368</v>
      </c>
      <c r="AW412" s="497" t="s">
        <v>368</v>
      </c>
    </row>
    <row r="413" spans="1:49" ht="53.25" x14ac:dyDescent="0.2">
      <c r="A413" s="471" t="s">
        <v>497</v>
      </c>
      <c r="B413" s="626"/>
      <c r="C413" s="626"/>
      <c r="D413" s="626"/>
      <c r="E413" s="626"/>
      <c r="F413" s="626"/>
      <c r="G413" s="626"/>
      <c r="H413" s="626"/>
      <c r="I413" s="626"/>
      <c r="J413" s="626"/>
      <c r="K413" s="626"/>
      <c r="L413" s="626"/>
      <c r="M413" s="626"/>
      <c r="N413" s="626"/>
      <c r="O413" s="626"/>
      <c r="P413" s="626"/>
      <c r="Q413" s="626"/>
      <c r="R413" s="626"/>
      <c r="S413" s="626"/>
      <c r="T413" s="626"/>
      <c r="U413" s="626"/>
      <c r="V413" s="626"/>
      <c r="W413" s="626"/>
      <c r="X413" s="626"/>
      <c r="Y413" s="626"/>
      <c r="Z413" s="626"/>
      <c r="AA413" s="627"/>
      <c r="AB413" s="626"/>
      <c r="AC413" s="626"/>
      <c r="AD413" s="626"/>
      <c r="AE413" s="626"/>
      <c r="AF413" s="626"/>
      <c r="AG413" s="626"/>
      <c r="AH413" s="626"/>
      <c r="AI413" s="626"/>
      <c r="AJ413" s="626"/>
      <c r="AK413" s="626"/>
      <c r="AL413" s="626"/>
      <c r="AM413" s="626"/>
      <c r="AN413" s="626"/>
      <c r="AO413" s="626"/>
      <c r="AP413" s="626"/>
      <c r="AQ413" s="626"/>
      <c r="AR413" s="626"/>
      <c r="AS413" s="626"/>
      <c r="AT413" s="626"/>
      <c r="AU413" s="626"/>
      <c r="AV413" s="626"/>
      <c r="AW413" s="626"/>
    </row>
    <row r="414" spans="1:49" x14ac:dyDescent="0.2">
      <c r="A414" s="461" t="s">
        <v>468</v>
      </c>
      <c r="B414" s="629">
        <f t="shared" ref="B414:AW414" si="67">AVERAGE($B$363:$AW$363)</f>
        <v>78.63636363636364</v>
      </c>
      <c r="C414" s="629">
        <f t="shared" si="67"/>
        <v>78.63636363636364</v>
      </c>
      <c r="D414" s="629">
        <f t="shared" si="67"/>
        <v>78.63636363636364</v>
      </c>
      <c r="E414" s="629">
        <f t="shared" si="67"/>
        <v>78.63636363636364</v>
      </c>
      <c r="F414" s="629">
        <f t="shared" si="67"/>
        <v>78.63636363636364</v>
      </c>
      <c r="G414" s="629">
        <f t="shared" si="67"/>
        <v>78.63636363636364</v>
      </c>
      <c r="H414" s="629">
        <f t="shared" si="67"/>
        <v>78.63636363636364</v>
      </c>
      <c r="I414" s="629">
        <f t="shared" si="67"/>
        <v>78.63636363636364</v>
      </c>
      <c r="J414" s="629">
        <f t="shared" si="67"/>
        <v>78.63636363636364</v>
      </c>
      <c r="K414" s="629">
        <f t="shared" si="67"/>
        <v>78.63636363636364</v>
      </c>
      <c r="L414" s="629">
        <f t="shared" si="67"/>
        <v>78.63636363636364</v>
      </c>
      <c r="M414" s="629">
        <f t="shared" si="67"/>
        <v>78.63636363636364</v>
      </c>
      <c r="N414" s="629">
        <f t="shared" si="67"/>
        <v>78.63636363636364</v>
      </c>
      <c r="O414" s="629">
        <f t="shared" si="67"/>
        <v>78.63636363636364</v>
      </c>
      <c r="P414" s="629">
        <f t="shared" si="67"/>
        <v>78.63636363636364</v>
      </c>
      <c r="Q414" s="629">
        <f t="shared" si="67"/>
        <v>78.63636363636364</v>
      </c>
      <c r="R414" s="629">
        <f t="shared" si="67"/>
        <v>78.63636363636364</v>
      </c>
      <c r="S414" s="629">
        <f t="shared" si="67"/>
        <v>78.63636363636364</v>
      </c>
      <c r="T414" s="629">
        <f t="shared" si="67"/>
        <v>78.63636363636364</v>
      </c>
      <c r="U414" s="629">
        <f t="shared" si="67"/>
        <v>78.63636363636364</v>
      </c>
      <c r="V414" s="629">
        <f t="shared" si="67"/>
        <v>78.63636363636364</v>
      </c>
      <c r="W414" s="629">
        <f t="shared" si="67"/>
        <v>78.63636363636364</v>
      </c>
      <c r="X414" s="629">
        <f t="shared" si="67"/>
        <v>78.63636363636364</v>
      </c>
      <c r="Y414" s="629">
        <f t="shared" si="67"/>
        <v>78.63636363636364</v>
      </c>
      <c r="Z414" s="629">
        <f t="shared" si="67"/>
        <v>78.63636363636364</v>
      </c>
      <c r="AA414" s="629">
        <f t="shared" si="67"/>
        <v>78.63636363636364</v>
      </c>
      <c r="AB414" s="629">
        <f t="shared" si="67"/>
        <v>78.63636363636364</v>
      </c>
      <c r="AC414" s="629">
        <f t="shared" si="67"/>
        <v>78.63636363636364</v>
      </c>
      <c r="AD414" s="629">
        <f t="shared" si="67"/>
        <v>78.63636363636364</v>
      </c>
      <c r="AE414" s="629">
        <f t="shared" si="67"/>
        <v>78.63636363636364</v>
      </c>
      <c r="AF414" s="629">
        <f t="shared" si="67"/>
        <v>78.63636363636364</v>
      </c>
      <c r="AG414" s="629">
        <f t="shared" si="67"/>
        <v>78.63636363636364</v>
      </c>
      <c r="AH414" s="629">
        <f t="shared" si="67"/>
        <v>78.63636363636364</v>
      </c>
      <c r="AI414" s="629">
        <f t="shared" si="67"/>
        <v>78.63636363636364</v>
      </c>
      <c r="AJ414" s="629">
        <f t="shared" si="67"/>
        <v>78.63636363636364</v>
      </c>
      <c r="AK414" s="629">
        <f t="shared" si="67"/>
        <v>78.63636363636364</v>
      </c>
      <c r="AL414" s="629">
        <f t="shared" si="67"/>
        <v>78.63636363636364</v>
      </c>
      <c r="AM414" s="629">
        <f t="shared" si="67"/>
        <v>78.63636363636364</v>
      </c>
      <c r="AN414" s="629">
        <f t="shared" si="67"/>
        <v>78.63636363636364</v>
      </c>
      <c r="AO414" s="629">
        <f t="shared" si="67"/>
        <v>78.63636363636364</v>
      </c>
      <c r="AP414" s="629">
        <f t="shared" si="67"/>
        <v>78.63636363636364</v>
      </c>
      <c r="AQ414" s="629">
        <f t="shared" si="67"/>
        <v>78.63636363636364</v>
      </c>
      <c r="AR414" s="629">
        <f t="shared" si="67"/>
        <v>78.63636363636364</v>
      </c>
      <c r="AS414" s="629">
        <f t="shared" si="67"/>
        <v>78.63636363636364</v>
      </c>
      <c r="AT414" s="629">
        <f t="shared" si="67"/>
        <v>78.63636363636364</v>
      </c>
      <c r="AU414" s="629">
        <f t="shared" si="67"/>
        <v>78.63636363636364</v>
      </c>
      <c r="AV414" s="629">
        <f t="shared" si="67"/>
        <v>78.63636363636364</v>
      </c>
      <c r="AW414" s="629">
        <f t="shared" si="67"/>
        <v>78.63636363636364</v>
      </c>
    </row>
    <row r="415" spans="1:49" x14ac:dyDescent="0.2">
      <c r="A415" s="470" t="s">
        <v>467</v>
      </c>
      <c r="B415" s="629">
        <f>SUM(C412:AW412)/(COUNT(C412:AW412))</f>
        <v>33.875</v>
      </c>
      <c r="C415" s="626"/>
      <c r="D415" s="626"/>
      <c r="E415" s="626"/>
      <c r="F415" s="626"/>
      <c r="G415" s="626"/>
      <c r="H415" s="626"/>
      <c r="I415" s="626"/>
      <c r="J415" s="626"/>
      <c r="K415" s="626"/>
      <c r="L415" s="626"/>
      <c r="M415" s="626"/>
      <c r="N415" s="626"/>
      <c r="O415" s="626"/>
      <c r="P415" s="626"/>
      <c r="Q415" s="626"/>
      <c r="R415" s="626"/>
      <c r="S415" s="626"/>
      <c r="T415" s="626"/>
      <c r="U415" s="626"/>
      <c r="V415" s="626"/>
      <c r="W415" s="626"/>
      <c r="X415" s="626"/>
      <c r="Y415" s="626"/>
      <c r="Z415" s="626"/>
      <c r="AA415" s="627"/>
      <c r="AB415" s="626"/>
      <c r="AC415" s="626"/>
      <c r="AD415" s="626"/>
      <c r="AE415" s="626"/>
      <c r="AF415" s="626"/>
      <c r="AG415" s="626"/>
      <c r="AH415" s="626"/>
      <c r="AI415" s="626"/>
      <c r="AJ415" s="626"/>
      <c r="AK415" s="626"/>
      <c r="AL415" s="626"/>
      <c r="AM415" s="626"/>
      <c r="AN415" s="626"/>
      <c r="AO415" s="626"/>
      <c r="AP415" s="626"/>
      <c r="AQ415" s="626"/>
      <c r="AR415" s="626"/>
      <c r="AS415" s="626"/>
      <c r="AT415" s="626"/>
      <c r="AU415" s="626"/>
      <c r="AV415" s="626"/>
      <c r="AW415" s="626"/>
    </row>
    <row r="416" spans="1:49" ht="25.5" x14ac:dyDescent="0.2">
      <c r="A416" s="470" t="s">
        <v>470</v>
      </c>
      <c r="B416" s="629">
        <f>B415/1.128</f>
        <v>30.031028368794328</v>
      </c>
      <c r="C416" s="626"/>
      <c r="D416" s="626"/>
      <c r="E416" s="626"/>
      <c r="F416" s="626"/>
      <c r="G416" s="626"/>
      <c r="H416" s="626"/>
      <c r="I416" s="626"/>
      <c r="J416" s="626"/>
      <c r="K416" s="626"/>
      <c r="L416" s="626"/>
      <c r="M416" s="626"/>
      <c r="N416" s="626"/>
      <c r="O416" s="626"/>
      <c r="P416" s="626"/>
      <c r="Q416" s="626"/>
      <c r="R416" s="626"/>
      <c r="S416" s="626"/>
      <c r="T416" s="626"/>
      <c r="U416" s="626"/>
      <c r="V416" s="626"/>
      <c r="W416" s="626"/>
      <c r="X416" s="626"/>
      <c r="Y416" s="626"/>
      <c r="Z416" s="626"/>
      <c r="AA416" s="627"/>
      <c r="AB416" s="626"/>
      <c r="AC416" s="626"/>
      <c r="AD416" s="626"/>
      <c r="AE416" s="626"/>
      <c r="AF416" s="626"/>
      <c r="AG416" s="626"/>
      <c r="AH416" s="626"/>
      <c r="AI416" s="626"/>
      <c r="AJ416" s="626"/>
      <c r="AK416" s="626"/>
      <c r="AL416" s="626"/>
      <c r="AM416" s="626"/>
      <c r="AN416" s="626"/>
      <c r="AO416" s="626"/>
      <c r="AP416" s="626"/>
      <c r="AQ416" s="626"/>
      <c r="AR416" s="626"/>
      <c r="AS416" s="626"/>
      <c r="AT416" s="626"/>
      <c r="AU416" s="626"/>
      <c r="AV416" s="626"/>
      <c r="AW416" s="626"/>
    </row>
    <row r="417" spans="1:49" x14ac:dyDescent="0.2">
      <c r="A417" s="507" t="s">
        <v>473</v>
      </c>
      <c r="B417" s="629">
        <f t="shared" ref="B417:AW417" si="68">$B$414+(3*$B$416)</f>
        <v>168.72944874274663</v>
      </c>
      <c r="C417" s="629">
        <f t="shared" si="68"/>
        <v>168.72944874274663</v>
      </c>
      <c r="D417" s="629">
        <f t="shared" si="68"/>
        <v>168.72944874274663</v>
      </c>
      <c r="E417" s="629">
        <f t="shared" si="68"/>
        <v>168.72944874274663</v>
      </c>
      <c r="F417" s="629">
        <f t="shared" si="68"/>
        <v>168.72944874274663</v>
      </c>
      <c r="G417" s="629">
        <f t="shared" si="68"/>
        <v>168.72944874274663</v>
      </c>
      <c r="H417" s="629">
        <f t="shared" si="68"/>
        <v>168.72944874274663</v>
      </c>
      <c r="I417" s="629">
        <f t="shared" si="68"/>
        <v>168.72944874274663</v>
      </c>
      <c r="J417" s="629">
        <f t="shared" si="68"/>
        <v>168.72944874274663</v>
      </c>
      <c r="K417" s="629">
        <f t="shared" si="68"/>
        <v>168.72944874274663</v>
      </c>
      <c r="L417" s="629">
        <f t="shared" si="68"/>
        <v>168.72944874274663</v>
      </c>
      <c r="M417" s="629">
        <f t="shared" si="68"/>
        <v>168.72944874274663</v>
      </c>
      <c r="N417" s="629">
        <f t="shared" si="68"/>
        <v>168.72944874274663</v>
      </c>
      <c r="O417" s="629">
        <f t="shared" si="68"/>
        <v>168.72944874274663</v>
      </c>
      <c r="P417" s="629">
        <f t="shared" si="68"/>
        <v>168.72944874274663</v>
      </c>
      <c r="Q417" s="629">
        <f t="shared" si="68"/>
        <v>168.72944874274663</v>
      </c>
      <c r="R417" s="629">
        <f t="shared" si="68"/>
        <v>168.72944874274663</v>
      </c>
      <c r="S417" s="629">
        <f t="shared" si="68"/>
        <v>168.72944874274663</v>
      </c>
      <c r="T417" s="629">
        <f t="shared" si="68"/>
        <v>168.72944874274663</v>
      </c>
      <c r="U417" s="629">
        <f t="shared" si="68"/>
        <v>168.72944874274663</v>
      </c>
      <c r="V417" s="629">
        <f t="shared" si="68"/>
        <v>168.72944874274663</v>
      </c>
      <c r="W417" s="629">
        <f t="shared" si="68"/>
        <v>168.72944874274663</v>
      </c>
      <c r="X417" s="629">
        <f t="shared" si="68"/>
        <v>168.72944874274663</v>
      </c>
      <c r="Y417" s="629">
        <f t="shared" si="68"/>
        <v>168.72944874274663</v>
      </c>
      <c r="Z417" s="629">
        <f t="shared" si="68"/>
        <v>168.72944874274663</v>
      </c>
      <c r="AA417" s="629">
        <f t="shared" si="68"/>
        <v>168.72944874274663</v>
      </c>
      <c r="AB417" s="629">
        <f t="shared" si="68"/>
        <v>168.72944874274663</v>
      </c>
      <c r="AC417" s="629">
        <f t="shared" si="68"/>
        <v>168.72944874274663</v>
      </c>
      <c r="AD417" s="629">
        <f t="shared" si="68"/>
        <v>168.72944874274663</v>
      </c>
      <c r="AE417" s="629">
        <f t="shared" si="68"/>
        <v>168.72944874274663</v>
      </c>
      <c r="AF417" s="629">
        <f t="shared" si="68"/>
        <v>168.72944874274663</v>
      </c>
      <c r="AG417" s="629">
        <f t="shared" si="68"/>
        <v>168.72944874274663</v>
      </c>
      <c r="AH417" s="629">
        <f t="shared" si="68"/>
        <v>168.72944874274663</v>
      </c>
      <c r="AI417" s="629">
        <f t="shared" si="68"/>
        <v>168.72944874274663</v>
      </c>
      <c r="AJ417" s="629">
        <f t="shared" si="68"/>
        <v>168.72944874274663</v>
      </c>
      <c r="AK417" s="629">
        <f t="shared" si="68"/>
        <v>168.72944874274663</v>
      </c>
      <c r="AL417" s="629">
        <f t="shared" si="68"/>
        <v>168.72944874274663</v>
      </c>
      <c r="AM417" s="629">
        <f t="shared" si="68"/>
        <v>168.72944874274663</v>
      </c>
      <c r="AN417" s="629">
        <f t="shared" si="68"/>
        <v>168.72944874274663</v>
      </c>
      <c r="AO417" s="629">
        <f t="shared" si="68"/>
        <v>168.72944874274663</v>
      </c>
      <c r="AP417" s="629">
        <f t="shared" si="68"/>
        <v>168.72944874274663</v>
      </c>
      <c r="AQ417" s="629">
        <f t="shared" si="68"/>
        <v>168.72944874274663</v>
      </c>
      <c r="AR417" s="629">
        <f t="shared" si="68"/>
        <v>168.72944874274663</v>
      </c>
      <c r="AS417" s="629">
        <f t="shared" si="68"/>
        <v>168.72944874274663</v>
      </c>
      <c r="AT417" s="629">
        <f t="shared" si="68"/>
        <v>168.72944874274663</v>
      </c>
      <c r="AU417" s="629">
        <f t="shared" si="68"/>
        <v>168.72944874274663</v>
      </c>
      <c r="AV417" s="629">
        <f t="shared" si="68"/>
        <v>168.72944874274663</v>
      </c>
      <c r="AW417" s="629">
        <f t="shared" si="68"/>
        <v>168.72944874274663</v>
      </c>
    </row>
    <row r="418" spans="1:49" x14ac:dyDescent="0.2">
      <c r="A418" s="507" t="s">
        <v>475</v>
      </c>
      <c r="B418" s="629">
        <f t="shared" ref="B418:AW418" si="69">$B$414-(3*$B$416)</f>
        <v>-11.456721470019346</v>
      </c>
      <c r="C418" s="629">
        <f t="shared" si="69"/>
        <v>-11.456721470019346</v>
      </c>
      <c r="D418" s="629">
        <f t="shared" si="69"/>
        <v>-11.456721470019346</v>
      </c>
      <c r="E418" s="629">
        <f t="shared" si="69"/>
        <v>-11.456721470019346</v>
      </c>
      <c r="F418" s="629">
        <f t="shared" si="69"/>
        <v>-11.456721470019346</v>
      </c>
      <c r="G418" s="629">
        <f t="shared" si="69"/>
        <v>-11.456721470019346</v>
      </c>
      <c r="H418" s="629">
        <f t="shared" si="69"/>
        <v>-11.456721470019346</v>
      </c>
      <c r="I418" s="629">
        <f t="shared" si="69"/>
        <v>-11.456721470019346</v>
      </c>
      <c r="J418" s="629">
        <f t="shared" si="69"/>
        <v>-11.456721470019346</v>
      </c>
      <c r="K418" s="629">
        <f t="shared" si="69"/>
        <v>-11.456721470019346</v>
      </c>
      <c r="L418" s="629">
        <f t="shared" si="69"/>
        <v>-11.456721470019346</v>
      </c>
      <c r="M418" s="629">
        <f t="shared" si="69"/>
        <v>-11.456721470019346</v>
      </c>
      <c r="N418" s="629">
        <f t="shared" si="69"/>
        <v>-11.456721470019346</v>
      </c>
      <c r="O418" s="629">
        <f t="shared" si="69"/>
        <v>-11.456721470019346</v>
      </c>
      <c r="P418" s="629">
        <f t="shared" si="69"/>
        <v>-11.456721470019346</v>
      </c>
      <c r="Q418" s="629">
        <f t="shared" si="69"/>
        <v>-11.456721470019346</v>
      </c>
      <c r="R418" s="629">
        <f t="shared" si="69"/>
        <v>-11.456721470019346</v>
      </c>
      <c r="S418" s="629">
        <f t="shared" si="69"/>
        <v>-11.456721470019346</v>
      </c>
      <c r="T418" s="629">
        <f t="shared" si="69"/>
        <v>-11.456721470019346</v>
      </c>
      <c r="U418" s="629">
        <f t="shared" si="69"/>
        <v>-11.456721470019346</v>
      </c>
      <c r="V418" s="629">
        <f t="shared" si="69"/>
        <v>-11.456721470019346</v>
      </c>
      <c r="W418" s="629">
        <f t="shared" si="69"/>
        <v>-11.456721470019346</v>
      </c>
      <c r="X418" s="629">
        <f t="shared" si="69"/>
        <v>-11.456721470019346</v>
      </c>
      <c r="Y418" s="629">
        <f t="shared" si="69"/>
        <v>-11.456721470019346</v>
      </c>
      <c r="Z418" s="629">
        <f t="shared" si="69"/>
        <v>-11.456721470019346</v>
      </c>
      <c r="AA418" s="629">
        <f t="shared" si="69"/>
        <v>-11.456721470019346</v>
      </c>
      <c r="AB418" s="629">
        <f t="shared" si="69"/>
        <v>-11.456721470019346</v>
      </c>
      <c r="AC418" s="629">
        <f t="shared" si="69"/>
        <v>-11.456721470019346</v>
      </c>
      <c r="AD418" s="629">
        <f t="shared" si="69"/>
        <v>-11.456721470019346</v>
      </c>
      <c r="AE418" s="629">
        <f t="shared" si="69"/>
        <v>-11.456721470019346</v>
      </c>
      <c r="AF418" s="629">
        <f t="shared" si="69"/>
        <v>-11.456721470019346</v>
      </c>
      <c r="AG418" s="629">
        <f t="shared" si="69"/>
        <v>-11.456721470019346</v>
      </c>
      <c r="AH418" s="629">
        <f t="shared" si="69"/>
        <v>-11.456721470019346</v>
      </c>
      <c r="AI418" s="629">
        <f t="shared" si="69"/>
        <v>-11.456721470019346</v>
      </c>
      <c r="AJ418" s="629">
        <f t="shared" si="69"/>
        <v>-11.456721470019346</v>
      </c>
      <c r="AK418" s="629">
        <f t="shared" si="69"/>
        <v>-11.456721470019346</v>
      </c>
      <c r="AL418" s="629">
        <f t="shared" si="69"/>
        <v>-11.456721470019346</v>
      </c>
      <c r="AM418" s="629">
        <f t="shared" si="69"/>
        <v>-11.456721470019346</v>
      </c>
      <c r="AN418" s="629">
        <f t="shared" si="69"/>
        <v>-11.456721470019346</v>
      </c>
      <c r="AO418" s="629">
        <f t="shared" si="69"/>
        <v>-11.456721470019346</v>
      </c>
      <c r="AP418" s="629">
        <f t="shared" si="69"/>
        <v>-11.456721470019346</v>
      </c>
      <c r="AQ418" s="629">
        <f t="shared" si="69"/>
        <v>-11.456721470019346</v>
      </c>
      <c r="AR418" s="629">
        <f t="shared" si="69"/>
        <v>-11.456721470019346</v>
      </c>
      <c r="AS418" s="629">
        <f t="shared" si="69"/>
        <v>-11.456721470019346</v>
      </c>
      <c r="AT418" s="629">
        <f t="shared" si="69"/>
        <v>-11.456721470019346</v>
      </c>
      <c r="AU418" s="629">
        <f t="shared" si="69"/>
        <v>-11.456721470019346</v>
      </c>
      <c r="AV418" s="629">
        <f t="shared" si="69"/>
        <v>-11.456721470019346</v>
      </c>
      <c r="AW418" s="629">
        <f t="shared" si="69"/>
        <v>-11.456721470019346</v>
      </c>
    </row>
    <row r="419" spans="1:49" x14ac:dyDescent="0.2">
      <c r="A419" s="480"/>
      <c r="B419" s="626"/>
      <c r="C419" s="626"/>
      <c r="D419" s="626"/>
      <c r="E419" s="626"/>
      <c r="F419" s="626"/>
      <c r="G419" s="626"/>
      <c r="H419" s="626"/>
      <c r="I419" s="626"/>
      <c r="J419" s="626"/>
      <c r="K419" s="626"/>
      <c r="L419" s="626"/>
      <c r="M419" s="626"/>
      <c r="N419" s="626"/>
      <c r="O419" s="626"/>
      <c r="P419" s="626"/>
      <c r="Q419" s="626"/>
      <c r="R419" s="626"/>
      <c r="S419" s="626"/>
      <c r="T419" s="626"/>
      <c r="U419" s="626"/>
      <c r="V419" s="626"/>
      <c r="W419" s="626"/>
      <c r="X419" s="626"/>
      <c r="Y419" s="626"/>
      <c r="Z419" s="626"/>
      <c r="AA419" s="627"/>
      <c r="AB419" s="626"/>
      <c r="AC419" s="626"/>
      <c r="AD419" s="626"/>
      <c r="AE419" s="626"/>
      <c r="AF419" s="626"/>
      <c r="AG419" s="626"/>
      <c r="AH419" s="626"/>
      <c r="AI419" s="626"/>
      <c r="AJ419" s="626"/>
      <c r="AK419" s="626"/>
      <c r="AL419" s="626"/>
      <c r="AM419" s="626"/>
      <c r="AN419" s="626"/>
      <c r="AO419" s="626"/>
      <c r="AP419" s="626"/>
      <c r="AQ419" s="626"/>
      <c r="AR419" s="626"/>
      <c r="AS419" s="626"/>
      <c r="AT419" s="626"/>
      <c r="AU419" s="626"/>
      <c r="AV419" s="626"/>
      <c r="AW419" s="626"/>
    </row>
    <row r="420" spans="1:49" x14ac:dyDescent="0.2">
      <c r="A420" s="145"/>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330"/>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row>
    <row r="421" spans="1:49" x14ac:dyDescent="0.2">
      <c r="A421" s="187" t="s">
        <v>387</v>
      </c>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330"/>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row>
    <row r="422" spans="1:49" x14ac:dyDescent="0.2">
      <c r="A422" s="229"/>
      <c r="B422" s="163">
        <v>42095</v>
      </c>
      <c r="C422" s="163">
        <v>42125</v>
      </c>
      <c r="D422" s="163">
        <v>42156</v>
      </c>
      <c r="E422" s="163">
        <v>42186</v>
      </c>
      <c r="F422" s="163">
        <v>42217</v>
      </c>
      <c r="G422" s="163">
        <v>42248</v>
      </c>
      <c r="H422" s="163">
        <v>42278</v>
      </c>
      <c r="I422" s="164">
        <v>42309</v>
      </c>
      <c r="J422" s="164">
        <v>42339</v>
      </c>
      <c r="K422" s="164">
        <v>42370</v>
      </c>
      <c r="L422" s="164">
        <v>42401</v>
      </c>
      <c r="M422" s="164">
        <v>42430</v>
      </c>
      <c r="N422" s="164">
        <v>42461</v>
      </c>
      <c r="O422" s="164">
        <v>42491</v>
      </c>
      <c r="P422" s="164">
        <v>42522</v>
      </c>
      <c r="Q422" s="164">
        <v>42552</v>
      </c>
      <c r="R422" s="164">
        <v>42583</v>
      </c>
      <c r="S422" s="164">
        <v>42614</v>
      </c>
      <c r="T422" s="164">
        <v>42644</v>
      </c>
      <c r="U422" s="99">
        <v>42675</v>
      </c>
      <c r="V422" s="164">
        <v>42705</v>
      </c>
      <c r="W422" s="164">
        <v>42736</v>
      </c>
      <c r="X422" s="164">
        <v>42767</v>
      </c>
      <c r="Y422" s="164">
        <v>42795</v>
      </c>
      <c r="Z422" s="164">
        <v>42826</v>
      </c>
      <c r="AA422" s="209">
        <v>42856</v>
      </c>
      <c r="AB422" s="164">
        <v>42887</v>
      </c>
      <c r="AC422" s="209">
        <v>42917</v>
      </c>
      <c r="AD422" s="164">
        <v>42948</v>
      </c>
      <c r="AE422" s="209">
        <v>42979</v>
      </c>
      <c r="AF422" s="164">
        <v>43009</v>
      </c>
      <c r="AG422" s="209">
        <v>43040</v>
      </c>
      <c r="AH422" s="164">
        <v>43070</v>
      </c>
      <c r="AI422" s="164"/>
      <c r="AJ422" s="164"/>
      <c r="AK422" s="164"/>
      <c r="AL422" s="164"/>
      <c r="AM422" s="164"/>
      <c r="AN422" s="164"/>
      <c r="AO422" s="164"/>
      <c r="AP422" s="164"/>
      <c r="AQ422" s="164"/>
      <c r="AR422" s="164"/>
      <c r="AS422" s="99"/>
      <c r="AT422" s="164"/>
      <c r="AU422" s="164"/>
      <c r="AV422" s="164"/>
      <c r="AW422" s="164"/>
    </row>
    <row r="423" spans="1:49" ht="25.5" x14ac:dyDescent="0.2">
      <c r="A423" s="367" t="s">
        <v>254</v>
      </c>
      <c r="B423" s="505">
        <f t="shared" ref="B423:AG423" si="70">B27</f>
        <v>0</v>
      </c>
      <c r="C423" s="505">
        <f t="shared" si="70"/>
        <v>0</v>
      </c>
      <c r="D423" s="505">
        <f t="shared" si="70"/>
        <v>0</v>
      </c>
      <c r="E423" s="505">
        <f t="shared" si="70"/>
        <v>0</v>
      </c>
      <c r="F423" s="505">
        <f t="shared" si="70"/>
        <v>0</v>
      </c>
      <c r="G423" s="505">
        <f t="shared" si="70"/>
        <v>0</v>
      </c>
      <c r="H423" s="505">
        <f t="shared" si="70"/>
        <v>11</v>
      </c>
      <c r="I423" s="505">
        <f t="shared" si="70"/>
        <v>22</v>
      </c>
      <c r="J423" s="505">
        <f t="shared" si="70"/>
        <v>29</v>
      </c>
      <c r="K423" s="505">
        <f t="shared" si="70"/>
        <v>55</v>
      </c>
      <c r="L423" s="505">
        <f t="shared" si="70"/>
        <v>27</v>
      </c>
      <c r="M423" s="505">
        <f t="shared" si="70"/>
        <v>29</v>
      </c>
      <c r="N423" s="505">
        <f t="shared" si="70"/>
        <v>47</v>
      </c>
      <c r="O423" s="505">
        <f t="shared" si="70"/>
        <v>26</v>
      </c>
      <c r="P423" s="505">
        <f t="shared" si="70"/>
        <v>6</v>
      </c>
      <c r="Q423" s="505">
        <f t="shared" si="70"/>
        <v>0</v>
      </c>
      <c r="R423" s="505">
        <f t="shared" si="70"/>
        <v>4</v>
      </c>
      <c r="S423" s="505">
        <f t="shared" si="70"/>
        <v>0</v>
      </c>
      <c r="T423" s="505">
        <f t="shared" si="70"/>
        <v>0</v>
      </c>
      <c r="U423" s="505">
        <f t="shared" si="70"/>
        <v>0</v>
      </c>
      <c r="V423" s="505">
        <f t="shared" si="70"/>
        <v>4</v>
      </c>
      <c r="W423" s="505">
        <f t="shared" si="70"/>
        <v>11</v>
      </c>
      <c r="X423" s="505">
        <f t="shared" si="70"/>
        <v>22</v>
      </c>
      <c r="Y423" s="505">
        <f t="shared" si="70"/>
        <v>11</v>
      </c>
      <c r="Z423" s="505">
        <f t="shared" si="70"/>
        <v>5</v>
      </c>
      <c r="AA423" s="505">
        <f t="shared" si="70"/>
        <v>5</v>
      </c>
      <c r="AB423" s="505">
        <f t="shared" si="70"/>
        <v>4</v>
      </c>
      <c r="AC423" s="505">
        <f t="shared" si="70"/>
        <v>0</v>
      </c>
      <c r="AD423" s="505">
        <f t="shared" si="70"/>
        <v>4</v>
      </c>
      <c r="AE423" s="505">
        <f t="shared" si="70"/>
        <v>2</v>
      </c>
      <c r="AF423" s="505">
        <f t="shared" si="70"/>
        <v>17</v>
      </c>
      <c r="AG423" s="505">
        <f t="shared" si="70"/>
        <v>34</v>
      </c>
      <c r="AH423" s="505">
        <f t="shared" ref="AH423" si="71">AH27</f>
        <v>109</v>
      </c>
      <c r="AI423" s="352"/>
      <c r="AJ423" s="352"/>
      <c r="AK423" s="352"/>
      <c r="AL423" s="352"/>
      <c r="AM423" s="352"/>
      <c r="AN423" s="352"/>
      <c r="AO423" s="352"/>
      <c r="AP423" s="352"/>
      <c r="AQ423" s="352"/>
      <c r="AR423" s="352"/>
      <c r="AS423" s="371"/>
      <c r="AT423" s="352"/>
      <c r="AU423" s="352"/>
      <c r="AV423" s="352"/>
      <c r="AW423" s="352"/>
    </row>
    <row r="424" spans="1:49" ht="25.5" x14ac:dyDescent="0.2">
      <c r="A424" s="479" t="s">
        <v>254</v>
      </c>
      <c r="B424" s="478" t="s">
        <v>491</v>
      </c>
      <c r="C424" s="472"/>
      <c r="D424" s="624"/>
      <c r="E424" s="624"/>
      <c r="F424" s="624"/>
      <c r="G424" s="624"/>
      <c r="H424" s="624"/>
      <c r="I424" s="474"/>
      <c r="J424" s="474"/>
      <c r="K424" s="474"/>
      <c r="L424" s="474"/>
      <c r="M424" s="474"/>
      <c r="N424" s="474"/>
      <c r="O424" s="474"/>
      <c r="P424" s="474"/>
      <c r="Q424" s="474"/>
      <c r="R424" s="474"/>
      <c r="S424" s="474"/>
      <c r="T424" s="474"/>
      <c r="U424" s="632"/>
      <c r="V424" s="474"/>
      <c r="W424" s="474"/>
      <c r="X424" s="474"/>
      <c r="Y424" s="474"/>
      <c r="Z424" s="624"/>
      <c r="AA424" s="633"/>
      <c r="AB424" s="624"/>
      <c r="AC424" s="624"/>
      <c r="AD424" s="624"/>
      <c r="AE424" s="624"/>
      <c r="AF424" s="624"/>
      <c r="AG424" s="474"/>
      <c r="AH424" s="624"/>
      <c r="AI424" s="474"/>
      <c r="AJ424" s="474"/>
      <c r="AK424" s="474"/>
      <c r="AL424" s="474"/>
      <c r="AM424" s="474"/>
      <c r="AN424" s="474"/>
      <c r="AO424" s="474"/>
      <c r="AP424" s="474"/>
      <c r="AQ424" s="474"/>
      <c r="AR424" s="474"/>
      <c r="AS424" s="632"/>
      <c r="AT424" s="474"/>
      <c r="AU424" s="474"/>
      <c r="AV424" s="474"/>
      <c r="AW424" s="474"/>
    </row>
    <row r="425" spans="1:49" x14ac:dyDescent="0.2">
      <c r="A425" s="479" t="s">
        <v>130</v>
      </c>
      <c r="B425" s="624"/>
      <c r="C425" s="624"/>
      <c r="D425" s="624"/>
      <c r="E425" s="624"/>
      <c r="F425" s="624"/>
      <c r="G425" s="624"/>
      <c r="H425" s="624"/>
      <c r="I425" s="474"/>
      <c r="J425" s="474"/>
      <c r="K425" s="474"/>
      <c r="L425" s="474"/>
      <c r="M425" s="474"/>
      <c r="N425" s="474"/>
      <c r="O425" s="474"/>
      <c r="P425" s="474"/>
      <c r="Q425" s="474"/>
      <c r="R425" s="474"/>
      <c r="S425" s="474"/>
      <c r="T425" s="474"/>
      <c r="U425" s="632"/>
      <c r="V425" s="474"/>
      <c r="W425" s="474"/>
      <c r="X425" s="474"/>
      <c r="Y425" s="474"/>
      <c r="Z425" s="624"/>
      <c r="AA425" s="633"/>
      <c r="AB425" s="624"/>
      <c r="AC425" s="624"/>
      <c r="AD425" s="624"/>
      <c r="AE425" s="624"/>
      <c r="AF425" s="624"/>
      <c r="AG425" s="474"/>
      <c r="AH425" s="624"/>
      <c r="AI425" s="474"/>
      <c r="AJ425" s="474"/>
      <c r="AK425" s="474"/>
      <c r="AL425" s="474"/>
      <c r="AM425" s="474"/>
      <c r="AN425" s="474"/>
      <c r="AO425" s="474"/>
      <c r="AP425" s="474"/>
      <c r="AQ425" s="474"/>
      <c r="AR425" s="474"/>
      <c r="AS425" s="632"/>
      <c r="AT425" s="474"/>
      <c r="AU425" s="474"/>
      <c r="AV425" s="474"/>
      <c r="AW425" s="474"/>
    </row>
    <row r="426" spans="1:49" x14ac:dyDescent="0.2">
      <c r="A426" s="479" t="s">
        <v>178</v>
      </c>
      <c r="B426" s="624"/>
      <c r="C426" s="624"/>
      <c r="D426" s="624"/>
      <c r="E426" s="624"/>
      <c r="F426" s="624"/>
      <c r="G426" s="624"/>
      <c r="H426" s="624"/>
      <c r="I426" s="474"/>
      <c r="J426" s="474"/>
      <c r="K426" s="474"/>
      <c r="L426" s="474"/>
      <c r="M426" s="474"/>
      <c r="N426" s="474"/>
      <c r="O426" s="474"/>
      <c r="P426" s="474"/>
      <c r="Q426" s="474"/>
      <c r="R426" s="474"/>
      <c r="S426" s="474"/>
      <c r="T426" s="474"/>
      <c r="U426" s="632"/>
      <c r="V426" s="474"/>
      <c r="W426" s="474"/>
      <c r="X426" s="474"/>
      <c r="Y426" s="474"/>
      <c r="Z426" s="624"/>
      <c r="AA426" s="633"/>
      <c r="AB426" s="624"/>
      <c r="AC426" s="624"/>
      <c r="AD426" s="624"/>
      <c r="AE426" s="624"/>
      <c r="AF426" s="624"/>
      <c r="AG426" s="474"/>
      <c r="AH426" s="624"/>
      <c r="AI426" s="474"/>
      <c r="AJ426" s="474"/>
      <c r="AK426" s="474"/>
      <c r="AL426" s="474"/>
      <c r="AM426" s="474"/>
      <c r="AN426" s="474"/>
      <c r="AO426" s="474"/>
      <c r="AP426" s="474"/>
      <c r="AQ426" s="474"/>
      <c r="AR426" s="474"/>
      <c r="AS426" s="632"/>
      <c r="AT426" s="474"/>
      <c r="AU426" s="474"/>
      <c r="AV426" s="474"/>
      <c r="AW426" s="474"/>
    </row>
    <row r="427" spans="1:49" x14ac:dyDescent="0.2">
      <c r="A427" s="498" t="s">
        <v>466</v>
      </c>
      <c r="B427" s="634" t="s">
        <v>230</v>
      </c>
      <c r="C427" s="634" t="s">
        <v>230</v>
      </c>
      <c r="D427" s="634" t="s">
        <v>230</v>
      </c>
      <c r="E427" s="634" t="s">
        <v>230</v>
      </c>
      <c r="F427" s="634" t="s">
        <v>230</v>
      </c>
      <c r="G427" s="634" t="s">
        <v>230</v>
      </c>
      <c r="H427" s="634" t="s">
        <v>230</v>
      </c>
      <c r="I427" s="635">
        <f>SUM(I423-H423)</f>
        <v>11</v>
      </c>
      <c r="J427" s="635">
        <f t="shared" ref="J427:W427" si="72">SUM(J423-I423)</f>
        <v>7</v>
      </c>
      <c r="K427" s="635">
        <f t="shared" si="72"/>
        <v>26</v>
      </c>
      <c r="L427" s="635">
        <f>SUM(L423-K423)*-1</f>
        <v>28</v>
      </c>
      <c r="M427" s="635">
        <f t="shared" si="72"/>
        <v>2</v>
      </c>
      <c r="N427" s="635">
        <f t="shared" si="72"/>
        <v>18</v>
      </c>
      <c r="O427" s="635">
        <f>SUM(O423-N423)*-1</f>
        <v>21</v>
      </c>
      <c r="P427" s="635">
        <f>SUM(P423-O423)*-1</f>
        <v>20</v>
      </c>
      <c r="Q427" s="635">
        <f>SUM(Q423-P423)*-1</f>
        <v>6</v>
      </c>
      <c r="R427" s="635">
        <f t="shared" si="72"/>
        <v>4</v>
      </c>
      <c r="S427" s="635">
        <f>SUM(S423-R423)*-1</f>
        <v>4</v>
      </c>
      <c r="T427" s="635">
        <f t="shared" si="72"/>
        <v>0</v>
      </c>
      <c r="U427" s="635">
        <f t="shared" si="72"/>
        <v>0</v>
      </c>
      <c r="V427" s="635">
        <f t="shared" si="72"/>
        <v>4</v>
      </c>
      <c r="W427" s="635">
        <f t="shared" si="72"/>
        <v>7</v>
      </c>
      <c r="X427" s="635">
        <f>SUM(X423-W423)</f>
        <v>11</v>
      </c>
      <c r="Y427" s="635">
        <f>SUM(Y423-X423)*-1</f>
        <v>11</v>
      </c>
      <c r="Z427" s="635">
        <f>SUM(Z423-Y423)*-1</f>
        <v>6</v>
      </c>
      <c r="AA427" s="635">
        <f>SUM(AA423-Z423)*-1</f>
        <v>0</v>
      </c>
      <c r="AB427" s="635">
        <f>SUM(AB423-AA423)*-1</f>
        <v>1</v>
      </c>
      <c r="AC427" s="635">
        <f>SUM(AC423-AB423)*-1</f>
        <v>4</v>
      </c>
      <c r="AD427" s="635">
        <f>SUM(AD423-AC423)</f>
        <v>4</v>
      </c>
      <c r="AE427" s="635">
        <f>SUM(AE423-AD423)*-1</f>
        <v>2</v>
      </c>
      <c r="AF427" s="635">
        <f>SUM(AF423-AE423)</f>
        <v>15</v>
      </c>
      <c r="AG427" s="635">
        <f>SUM(AG423-AF423)</f>
        <v>17</v>
      </c>
      <c r="AH427" s="635">
        <f>SUM(AH423-AG423)</f>
        <v>75</v>
      </c>
      <c r="AI427" s="635"/>
      <c r="AJ427" s="635"/>
      <c r="AK427" s="635"/>
      <c r="AL427" s="635"/>
      <c r="AM427" s="635"/>
      <c r="AN427" s="635"/>
      <c r="AO427" s="635"/>
      <c r="AP427" s="635"/>
      <c r="AQ427" s="635"/>
      <c r="AR427" s="635"/>
      <c r="AS427" s="635"/>
      <c r="AT427" s="635"/>
      <c r="AU427" s="635"/>
      <c r="AV427" s="635"/>
      <c r="AW427" s="635"/>
    </row>
    <row r="428" spans="1:49" ht="53.25" x14ac:dyDescent="0.2">
      <c r="A428" s="471" t="s">
        <v>497</v>
      </c>
      <c r="B428" s="624"/>
      <c r="C428" s="624"/>
      <c r="D428" s="624"/>
      <c r="E428" s="624"/>
      <c r="F428" s="624"/>
      <c r="G428" s="624"/>
      <c r="H428" s="624"/>
      <c r="I428" s="474"/>
      <c r="J428" s="474"/>
      <c r="K428" s="474"/>
      <c r="L428" s="474"/>
      <c r="M428" s="474"/>
      <c r="N428" s="474"/>
      <c r="O428" s="474"/>
      <c r="P428" s="474"/>
      <c r="Q428" s="474"/>
      <c r="R428" s="474"/>
      <c r="S428" s="474"/>
      <c r="T428" s="474"/>
      <c r="U428" s="632"/>
      <c r="V428" s="474"/>
      <c r="W428" s="474"/>
      <c r="X428" s="474"/>
      <c r="Y428" s="474"/>
      <c r="Z428" s="624"/>
      <c r="AA428" s="633"/>
      <c r="AB428" s="624"/>
      <c r="AC428" s="624"/>
      <c r="AD428" s="624"/>
      <c r="AE428" s="624"/>
      <c r="AF428" s="624"/>
      <c r="AG428" s="474"/>
      <c r="AH428" s="474"/>
      <c r="AI428" s="474"/>
      <c r="AJ428" s="474"/>
      <c r="AK428" s="474"/>
      <c r="AL428" s="474"/>
      <c r="AM428" s="474"/>
      <c r="AN428" s="474"/>
      <c r="AO428" s="474"/>
      <c r="AP428" s="474"/>
      <c r="AQ428" s="474"/>
      <c r="AR428" s="474"/>
      <c r="AS428" s="632"/>
      <c r="AT428" s="474"/>
      <c r="AU428" s="474"/>
      <c r="AV428" s="474"/>
      <c r="AW428" s="474"/>
    </row>
    <row r="429" spans="1:49" x14ac:dyDescent="0.2">
      <c r="A429" s="461" t="s">
        <v>468</v>
      </c>
      <c r="B429" s="453">
        <f t="shared" ref="B429:AW429" si="73">AVERAGE($B$423:$AW$423)</f>
        <v>14.666666666666666</v>
      </c>
      <c r="C429" s="453">
        <f t="shared" si="73"/>
        <v>14.666666666666666</v>
      </c>
      <c r="D429" s="453">
        <f t="shared" si="73"/>
        <v>14.666666666666666</v>
      </c>
      <c r="E429" s="453">
        <f t="shared" si="73"/>
        <v>14.666666666666666</v>
      </c>
      <c r="F429" s="453">
        <f t="shared" si="73"/>
        <v>14.666666666666666</v>
      </c>
      <c r="G429" s="453">
        <f t="shared" si="73"/>
        <v>14.666666666666666</v>
      </c>
      <c r="H429" s="453">
        <f t="shared" si="73"/>
        <v>14.666666666666666</v>
      </c>
      <c r="I429" s="453">
        <f t="shared" si="73"/>
        <v>14.666666666666666</v>
      </c>
      <c r="J429" s="453">
        <f t="shared" si="73"/>
        <v>14.666666666666666</v>
      </c>
      <c r="K429" s="453">
        <f t="shared" si="73"/>
        <v>14.666666666666666</v>
      </c>
      <c r="L429" s="453">
        <f t="shared" si="73"/>
        <v>14.666666666666666</v>
      </c>
      <c r="M429" s="453">
        <f t="shared" si="73"/>
        <v>14.666666666666666</v>
      </c>
      <c r="N429" s="453">
        <f t="shared" si="73"/>
        <v>14.666666666666666</v>
      </c>
      <c r="O429" s="453">
        <f t="shared" si="73"/>
        <v>14.666666666666666</v>
      </c>
      <c r="P429" s="453">
        <f t="shared" si="73"/>
        <v>14.666666666666666</v>
      </c>
      <c r="Q429" s="453">
        <f t="shared" si="73"/>
        <v>14.666666666666666</v>
      </c>
      <c r="R429" s="453">
        <f t="shared" si="73"/>
        <v>14.666666666666666</v>
      </c>
      <c r="S429" s="453">
        <f t="shared" si="73"/>
        <v>14.666666666666666</v>
      </c>
      <c r="T429" s="453">
        <f t="shared" si="73"/>
        <v>14.666666666666666</v>
      </c>
      <c r="U429" s="453">
        <f t="shared" si="73"/>
        <v>14.666666666666666</v>
      </c>
      <c r="V429" s="453">
        <f t="shared" si="73"/>
        <v>14.666666666666666</v>
      </c>
      <c r="W429" s="453">
        <f t="shared" si="73"/>
        <v>14.666666666666666</v>
      </c>
      <c r="X429" s="453">
        <f t="shared" si="73"/>
        <v>14.666666666666666</v>
      </c>
      <c r="Y429" s="453">
        <f t="shared" si="73"/>
        <v>14.666666666666666</v>
      </c>
      <c r="Z429" s="453">
        <f t="shared" si="73"/>
        <v>14.666666666666666</v>
      </c>
      <c r="AA429" s="453">
        <f t="shared" si="73"/>
        <v>14.666666666666666</v>
      </c>
      <c r="AB429" s="453">
        <f t="shared" si="73"/>
        <v>14.666666666666666</v>
      </c>
      <c r="AC429" s="453">
        <f t="shared" si="73"/>
        <v>14.666666666666666</v>
      </c>
      <c r="AD429" s="453">
        <f t="shared" si="73"/>
        <v>14.666666666666666</v>
      </c>
      <c r="AE429" s="453">
        <f t="shared" si="73"/>
        <v>14.666666666666666</v>
      </c>
      <c r="AF429" s="453">
        <f t="shared" si="73"/>
        <v>14.666666666666666</v>
      </c>
      <c r="AG429" s="453">
        <f t="shared" si="73"/>
        <v>14.666666666666666</v>
      </c>
      <c r="AH429" s="453">
        <f t="shared" si="73"/>
        <v>14.666666666666666</v>
      </c>
      <c r="AI429" s="453">
        <f t="shared" si="73"/>
        <v>14.666666666666666</v>
      </c>
      <c r="AJ429" s="453">
        <f t="shared" si="73"/>
        <v>14.666666666666666</v>
      </c>
      <c r="AK429" s="453">
        <f t="shared" si="73"/>
        <v>14.666666666666666</v>
      </c>
      <c r="AL429" s="453">
        <f t="shared" si="73"/>
        <v>14.666666666666666</v>
      </c>
      <c r="AM429" s="453">
        <f t="shared" si="73"/>
        <v>14.666666666666666</v>
      </c>
      <c r="AN429" s="453">
        <f t="shared" si="73"/>
        <v>14.666666666666666</v>
      </c>
      <c r="AO429" s="453">
        <f t="shared" si="73"/>
        <v>14.666666666666666</v>
      </c>
      <c r="AP429" s="453">
        <f t="shared" si="73"/>
        <v>14.666666666666666</v>
      </c>
      <c r="AQ429" s="453">
        <f t="shared" si="73"/>
        <v>14.666666666666666</v>
      </c>
      <c r="AR429" s="453">
        <f t="shared" si="73"/>
        <v>14.666666666666666</v>
      </c>
      <c r="AS429" s="453">
        <f t="shared" si="73"/>
        <v>14.666666666666666</v>
      </c>
      <c r="AT429" s="453">
        <f t="shared" si="73"/>
        <v>14.666666666666666</v>
      </c>
      <c r="AU429" s="453">
        <f t="shared" si="73"/>
        <v>14.666666666666666</v>
      </c>
      <c r="AV429" s="453">
        <f t="shared" si="73"/>
        <v>14.666666666666666</v>
      </c>
      <c r="AW429" s="453">
        <f t="shared" si="73"/>
        <v>14.666666666666666</v>
      </c>
    </row>
    <row r="430" spans="1:49" x14ac:dyDescent="0.2">
      <c r="A430" s="470" t="s">
        <v>467</v>
      </c>
      <c r="B430" s="453">
        <f>SUM(I427:AW427)/COUNT(I427:AW427)</f>
        <v>11.692307692307692</v>
      </c>
      <c r="C430" s="624"/>
      <c r="D430" s="624"/>
      <c r="E430" s="624"/>
      <c r="F430" s="624"/>
      <c r="G430" s="624"/>
      <c r="H430" s="624"/>
      <c r="I430" s="474"/>
      <c r="J430" s="474"/>
      <c r="K430" s="474"/>
      <c r="L430" s="474"/>
      <c r="M430" s="474"/>
      <c r="N430" s="474"/>
      <c r="O430" s="474"/>
      <c r="P430" s="474"/>
      <c r="Q430" s="474"/>
      <c r="R430" s="474"/>
      <c r="S430" s="474"/>
      <c r="T430" s="474"/>
      <c r="U430" s="632"/>
      <c r="V430" s="474"/>
      <c r="W430" s="474"/>
      <c r="X430" s="474"/>
      <c r="Y430" s="474"/>
      <c r="Z430" s="624"/>
      <c r="AA430" s="633"/>
      <c r="AB430" s="624"/>
      <c r="AC430" s="624"/>
      <c r="AD430" s="624"/>
      <c r="AE430" s="624"/>
      <c r="AF430" s="624"/>
      <c r="AG430" s="474"/>
      <c r="AH430" s="474"/>
      <c r="AI430" s="474"/>
      <c r="AJ430" s="474"/>
      <c r="AK430" s="474"/>
      <c r="AL430" s="474"/>
      <c r="AM430" s="474"/>
      <c r="AN430" s="474"/>
      <c r="AO430" s="474"/>
      <c r="AP430" s="474"/>
      <c r="AQ430" s="474"/>
      <c r="AR430" s="474"/>
      <c r="AS430" s="632"/>
      <c r="AT430" s="474"/>
      <c r="AU430" s="474"/>
      <c r="AV430" s="474"/>
      <c r="AW430" s="474"/>
    </row>
    <row r="431" spans="1:49" ht="25.5" x14ac:dyDescent="0.2">
      <c r="A431" s="470" t="s">
        <v>470</v>
      </c>
      <c r="B431" s="453">
        <f>$B$430/1.128</f>
        <v>10.365521003818877</v>
      </c>
      <c r="C431" s="453" t="s">
        <v>368</v>
      </c>
      <c r="D431" s="453" t="s">
        <v>368</v>
      </c>
      <c r="E431" s="453" t="s">
        <v>368</v>
      </c>
      <c r="F431" s="453" t="s">
        <v>368</v>
      </c>
      <c r="G431" s="453" t="s">
        <v>368</v>
      </c>
      <c r="H431" s="453" t="s">
        <v>368</v>
      </c>
      <c r="I431" s="453" t="s">
        <v>368</v>
      </c>
      <c r="J431" s="453" t="s">
        <v>368</v>
      </c>
      <c r="K431" s="453" t="s">
        <v>368</v>
      </c>
      <c r="L431" s="453" t="s">
        <v>368</v>
      </c>
      <c r="M431" s="453" t="s">
        <v>368</v>
      </c>
      <c r="N431" s="453" t="s">
        <v>368</v>
      </c>
      <c r="O431" s="453" t="s">
        <v>368</v>
      </c>
      <c r="P431" s="453" t="s">
        <v>368</v>
      </c>
      <c r="Q431" s="453" t="s">
        <v>368</v>
      </c>
      <c r="R431" s="453" t="s">
        <v>368</v>
      </c>
      <c r="S431" s="453" t="s">
        <v>368</v>
      </c>
      <c r="T431" s="453" t="s">
        <v>368</v>
      </c>
      <c r="U431" s="453" t="s">
        <v>368</v>
      </c>
      <c r="V431" s="453" t="s">
        <v>368</v>
      </c>
      <c r="W431" s="453" t="s">
        <v>368</v>
      </c>
      <c r="X431" s="453" t="s">
        <v>368</v>
      </c>
      <c r="Y431" s="453" t="s">
        <v>368</v>
      </c>
      <c r="Z431" s="453" t="s">
        <v>368</v>
      </c>
      <c r="AA431" s="453" t="s">
        <v>368</v>
      </c>
      <c r="AB431" s="453" t="s">
        <v>368</v>
      </c>
      <c r="AC431" s="453" t="s">
        <v>368</v>
      </c>
      <c r="AD431" s="453" t="s">
        <v>368</v>
      </c>
      <c r="AE431" s="453" t="s">
        <v>368</v>
      </c>
      <c r="AF431" s="453" t="s">
        <v>368</v>
      </c>
      <c r="AG431" s="453" t="s">
        <v>368</v>
      </c>
      <c r="AH431" s="453" t="s">
        <v>368</v>
      </c>
      <c r="AI431" s="453" t="s">
        <v>368</v>
      </c>
      <c r="AJ431" s="453" t="s">
        <v>368</v>
      </c>
      <c r="AK431" s="453" t="s">
        <v>368</v>
      </c>
      <c r="AL431" s="453" t="s">
        <v>368</v>
      </c>
      <c r="AM431" s="453" t="s">
        <v>368</v>
      </c>
      <c r="AN431" s="453" t="s">
        <v>368</v>
      </c>
      <c r="AO431" s="453" t="s">
        <v>368</v>
      </c>
      <c r="AP431" s="453" t="s">
        <v>368</v>
      </c>
      <c r="AQ431" s="453" t="s">
        <v>368</v>
      </c>
      <c r="AR431" s="453" t="s">
        <v>368</v>
      </c>
      <c r="AS431" s="453" t="s">
        <v>368</v>
      </c>
      <c r="AT431" s="453" t="s">
        <v>368</v>
      </c>
      <c r="AU431" s="453" t="s">
        <v>368</v>
      </c>
      <c r="AV431" s="453" t="s">
        <v>368</v>
      </c>
      <c r="AW431" s="453" t="s">
        <v>368</v>
      </c>
    </row>
    <row r="432" spans="1:49" x14ac:dyDescent="0.2">
      <c r="A432" s="507" t="s">
        <v>473</v>
      </c>
      <c r="B432" s="453">
        <f t="shared" ref="B432:AW432" si="74">$B$429+(3*$B$431)</f>
        <v>45.763229678123295</v>
      </c>
      <c r="C432" s="453">
        <f t="shared" si="74"/>
        <v>45.763229678123295</v>
      </c>
      <c r="D432" s="453">
        <f t="shared" si="74"/>
        <v>45.763229678123295</v>
      </c>
      <c r="E432" s="453">
        <f t="shared" si="74"/>
        <v>45.763229678123295</v>
      </c>
      <c r="F432" s="453">
        <f t="shared" si="74"/>
        <v>45.763229678123295</v>
      </c>
      <c r="G432" s="453">
        <f t="shared" si="74"/>
        <v>45.763229678123295</v>
      </c>
      <c r="H432" s="453">
        <f t="shared" si="74"/>
        <v>45.763229678123295</v>
      </c>
      <c r="I432" s="453">
        <f t="shared" si="74"/>
        <v>45.763229678123295</v>
      </c>
      <c r="J432" s="453">
        <f t="shared" si="74"/>
        <v>45.763229678123295</v>
      </c>
      <c r="K432" s="453">
        <f t="shared" si="74"/>
        <v>45.763229678123295</v>
      </c>
      <c r="L432" s="453">
        <f t="shared" si="74"/>
        <v>45.763229678123295</v>
      </c>
      <c r="M432" s="453">
        <f t="shared" si="74"/>
        <v>45.763229678123295</v>
      </c>
      <c r="N432" s="453">
        <f t="shared" si="74"/>
        <v>45.763229678123295</v>
      </c>
      <c r="O432" s="453">
        <f t="shared" si="74"/>
        <v>45.763229678123295</v>
      </c>
      <c r="P432" s="453">
        <f t="shared" si="74"/>
        <v>45.763229678123295</v>
      </c>
      <c r="Q432" s="453">
        <f t="shared" si="74"/>
        <v>45.763229678123295</v>
      </c>
      <c r="R432" s="453">
        <f t="shared" si="74"/>
        <v>45.763229678123295</v>
      </c>
      <c r="S432" s="453">
        <f t="shared" si="74"/>
        <v>45.763229678123295</v>
      </c>
      <c r="T432" s="453">
        <f t="shared" si="74"/>
        <v>45.763229678123295</v>
      </c>
      <c r="U432" s="453">
        <f t="shared" si="74"/>
        <v>45.763229678123295</v>
      </c>
      <c r="V432" s="453">
        <f t="shared" si="74"/>
        <v>45.763229678123295</v>
      </c>
      <c r="W432" s="453">
        <f t="shared" si="74"/>
        <v>45.763229678123295</v>
      </c>
      <c r="X432" s="453">
        <f t="shared" si="74"/>
        <v>45.763229678123295</v>
      </c>
      <c r="Y432" s="453">
        <f t="shared" si="74"/>
        <v>45.763229678123295</v>
      </c>
      <c r="Z432" s="453">
        <f t="shared" si="74"/>
        <v>45.763229678123295</v>
      </c>
      <c r="AA432" s="453">
        <f t="shared" si="74"/>
        <v>45.763229678123295</v>
      </c>
      <c r="AB432" s="453">
        <f t="shared" si="74"/>
        <v>45.763229678123295</v>
      </c>
      <c r="AC432" s="453">
        <f t="shared" si="74"/>
        <v>45.763229678123295</v>
      </c>
      <c r="AD432" s="453">
        <f t="shared" si="74"/>
        <v>45.763229678123295</v>
      </c>
      <c r="AE432" s="453">
        <f t="shared" si="74"/>
        <v>45.763229678123295</v>
      </c>
      <c r="AF432" s="453">
        <f t="shared" si="74"/>
        <v>45.763229678123295</v>
      </c>
      <c r="AG432" s="453">
        <f t="shared" si="74"/>
        <v>45.763229678123295</v>
      </c>
      <c r="AH432" s="453">
        <f t="shared" si="74"/>
        <v>45.763229678123295</v>
      </c>
      <c r="AI432" s="453">
        <f t="shared" si="74"/>
        <v>45.763229678123295</v>
      </c>
      <c r="AJ432" s="453">
        <f t="shared" si="74"/>
        <v>45.763229678123295</v>
      </c>
      <c r="AK432" s="453">
        <f t="shared" si="74"/>
        <v>45.763229678123295</v>
      </c>
      <c r="AL432" s="453">
        <f t="shared" si="74"/>
        <v>45.763229678123295</v>
      </c>
      <c r="AM432" s="453">
        <f t="shared" si="74"/>
        <v>45.763229678123295</v>
      </c>
      <c r="AN432" s="453">
        <f t="shared" si="74"/>
        <v>45.763229678123295</v>
      </c>
      <c r="AO432" s="453">
        <f t="shared" si="74"/>
        <v>45.763229678123295</v>
      </c>
      <c r="AP432" s="453">
        <f t="shared" si="74"/>
        <v>45.763229678123295</v>
      </c>
      <c r="AQ432" s="453">
        <f t="shared" si="74"/>
        <v>45.763229678123295</v>
      </c>
      <c r="AR432" s="453">
        <f t="shared" si="74"/>
        <v>45.763229678123295</v>
      </c>
      <c r="AS432" s="453">
        <f t="shared" si="74"/>
        <v>45.763229678123295</v>
      </c>
      <c r="AT432" s="453">
        <f t="shared" si="74"/>
        <v>45.763229678123295</v>
      </c>
      <c r="AU432" s="453">
        <f t="shared" si="74"/>
        <v>45.763229678123295</v>
      </c>
      <c r="AV432" s="453">
        <f t="shared" si="74"/>
        <v>45.763229678123295</v>
      </c>
      <c r="AW432" s="453">
        <f t="shared" si="74"/>
        <v>45.763229678123295</v>
      </c>
    </row>
    <row r="433" spans="1:49" x14ac:dyDescent="0.2">
      <c r="A433" s="507" t="s">
        <v>475</v>
      </c>
      <c r="B433" s="453">
        <f t="shared" ref="B433:AW433" si="75">$B$429-(3*$B$431)</f>
        <v>-16.429896344789967</v>
      </c>
      <c r="C433" s="453">
        <f t="shared" si="75"/>
        <v>-16.429896344789967</v>
      </c>
      <c r="D433" s="453">
        <f t="shared" si="75"/>
        <v>-16.429896344789967</v>
      </c>
      <c r="E433" s="453">
        <f t="shared" si="75"/>
        <v>-16.429896344789967</v>
      </c>
      <c r="F433" s="453">
        <f t="shared" si="75"/>
        <v>-16.429896344789967</v>
      </c>
      <c r="G433" s="453">
        <f t="shared" si="75"/>
        <v>-16.429896344789967</v>
      </c>
      <c r="H433" s="453">
        <f t="shared" si="75"/>
        <v>-16.429896344789967</v>
      </c>
      <c r="I433" s="453">
        <f t="shared" si="75"/>
        <v>-16.429896344789967</v>
      </c>
      <c r="J433" s="453">
        <f t="shared" si="75"/>
        <v>-16.429896344789967</v>
      </c>
      <c r="K433" s="453">
        <f t="shared" si="75"/>
        <v>-16.429896344789967</v>
      </c>
      <c r="L433" s="453">
        <f t="shared" si="75"/>
        <v>-16.429896344789967</v>
      </c>
      <c r="M433" s="453">
        <f t="shared" si="75"/>
        <v>-16.429896344789967</v>
      </c>
      <c r="N433" s="453">
        <f t="shared" si="75"/>
        <v>-16.429896344789967</v>
      </c>
      <c r="O433" s="453">
        <f t="shared" si="75"/>
        <v>-16.429896344789967</v>
      </c>
      <c r="P433" s="453">
        <f t="shared" si="75"/>
        <v>-16.429896344789967</v>
      </c>
      <c r="Q433" s="453">
        <f t="shared" si="75"/>
        <v>-16.429896344789967</v>
      </c>
      <c r="R433" s="453">
        <f t="shared" si="75"/>
        <v>-16.429896344789967</v>
      </c>
      <c r="S433" s="453">
        <f t="shared" si="75"/>
        <v>-16.429896344789967</v>
      </c>
      <c r="T433" s="453">
        <f t="shared" si="75"/>
        <v>-16.429896344789967</v>
      </c>
      <c r="U433" s="453">
        <f t="shared" si="75"/>
        <v>-16.429896344789967</v>
      </c>
      <c r="V433" s="453">
        <f t="shared" si="75"/>
        <v>-16.429896344789967</v>
      </c>
      <c r="W433" s="453">
        <f t="shared" si="75"/>
        <v>-16.429896344789967</v>
      </c>
      <c r="X433" s="453">
        <f t="shared" si="75"/>
        <v>-16.429896344789967</v>
      </c>
      <c r="Y433" s="453">
        <f t="shared" si="75"/>
        <v>-16.429896344789967</v>
      </c>
      <c r="Z433" s="453">
        <f t="shared" si="75"/>
        <v>-16.429896344789967</v>
      </c>
      <c r="AA433" s="453">
        <f t="shared" si="75"/>
        <v>-16.429896344789967</v>
      </c>
      <c r="AB433" s="453">
        <f t="shared" si="75"/>
        <v>-16.429896344789967</v>
      </c>
      <c r="AC433" s="453">
        <f t="shared" si="75"/>
        <v>-16.429896344789967</v>
      </c>
      <c r="AD433" s="453">
        <f t="shared" si="75"/>
        <v>-16.429896344789967</v>
      </c>
      <c r="AE433" s="453">
        <f t="shared" si="75"/>
        <v>-16.429896344789967</v>
      </c>
      <c r="AF433" s="453">
        <f t="shared" si="75"/>
        <v>-16.429896344789967</v>
      </c>
      <c r="AG433" s="453">
        <f t="shared" si="75"/>
        <v>-16.429896344789967</v>
      </c>
      <c r="AH433" s="453">
        <f t="shared" si="75"/>
        <v>-16.429896344789967</v>
      </c>
      <c r="AI433" s="453">
        <f t="shared" si="75"/>
        <v>-16.429896344789967</v>
      </c>
      <c r="AJ433" s="453">
        <f t="shared" si="75"/>
        <v>-16.429896344789967</v>
      </c>
      <c r="AK433" s="453">
        <f t="shared" si="75"/>
        <v>-16.429896344789967</v>
      </c>
      <c r="AL433" s="453">
        <f t="shared" si="75"/>
        <v>-16.429896344789967</v>
      </c>
      <c r="AM433" s="453">
        <f t="shared" si="75"/>
        <v>-16.429896344789967</v>
      </c>
      <c r="AN433" s="453">
        <f t="shared" si="75"/>
        <v>-16.429896344789967</v>
      </c>
      <c r="AO433" s="453">
        <f t="shared" si="75"/>
        <v>-16.429896344789967</v>
      </c>
      <c r="AP433" s="453">
        <f t="shared" si="75"/>
        <v>-16.429896344789967</v>
      </c>
      <c r="AQ433" s="453">
        <f t="shared" si="75"/>
        <v>-16.429896344789967</v>
      </c>
      <c r="AR433" s="453">
        <f t="shared" si="75"/>
        <v>-16.429896344789967</v>
      </c>
      <c r="AS433" s="453">
        <f t="shared" si="75"/>
        <v>-16.429896344789967</v>
      </c>
      <c r="AT433" s="453">
        <f t="shared" si="75"/>
        <v>-16.429896344789967</v>
      </c>
      <c r="AU433" s="453">
        <f t="shared" si="75"/>
        <v>-16.429896344789967</v>
      </c>
      <c r="AV433" s="453">
        <f t="shared" si="75"/>
        <v>-16.429896344789967</v>
      </c>
      <c r="AW433" s="453">
        <f t="shared" si="75"/>
        <v>-16.429896344789967</v>
      </c>
    </row>
    <row r="434" spans="1:49" x14ac:dyDescent="0.2">
      <c r="A434" s="524" t="s">
        <v>509</v>
      </c>
      <c r="B434" s="453">
        <f t="shared" ref="B434:AW434" si="76">$B$429+(2*$B$431)</f>
        <v>35.397708674304418</v>
      </c>
      <c r="C434" s="453">
        <f t="shared" si="76"/>
        <v>35.397708674304418</v>
      </c>
      <c r="D434" s="453">
        <f t="shared" si="76"/>
        <v>35.397708674304418</v>
      </c>
      <c r="E434" s="453">
        <f t="shared" si="76"/>
        <v>35.397708674304418</v>
      </c>
      <c r="F434" s="453">
        <f t="shared" si="76"/>
        <v>35.397708674304418</v>
      </c>
      <c r="G434" s="453">
        <f t="shared" si="76"/>
        <v>35.397708674304418</v>
      </c>
      <c r="H434" s="453">
        <f t="shared" si="76"/>
        <v>35.397708674304418</v>
      </c>
      <c r="I434" s="453">
        <f t="shared" si="76"/>
        <v>35.397708674304418</v>
      </c>
      <c r="J434" s="453">
        <f t="shared" si="76"/>
        <v>35.397708674304418</v>
      </c>
      <c r="K434" s="453">
        <f t="shared" si="76"/>
        <v>35.397708674304418</v>
      </c>
      <c r="L434" s="453">
        <f t="shared" si="76"/>
        <v>35.397708674304418</v>
      </c>
      <c r="M434" s="453">
        <f t="shared" si="76"/>
        <v>35.397708674304418</v>
      </c>
      <c r="N434" s="453">
        <f t="shared" si="76"/>
        <v>35.397708674304418</v>
      </c>
      <c r="O434" s="453">
        <f t="shared" si="76"/>
        <v>35.397708674304418</v>
      </c>
      <c r="P434" s="453">
        <f t="shared" si="76"/>
        <v>35.397708674304418</v>
      </c>
      <c r="Q434" s="453">
        <f t="shared" si="76"/>
        <v>35.397708674304418</v>
      </c>
      <c r="R434" s="453">
        <f t="shared" si="76"/>
        <v>35.397708674304418</v>
      </c>
      <c r="S434" s="453">
        <f t="shared" si="76"/>
        <v>35.397708674304418</v>
      </c>
      <c r="T434" s="453">
        <f t="shared" si="76"/>
        <v>35.397708674304418</v>
      </c>
      <c r="U434" s="453">
        <f t="shared" si="76"/>
        <v>35.397708674304418</v>
      </c>
      <c r="V434" s="453">
        <f t="shared" si="76"/>
        <v>35.397708674304418</v>
      </c>
      <c r="W434" s="453">
        <f t="shared" si="76"/>
        <v>35.397708674304418</v>
      </c>
      <c r="X434" s="453">
        <f t="shared" si="76"/>
        <v>35.397708674304418</v>
      </c>
      <c r="Y434" s="453">
        <f t="shared" si="76"/>
        <v>35.397708674304418</v>
      </c>
      <c r="Z434" s="453">
        <f t="shared" si="76"/>
        <v>35.397708674304418</v>
      </c>
      <c r="AA434" s="453">
        <f t="shared" si="76"/>
        <v>35.397708674304418</v>
      </c>
      <c r="AB434" s="453">
        <f t="shared" si="76"/>
        <v>35.397708674304418</v>
      </c>
      <c r="AC434" s="453">
        <f t="shared" si="76"/>
        <v>35.397708674304418</v>
      </c>
      <c r="AD434" s="453">
        <f t="shared" si="76"/>
        <v>35.397708674304418</v>
      </c>
      <c r="AE434" s="453">
        <f t="shared" si="76"/>
        <v>35.397708674304418</v>
      </c>
      <c r="AF434" s="453">
        <f t="shared" si="76"/>
        <v>35.397708674304418</v>
      </c>
      <c r="AG434" s="453">
        <f t="shared" si="76"/>
        <v>35.397708674304418</v>
      </c>
      <c r="AH434" s="453">
        <f t="shared" si="76"/>
        <v>35.397708674304418</v>
      </c>
      <c r="AI434" s="453">
        <f t="shared" si="76"/>
        <v>35.397708674304418</v>
      </c>
      <c r="AJ434" s="453">
        <f t="shared" si="76"/>
        <v>35.397708674304418</v>
      </c>
      <c r="AK434" s="453">
        <f t="shared" si="76"/>
        <v>35.397708674304418</v>
      </c>
      <c r="AL434" s="453">
        <f t="shared" si="76"/>
        <v>35.397708674304418</v>
      </c>
      <c r="AM434" s="453">
        <f t="shared" si="76"/>
        <v>35.397708674304418</v>
      </c>
      <c r="AN434" s="453">
        <f t="shared" si="76"/>
        <v>35.397708674304418</v>
      </c>
      <c r="AO434" s="453">
        <f t="shared" si="76"/>
        <v>35.397708674304418</v>
      </c>
      <c r="AP434" s="453">
        <f t="shared" si="76"/>
        <v>35.397708674304418</v>
      </c>
      <c r="AQ434" s="453">
        <f t="shared" si="76"/>
        <v>35.397708674304418</v>
      </c>
      <c r="AR434" s="453">
        <f t="shared" si="76"/>
        <v>35.397708674304418</v>
      </c>
      <c r="AS434" s="453">
        <f t="shared" si="76"/>
        <v>35.397708674304418</v>
      </c>
      <c r="AT434" s="453">
        <f t="shared" si="76"/>
        <v>35.397708674304418</v>
      </c>
      <c r="AU434" s="453">
        <f t="shared" si="76"/>
        <v>35.397708674304418</v>
      </c>
      <c r="AV434" s="453">
        <f t="shared" si="76"/>
        <v>35.397708674304418</v>
      </c>
      <c r="AW434" s="453">
        <f t="shared" si="76"/>
        <v>35.397708674304418</v>
      </c>
    </row>
    <row r="435" spans="1:49" x14ac:dyDescent="0.2">
      <c r="A435" s="524" t="s">
        <v>510</v>
      </c>
      <c r="B435" s="453">
        <f t="shared" ref="B435:AW435" si="77">$B$429-(2*$B$431)</f>
        <v>-6.0643753409710879</v>
      </c>
      <c r="C435" s="453">
        <f t="shared" si="77"/>
        <v>-6.0643753409710879</v>
      </c>
      <c r="D435" s="453">
        <f t="shared" si="77"/>
        <v>-6.0643753409710879</v>
      </c>
      <c r="E435" s="453">
        <f t="shared" si="77"/>
        <v>-6.0643753409710879</v>
      </c>
      <c r="F435" s="453">
        <f t="shared" si="77"/>
        <v>-6.0643753409710879</v>
      </c>
      <c r="G435" s="453">
        <f t="shared" si="77"/>
        <v>-6.0643753409710879</v>
      </c>
      <c r="H435" s="453">
        <f t="shared" si="77"/>
        <v>-6.0643753409710879</v>
      </c>
      <c r="I435" s="453">
        <f t="shared" si="77"/>
        <v>-6.0643753409710879</v>
      </c>
      <c r="J435" s="453">
        <f t="shared" si="77"/>
        <v>-6.0643753409710879</v>
      </c>
      <c r="K435" s="453">
        <f t="shared" si="77"/>
        <v>-6.0643753409710879</v>
      </c>
      <c r="L435" s="453">
        <f t="shared" si="77"/>
        <v>-6.0643753409710879</v>
      </c>
      <c r="M435" s="453">
        <f t="shared" si="77"/>
        <v>-6.0643753409710879</v>
      </c>
      <c r="N435" s="453">
        <f t="shared" si="77"/>
        <v>-6.0643753409710879</v>
      </c>
      <c r="O435" s="453">
        <f t="shared" si="77"/>
        <v>-6.0643753409710879</v>
      </c>
      <c r="P435" s="453">
        <f t="shared" si="77"/>
        <v>-6.0643753409710879</v>
      </c>
      <c r="Q435" s="453">
        <f t="shared" si="77"/>
        <v>-6.0643753409710879</v>
      </c>
      <c r="R435" s="453">
        <f t="shared" si="77"/>
        <v>-6.0643753409710879</v>
      </c>
      <c r="S435" s="453">
        <f t="shared" si="77"/>
        <v>-6.0643753409710879</v>
      </c>
      <c r="T435" s="453">
        <f t="shared" si="77"/>
        <v>-6.0643753409710879</v>
      </c>
      <c r="U435" s="453">
        <f t="shared" si="77"/>
        <v>-6.0643753409710879</v>
      </c>
      <c r="V435" s="453">
        <f t="shared" si="77"/>
        <v>-6.0643753409710879</v>
      </c>
      <c r="W435" s="453">
        <f t="shared" si="77"/>
        <v>-6.0643753409710879</v>
      </c>
      <c r="X435" s="453">
        <f t="shared" si="77"/>
        <v>-6.0643753409710879</v>
      </c>
      <c r="Y435" s="453">
        <f t="shared" si="77"/>
        <v>-6.0643753409710879</v>
      </c>
      <c r="Z435" s="453">
        <f t="shared" si="77"/>
        <v>-6.0643753409710879</v>
      </c>
      <c r="AA435" s="453">
        <f t="shared" si="77"/>
        <v>-6.0643753409710879</v>
      </c>
      <c r="AB435" s="453">
        <f t="shared" si="77"/>
        <v>-6.0643753409710879</v>
      </c>
      <c r="AC435" s="453">
        <f t="shared" si="77"/>
        <v>-6.0643753409710879</v>
      </c>
      <c r="AD435" s="453">
        <f t="shared" si="77"/>
        <v>-6.0643753409710879</v>
      </c>
      <c r="AE435" s="453">
        <f t="shared" si="77"/>
        <v>-6.0643753409710879</v>
      </c>
      <c r="AF435" s="453">
        <f t="shared" si="77"/>
        <v>-6.0643753409710879</v>
      </c>
      <c r="AG435" s="453">
        <f t="shared" si="77"/>
        <v>-6.0643753409710879</v>
      </c>
      <c r="AH435" s="453">
        <f t="shared" si="77"/>
        <v>-6.0643753409710879</v>
      </c>
      <c r="AI435" s="453">
        <f t="shared" si="77"/>
        <v>-6.0643753409710879</v>
      </c>
      <c r="AJ435" s="453">
        <f t="shared" si="77"/>
        <v>-6.0643753409710879</v>
      </c>
      <c r="AK435" s="453">
        <f t="shared" si="77"/>
        <v>-6.0643753409710879</v>
      </c>
      <c r="AL435" s="453">
        <f t="shared" si="77"/>
        <v>-6.0643753409710879</v>
      </c>
      <c r="AM435" s="453">
        <f t="shared" si="77"/>
        <v>-6.0643753409710879</v>
      </c>
      <c r="AN435" s="453">
        <f t="shared" si="77"/>
        <v>-6.0643753409710879</v>
      </c>
      <c r="AO435" s="453">
        <f t="shared" si="77"/>
        <v>-6.0643753409710879</v>
      </c>
      <c r="AP435" s="453">
        <f t="shared" si="77"/>
        <v>-6.0643753409710879</v>
      </c>
      <c r="AQ435" s="453">
        <f t="shared" si="77"/>
        <v>-6.0643753409710879</v>
      </c>
      <c r="AR435" s="453">
        <f t="shared" si="77"/>
        <v>-6.0643753409710879</v>
      </c>
      <c r="AS435" s="453">
        <f t="shared" si="77"/>
        <v>-6.0643753409710879</v>
      </c>
      <c r="AT435" s="453">
        <f t="shared" si="77"/>
        <v>-6.0643753409710879</v>
      </c>
      <c r="AU435" s="453">
        <f t="shared" si="77"/>
        <v>-6.0643753409710879</v>
      </c>
      <c r="AV435" s="453">
        <f t="shared" si="77"/>
        <v>-6.0643753409710879</v>
      </c>
      <c r="AW435" s="453">
        <f t="shared" si="77"/>
        <v>-6.0643753409710879</v>
      </c>
    </row>
    <row r="436" spans="1:49" x14ac:dyDescent="0.2">
      <c r="A436" s="524" t="s">
        <v>511</v>
      </c>
      <c r="B436" s="453">
        <f t="shared" ref="B436:AW436" si="78">$B$429+($B$431)</f>
        <v>25.032187670485541</v>
      </c>
      <c r="C436" s="453">
        <f t="shared" si="78"/>
        <v>25.032187670485541</v>
      </c>
      <c r="D436" s="453">
        <f t="shared" si="78"/>
        <v>25.032187670485541</v>
      </c>
      <c r="E436" s="453">
        <f t="shared" si="78"/>
        <v>25.032187670485541</v>
      </c>
      <c r="F436" s="453">
        <f t="shared" si="78"/>
        <v>25.032187670485541</v>
      </c>
      <c r="G436" s="453">
        <f t="shared" si="78"/>
        <v>25.032187670485541</v>
      </c>
      <c r="H436" s="453">
        <f t="shared" si="78"/>
        <v>25.032187670485541</v>
      </c>
      <c r="I436" s="453">
        <f t="shared" si="78"/>
        <v>25.032187670485541</v>
      </c>
      <c r="J436" s="453">
        <f t="shared" si="78"/>
        <v>25.032187670485541</v>
      </c>
      <c r="K436" s="453">
        <f t="shared" si="78"/>
        <v>25.032187670485541</v>
      </c>
      <c r="L436" s="453">
        <f t="shared" si="78"/>
        <v>25.032187670485541</v>
      </c>
      <c r="M436" s="453">
        <f t="shared" si="78"/>
        <v>25.032187670485541</v>
      </c>
      <c r="N436" s="453">
        <f t="shared" si="78"/>
        <v>25.032187670485541</v>
      </c>
      <c r="O436" s="453">
        <f t="shared" si="78"/>
        <v>25.032187670485541</v>
      </c>
      <c r="P436" s="453">
        <f t="shared" si="78"/>
        <v>25.032187670485541</v>
      </c>
      <c r="Q436" s="453">
        <f t="shared" si="78"/>
        <v>25.032187670485541</v>
      </c>
      <c r="R436" s="453">
        <f t="shared" si="78"/>
        <v>25.032187670485541</v>
      </c>
      <c r="S436" s="453">
        <f t="shared" si="78"/>
        <v>25.032187670485541</v>
      </c>
      <c r="T436" s="453">
        <f t="shared" si="78"/>
        <v>25.032187670485541</v>
      </c>
      <c r="U436" s="453">
        <f t="shared" si="78"/>
        <v>25.032187670485541</v>
      </c>
      <c r="V436" s="453">
        <f t="shared" si="78"/>
        <v>25.032187670485541</v>
      </c>
      <c r="W436" s="453">
        <f t="shared" si="78"/>
        <v>25.032187670485541</v>
      </c>
      <c r="X436" s="453">
        <f t="shared" si="78"/>
        <v>25.032187670485541</v>
      </c>
      <c r="Y436" s="453">
        <f t="shared" si="78"/>
        <v>25.032187670485541</v>
      </c>
      <c r="Z436" s="453">
        <f t="shared" si="78"/>
        <v>25.032187670485541</v>
      </c>
      <c r="AA436" s="453">
        <f t="shared" si="78"/>
        <v>25.032187670485541</v>
      </c>
      <c r="AB436" s="453">
        <f t="shared" si="78"/>
        <v>25.032187670485541</v>
      </c>
      <c r="AC436" s="453">
        <f t="shared" si="78"/>
        <v>25.032187670485541</v>
      </c>
      <c r="AD436" s="453">
        <f t="shared" si="78"/>
        <v>25.032187670485541</v>
      </c>
      <c r="AE436" s="453">
        <f t="shared" si="78"/>
        <v>25.032187670485541</v>
      </c>
      <c r="AF436" s="453">
        <f t="shared" si="78"/>
        <v>25.032187670485541</v>
      </c>
      <c r="AG436" s="453">
        <f t="shared" si="78"/>
        <v>25.032187670485541</v>
      </c>
      <c r="AH436" s="453">
        <f t="shared" si="78"/>
        <v>25.032187670485541</v>
      </c>
      <c r="AI436" s="453">
        <f t="shared" si="78"/>
        <v>25.032187670485541</v>
      </c>
      <c r="AJ436" s="453">
        <f t="shared" si="78"/>
        <v>25.032187670485541</v>
      </c>
      <c r="AK436" s="453">
        <f t="shared" si="78"/>
        <v>25.032187670485541</v>
      </c>
      <c r="AL436" s="453">
        <f t="shared" si="78"/>
        <v>25.032187670485541</v>
      </c>
      <c r="AM436" s="453">
        <f t="shared" si="78"/>
        <v>25.032187670485541</v>
      </c>
      <c r="AN436" s="453">
        <f t="shared" si="78"/>
        <v>25.032187670485541</v>
      </c>
      <c r="AO436" s="453">
        <f t="shared" si="78"/>
        <v>25.032187670485541</v>
      </c>
      <c r="AP436" s="453">
        <f t="shared" si="78"/>
        <v>25.032187670485541</v>
      </c>
      <c r="AQ436" s="453">
        <f t="shared" si="78"/>
        <v>25.032187670485541</v>
      </c>
      <c r="AR436" s="453">
        <f t="shared" si="78"/>
        <v>25.032187670485541</v>
      </c>
      <c r="AS436" s="453">
        <f t="shared" si="78"/>
        <v>25.032187670485541</v>
      </c>
      <c r="AT436" s="453">
        <f t="shared" si="78"/>
        <v>25.032187670485541</v>
      </c>
      <c r="AU436" s="453">
        <f t="shared" si="78"/>
        <v>25.032187670485541</v>
      </c>
      <c r="AV436" s="453">
        <f t="shared" si="78"/>
        <v>25.032187670485541</v>
      </c>
      <c r="AW436" s="453">
        <f t="shared" si="78"/>
        <v>25.032187670485541</v>
      </c>
    </row>
    <row r="437" spans="1:49" x14ac:dyDescent="0.2">
      <c r="A437" s="524" t="s">
        <v>512</v>
      </c>
      <c r="B437" s="453">
        <f t="shared" ref="B437:AW437" si="79">$B$429-($B$431)</f>
        <v>4.3011456628477891</v>
      </c>
      <c r="C437" s="453">
        <f t="shared" si="79"/>
        <v>4.3011456628477891</v>
      </c>
      <c r="D437" s="453">
        <f t="shared" si="79"/>
        <v>4.3011456628477891</v>
      </c>
      <c r="E437" s="453">
        <f t="shared" si="79"/>
        <v>4.3011456628477891</v>
      </c>
      <c r="F437" s="453">
        <f t="shared" si="79"/>
        <v>4.3011456628477891</v>
      </c>
      <c r="G437" s="453">
        <f t="shared" si="79"/>
        <v>4.3011456628477891</v>
      </c>
      <c r="H437" s="453">
        <f t="shared" si="79"/>
        <v>4.3011456628477891</v>
      </c>
      <c r="I437" s="453">
        <f t="shared" si="79"/>
        <v>4.3011456628477891</v>
      </c>
      <c r="J437" s="453">
        <f t="shared" si="79"/>
        <v>4.3011456628477891</v>
      </c>
      <c r="K437" s="453">
        <f t="shared" si="79"/>
        <v>4.3011456628477891</v>
      </c>
      <c r="L437" s="453">
        <f t="shared" si="79"/>
        <v>4.3011456628477891</v>
      </c>
      <c r="M437" s="453">
        <f t="shared" si="79"/>
        <v>4.3011456628477891</v>
      </c>
      <c r="N437" s="453">
        <f t="shared" si="79"/>
        <v>4.3011456628477891</v>
      </c>
      <c r="O437" s="453">
        <f t="shared" si="79"/>
        <v>4.3011456628477891</v>
      </c>
      <c r="P437" s="453">
        <f t="shared" si="79"/>
        <v>4.3011456628477891</v>
      </c>
      <c r="Q437" s="453">
        <f t="shared" si="79"/>
        <v>4.3011456628477891</v>
      </c>
      <c r="R437" s="453">
        <f t="shared" si="79"/>
        <v>4.3011456628477891</v>
      </c>
      <c r="S437" s="453">
        <f t="shared" si="79"/>
        <v>4.3011456628477891</v>
      </c>
      <c r="T437" s="453">
        <f t="shared" si="79"/>
        <v>4.3011456628477891</v>
      </c>
      <c r="U437" s="453">
        <f t="shared" si="79"/>
        <v>4.3011456628477891</v>
      </c>
      <c r="V437" s="453">
        <f t="shared" si="79"/>
        <v>4.3011456628477891</v>
      </c>
      <c r="W437" s="453">
        <f t="shared" si="79"/>
        <v>4.3011456628477891</v>
      </c>
      <c r="X437" s="453">
        <f t="shared" si="79"/>
        <v>4.3011456628477891</v>
      </c>
      <c r="Y437" s="453">
        <f t="shared" si="79"/>
        <v>4.3011456628477891</v>
      </c>
      <c r="Z437" s="453">
        <f t="shared" si="79"/>
        <v>4.3011456628477891</v>
      </c>
      <c r="AA437" s="453">
        <f t="shared" si="79"/>
        <v>4.3011456628477891</v>
      </c>
      <c r="AB437" s="453">
        <f t="shared" si="79"/>
        <v>4.3011456628477891</v>
      </c>
      <c r="AC437" s="453">
        <f t="shared" si="79"/>
        <v>4.3011456628477891</v>
      </c>
      <c r="AD437" s="453">
        <f t="shared" si="79"/>
        <v>4.3011456628477891</v>
      </c>
      <c r="AE437" s="453">
        <f t="shared" si="79"/>
        <v>4.3011456628477891</v>
      </c>
      <c r="AF437" s="453">
        <f t="shared" si="79"/>
        <v>4.3011456628477891</v>
      </c>
      <c r="AG437" s="453">
        <f t="shared" si="79"/>
        <v>4.3011456628477891</v>
      </c>
      <c r="AH437" s="453">
        <f t="shared" si="79"/>
        <v>4.3011456628477891</v>
      </c>
      <c r="AI437" s="453">
        <f t="shared" si="79"/>
        <v>4.3011456628477891</v>
      </c>
      <c r="AJ437" s="453">
        <f t="shared" si="79"/>
        <v>4.3011456628477891</v>
      </c>
      <c r="AK437" s="453">
        <f t="shared" si="79"/>
        <v>4.3011456628477891</v>
      </c>
      <c r="AL437" s="453">
        <f t="shared" si="79"/>
        <v>4.3011456628477891</v>
      </c>
      <c r="AM437" s="453">
        <f t="shared" si="79"/>
        <v>4.3011456628477891</v>
      </c>
      <c r="AN437" s="453">
        <f t="shared" si="79"/>
        <v>4.3011456628477891</v>
      </c>
      <c r="AO437" s="453">
        <f t="shared" si="79"/>
        <v>4.3011456628477891</v>
      </c>
      <c r="AP437" s="453">
        <f t="shared" si="79"/>
        <v>4.3011456628477891</v>
      </c>
      <c r="AQ437" s="453">
        <f t="shared" si="79"/>
        <v>4.3011456628477891</v>
      </c>
      <c r="AR437" s="453">
        <f t="shared" si="79"/>
        <v>4.3011456628477891</v>
      </c>
      <c r="AS437" s="453">
        <f t="shared" si="79"/>
        <v>4.3011456628477891</v>
      </c>
      <c r="AT437" s="453">
        <f t="shared" si="79"/>
        <v>4.3011456628477891</v>
      </c>
      <c r="AU437" s="453">
        <f t="shared" si="79"/>
        <v>4.3011456628477891</v>
      </c>
      <c r="AV437" s="453">
        <f t="shared" si="79"/>
        <v>4.3011456628477891</v>
      </c>
      <c r="AW437" s="453">
        <f t="shared" si="79"/>
        <v>4.3011456628477891</v>
      </c>
    </row>
    <row r="438" spans="1:49" x14ac:dyDescent="0.2">
      <c r="A438" s="479"/>
      <c r="B438" s="624"/>
      <c r="C438" s="624"/>
      <c r="D438" s="624"/>
      <c r="E438" s="624"/>
      <c r="F438" s="624"/>
      <c r="G438" s="624"/>
      <c r="H438" s="624"/>
      <c r="I438" s="474"/>
      <c r="J438" s="474"/>
      <c r="K438" s="474"/>
      <c r="L438" s="474"/>
      <c r="M438" s="474"/>
      <c r="N438" s="474"/>
      <c r="O438" s="474"/>
      <c r="P438" s="474"/>
      <c r="Q438" s="474"/>
      <c r="R438" s="474"/>
      <c r="S438" s="474"/>
      <c r="T438" s="474"/>
      <c r="U438" s="632"/>
      <c r="V438" s="474"/>
      <c r="W438" s="474"/>
      <c r="X438" s="474"/>
      <c r="Y438" s="474"/>
      <c r="Z438" s="624"/>
      <c r="AA438" s="633"/>
      <c r="AB438" s="624"/>
      <c r="AC438" s="624"/>
      <c r="AD438" s="624"/>
      <c r="AE438" s="624"/>
      <c r="AF438" s="624"/>
      <c r="AG438" s="474"/>
      <c r="AH438" s="474"/>
      <c r="AI438" s="474"/>
      <c r="AJ438" s="474"/>
      <c r="AK438" s="474"/>
      <c r="AL438" s="474"/>
      <c r="AM438" s="474"/>
      <c r="AN438" s="474"/>
      <c r="AO438" s="474"/>
      <c r="AP438" s="474"/>
      <c r="AQ438" s="474"/>
      <c r="AR438" s="474"/>
      <c r="AS438" s="632"/>
      <c r="AT438" s="474"/>
      <c r="AU438" s="474"/>
      <c r="AV438" s="474"/>
      <c r="AW438" s="474"/>
    </row>
    <row r="439" spans="1:49" x14ac:dyDescent="0.2">
      <c r="A439" s="145"/>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c r="AA439" s="504"/>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row>
    <row r="440" spans="1:49" x14ac:dyDescent="0.2">
      <c r="A440" s="190"/>
      <c r="B440" s="163">
        <v>42095</v>
      </c>
      <c r="C440" s="163">
        <v>42125</v>
      </c>
      <c r="D440" s="163">
        <v>42156</v>
      </c>
      <c r="E440" s="163">
        <v>42186</v>
      </c>
      <c r="F440" s="163">
        <v>42217</v>
      </c>
      <c r="G440" s="163">
        <v>42248</v>
      </c>
      <c r="H440" s="163">
        <v>42278</v>
      </c>
      <c r="I440" s="164">
        <v>42309</v>
      </c>
      <c r="J440" s="164">
        <v>42339</v>
      </c>
      <c r="K440" s="164">
        <v>42370</v>
      </c>
      <c r="L440" s="164">
        <v>42401</v>
      </c>
      <c r="M440" s="164">
        <v>42430</v>
      </c>
      <c r="N440" s="164">
        <v>42461</v>
      </c>
      <c r="O440" s="164">
        <v>42491</v>
      </c>
      <c r="P440" s="164">
        <v>42522</v>
      </c>
      <c r="Q440" s="164">
        <v>42552</v>
      </c>
      <c r="R440" s="164">
        <v>42583</v>
      </c>
      <c r="S440" s="164">
        <v>42614</v>
      </c>
      <c r="T440" s="164">
        <v>42644</v>
      </c>
      <c r="U440" s="99">
        <v>42675</v>
      </c>
      <c r="V440" s="164">
        <v>42705</v>
      </c>
      <c r="W440" s="164">
        <v>42736</v>
      </c>
      <c r="X440" s="164">
        <v>42767</v>
      </c>
      <c r="Y440" s="164">
        <v>42795</v>
      </c>
      <c r="Z440" s="164">
        <v>42826</v>
      </c>
      <c r="AA440" s="209">
        <v>42856</v>
      </c>
      <c r="AB440" s="164">
        <v>42887</v>
      </c>
      <c r="AC440" s="209">
        <v>42917</v>
      </c>
      <c r="AD440" s="164">
        <v>42948</v>
      </c>
      <c r="AE440" s="209">
        <v>42979</v>
      </c>
      <c r="AF440" s="164">
        <v>43009</v>
      </c>
      <c r="AG440" s="209">
        <v>43040</v>
      </c>
      <c r="AH440" s="164">
        <v>43070</v>
      </c>
      <c r="AI440" s="164"/>
      <c r="AJ440" s="164"/>
      <c r="AK440" s="164"/>
      <c r="AL440" s="164"/>
      <c r="AM440" s="164"/>
      <c r="AN440" s="164"/>
      <c r="AO440" s="164"/>
      <c r="AP440" s="164"/>
      <c r="AQ440" s="164"/>
      <c r="AR440" s="164"/>
      <c r="AS440" s="99"/>
      <c r="AT440" s="164"/>
      <c r="AU440" s="164"/>
      <c r="AV440" s="164"/>
      <c r="AW440" s="164"/>
    </row>
    <row r="441" spans="1:49" ht="25.5" x14ac:dyDescent="0.2">
      <c r="A441" s="372" t="s">
        <v>247</v>
      </c>
      <c r="B441" s="373">
        <f t="shared" ref="B441:AG441" si="80">B31</f>
        <v>1594</v>
      </c>
      <c r="C441" s="373">
        <f t="shared" si="80"/>
        <v>1716</v>
      </c>
      <c r="D441" s="373">
        <f t="shared" si="80"/>
        <v>1994</v>
      </c>
      <c r="E441" s="373">
        <f t="shared" si="80"/>
        <v>2428</v>
      </c>
      <c r="F441" s="373">
        <f t="shared" si="80"/>
        <v>2320</v>
      </c>
      <c r="G441" s="373">
        <f t="shared" si="80"/>
        <v>2310</v>
      </c>
      <c r="H441" s="373">
        <f t="shared" si="80"/>
        <v>2398</v>
      </c>
      <c r="I441" s="373">
        <f t="shared" si="80"/>
        <v>1383</v>
      </c>
      <c r="J441" s="373">
        <f t="shared" si="80"/>
        <v>1213</v>
      </c>
      <c r="K441" s="373">
        <f t="shared" si="80"/>
        <v>1195</v>
      </c>
      <c r="L441" s="373">
        <f t="shared" si="80"/>
        <v>826</v>
      </c>
      <c r="M441" s="373">
        <f t="shared" si="80"/>
        <v>915</v>
      </c>
      <c r="N441" s="373">
        <f t="shared" si="80"/>
        <v>1513</v>
      </c>
      <c r="O441" s="373">
        <f t="shared" si="80"/>
        <v>1549</v>
      </c>
      <c r="P441" s="373">
        <f t="shared" si="80"/>
        <v>1640</v>
      </c>
      <c r="Q441" s="373">
        <f t="shared" si="80"/>
        <v>1810</v>
      </c>
      <c r="R441" s="373">
        <f t="shared" si="80"/>
        <v>1887</v>
      </c>
      <c r="S441" s="373">
        <f t="shared" si="80"/>
        <v>2047</v>
      </c>
      <c r="T441" s="373">
        <f t="shared" si="80"/>
        <v>2308</v>
      </c>
      <c r="U441" s="373">
        <f t="shared" si="80"/>
        <v>2308</v>
      </c>
      <c r="V441" s="373">
        <f t="shared" si="80"/>
        <v>2250</v>
      </c>
      <c r="W441" s="373">
        <f t="shared" si="80"/>
        <v>2439</v>
      </c>
      <c r="X441" s="373">
        <f t="shared" si="80"/>
        <v>2209</v>
      </c>
      <c r="Y441" s="373">
        <f t="shared" si="80"/>
        <v>2187</v>
      </c>
      <c r="Z441" s="373">
        <f t="shared" si="80"/>
        <v>2561</v>
      </c>
      <c r="AA441" s="373">
        <f t="shared" si="80"/>
        <v>2787</v>
      </c>
      <c r="AB441" s="373">
        <f t="shared" si="80"/>
        <v>3038</v>
      </c>
      <c r="AC441" s="373">
        <f t="shared" si="80"/>
        <v>3329</v>
      </c>
      <c r="AD441" s="373">
        <f t="shared" si="80"/>
        <v>3553</v>
      </c>
      <c r="AE441" s="373">
        <f t="shared" si="80"/>
        <v>3583</v>
      </c>
      <c r="AF441" s="373">
        <f t="shared" si="80"/>
        <v>3646</v>
      </c>
      <c r="AG441" s="373">
        <f t="shared" si="80"/>
        <v>3558</v>
      </c>
      <c r="AH441" s="373">
        <f t="shared" ref="AH441" si="81">AH31</f>
        <v>3799</v>
      </c>
      <c r="AI441" s="373"/>
      <c r="AJ441" s="373"/>
      <c r="AK441" s="373"/>
      <c r="AL441" s="373"/>
      <c r="AM441" s="373"/>
      <c r="AN441" s="373"/>
      <c r="AO441" s="373"/>
      <c r="AP441" s="373"/>
      <c r="AQ441" s="373"/>
      <c r="AR441" s="373"/>
      <c r="AS441" s="373"/>
      <c r="AT441" s="373"/>
      <c r="AU441" s="373"/>
      <c r="AV441" s="373"/>
      <c r="AW441" s="373"/>
    </row>
    <row r="442" spans="1:49" x14ac:dyDescent="0.2">
      <c r="A442" s="232" t="s">
        <v>16</v>
      </c>
      <c r="B442" s="136">
        <v>0</v>
      </c>
      <c r="C442" s="136">
        <v>0</v>
      </c>
      <c r="D442" s="136">
        <v>0</v>
      </c>
      <c r="E442" s="136">
        <v>0</v>
      </c>
      <c r="F442" s="136">
        <v>0</v>
      </c>
      <c r="G442" s="136">
        <v>0</v>
      </c>
      <c r="H442" s="136">
        <v>0</v>
      </c>
      <c r="I442" s="136">
        <v>0</v>
      </c>
      <c r="J442" s="136">
        <v>0</v>
      </c>
      <c r="K442" s="136">
        <v>0</v>
      </c>
      <c r="L442" s="136">
        <v>0</v>
      </c>
      <c r="M442" s="136">
        <v>0</v>
      </c>
      <c r="N442" s="136">
        <v>0</v>
      </c>
      <c r="O442" s="136">
        <v>0</v>
      </c>
      <c r="P442" s="136">
        <v>0</v>
      </c>
      <c r="Q442" s="136">
        <v>0</v>
      </c>
      <c r="R442" s="136">
        <v>0</v>
      </c>
      <c r="S442" s="136">
        <v>0</v>
      </c>
      <c r="T442" s="136">
        <v>0</v>
      </c>
      <c r="U442" s="136">
        <v>0</v>
      </c>
      <c r="V442" s="136">
        <v>0</v>
      </c>
      <c r="W442" s="136">
        <v>0</v>
      </c>
      <c r="X442" s="136">
        <v>0</v>
      </c>
      <c r="Y442" s="136">
        <v>0</v>
      </c>
      <c r="Z442" s="136">
        <v>0</v>
      </c>
      <c r="AA442" s="365">
        <v>0</v>
      </c>
      <c r="AB442" s="136">
        <v>0</v>
      </c>
      <c r="AC442" s="136">
        <v>0</v>
      </c>
      <c r="AD442" s="136">
        <v>0</v>
      </c>
      <c r="AE442" s="136">
        <v>0</v>
      </c>
      <c r="AF442" s="136">
        <v>0</v>
      </c>
      <c r="AG442" s="136">
        <v>0</v>
      </c>
      <c r="AH442" s="136">
        <v>0</v>
      </c>
      <c r="AI442" s="136">
        <v>0</v>
      </c>
      <c r="AJ442" s="136">
        <v>0</v>
      </c>
      <c r="AK442" s="136">
        <v>0</v>
      </c>
      <c r="AL442" s="136">
        <v>0</v>
      </c>
      <c r="AM442" s="136">
        <v>0</v>
      </c>
      <c r="AN442" s="136">
        <v>0</v>
      </c>
      <c r="AO442" s="136">
        <v>0</v>
      </c>
      <c r="AP442" s="136">
        <v>0</v>
      </c>
      <c r="AQ442" s="136">
        <v>0</v>
      </c>
      <c r="AR442" s="136">
        <v>0</v>
      </c>
      <c r="AS442" s="136">
        <v>0</v>
      </c>
      <c r="AT442" s="136">
        <v>0</v>
      </c>
      <c r="AU442" s="136">
        <v>0</v>
      </c>
      <c r="AV442" s="136">
        <v>0</v>
      </c>
      <c r="AW442" s="136">
        <v>0</v>
      </c>
    </row>
    <row r="443" spans="1:49" ht="25.5" x14ac:dyDescent="0.2">
      <c r="A443" s="636" t="s">
        <v>247</v>
      </c>
      <c r="B443" s="478" t="s">
        <v>491</v>
      </c>
      <c r="C443" s="472"/>
      <c r="D443" s="443"/>
      <c r="E443" s="443"/>
      <c r="F443" s="443"/>
      <c r="G443" s="443"/>
      <c r="H443" s="443"/>
      <c r="I443" s="443"/>
      <c r="J443" s="443"/>
      <c r="K443" s="443"/>
      <c r="L443" s="443"/>
      <c r="M443" s="443"/>
      <c r="N443" s="443"/>
      <c r="O443" s="443"/>
      <c r="P443" s="443"/>
      <c r="Q443" s="443"/>
      <c r="R443" s="443"/>
      <c r="S443" s="443"/>
      <c r="T443" s="443"/>
      <c r="U443" s="443"/>
      <c r="V443" s="443"/>
      <c r="W443" s="443"/>
      <c r="X443" s="443"/>
      <c r="Y443" s="443"/>
      <c r="Z443" s="443"/>
      <c r="AA443" s="523"/>
      <c r="AB443" s="443"/>
      <c r="AC443" s="443"/>
      <c r="AD443" s="443"/>
      <c r="AE443" s="443"/>
      <c r="AF443" s="443"/>
      <c r="AG443" s="443"/>
      <c r="AH443" s="443"/>
      <c r="AI443" s="443"/>
      <c r="AJ443" s="443"/>
      <c r="AK443" s="443"/>
      <c r="AL443" s="443"/>
      <c r="AM443" s="443"/>
      <c r="AN443" s="443"/>
      <c r="AO443" s="443"/>
      <c r="AP443" s="443"/>
      <c r="AQ443" s="443"/>
      <c r="AR443" s="443"/>
      <c r="AS443" s="443"/>
      <c r="AT443" s="443"/>
      <c r="AU443" s="443"/>
      <c r="AV443" s="443"/>
      <c r="AW443" s="443"/>
    </row>
    <row r="444" spans="1:49" x14ac:dyDescent="0.2">
      <c r="A444" s="479" t="s">
        <v>130</v>
      </c>
      <c r="B444" s="624"/>
      <c r="C444" s="443"/>
      <c r="D444" s="443"/>
      <c r="E444" s="443"/>
      <c r="F444" s="443"/>
      <c r="G444" s="443"/>
      <c r="H444" s="443"/>
      <c r="I444" s="443"/>
      <c r="J444" s="443"/>
      <c r="K444" s="443"/>
      <c r="L444" s="443"/>
      <c r="M444" s="443"/>
      <c r="N444" s="443"/>
      <c r="O444" s="443"/>
      <c r="P444" s="443"/>
      <c r="Q444" s="443"/>
      <c r="R444" s="443"/>
      <c r="S444" s="443"/>
      <c r="T444" s="443"/>
      <c r="U444" s="443"/>
      <c r="V444" s="443"/>
      <c r="W444" s="443"/>
      <c r="X444" s="443"/>
      <c r="Y444" s="443"/>
      <c r="Z444" s="443"/>
      <c r="AA444" s="523"/>
      <c r="AB444" s="443"/>
      <c r="AC444" s="443"/>
      <c r="AD444" s="443"/>
      <c r="AE444" s="443"/>
      <c r="AF444" s="443"/>
      <c r="AG444" s="443"/>
      <c r="AH444" s="443"/>
      <c r="AI444" s="443"/>
      <c r="AJ444" s="443"/>
      <c r="AK444" s="443"/>
      <c r="AL444" s="443"/>
      <c r="AM444" s="443"/>
      <c r="AN444" s="443"/>
      <c r="AO444" s="443"/>
      <c r="AP444" s="443"/>
      <c r="AQ444" s="443"/>
      <c r="AR444" s="443"/>
      <c r="AS444" s="443"/>
      <c r="AT444" s="443"/>
      <c r="AU444" s="443"/>
      <c r="AV444" s="443"/>
      <c r="AW444" s="443"/>
    </row>
    <row r="445" spans="1:49" x14ac:dyDescent="0.2">
      <c r="A445" s="479" t="s">
        <v>178</v>
      </c>
      <c r="B445" s="624"/>
      <c r="C445" s="443"/>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c r="AA445" s="523"/>
      <c r="AB445" s="443"/>
      <c r="AC445" s="443"/>
      <c r="AD445" s="443"/>
      <c r="AE445" s="443"/>
      <c r="AF445" s="443"/>
      <c r="AG445" s="443"/>
      <c r="AH445" s="443"/>
      <c r="AI445" s="443"/>
      <c r="AJ445" s="443"/>
      <c r="AK445" s="443"/>
      <c r="AL445" s="443"/>
      <c r="AM445" s="443"/>
      <c r="AN445" s="443"/>
      <c r="AO445" s="443"/>
      <c r="AP445" s="443"/>
      <c r="AQ445" s="443"/>
      <c r="AR445" s="443"/>
      <c r="AS445" s="443"/>
      <c r="AT445" s="443"/>
      <c r="AU445" s="443"/>
      <c r="AV445" s="443"/>
      <c r="AW445" s="443"/>
    </row>
    <row r="446" spans="1:49" x14ac:dyDescent="0.2">
      <c r="A446" s="498" t="s">
        <v>466</v>
      </c>
      <c r="B446" s="634"/>
      <c r="C446" s="637">
        <f>(C441-B441)</f>
        <v>122</v>
      </c>
      <c r="D446" s="637">
        <f t="shared" ref="D446:AF446" si="82">(D441-C441)</f>
        <v>278</v>
      </c>
      <c r="E446" s="637">
        <f t="shared" si="82"/>
        <v>434</v>
      </c>
      <c r="F446" s="637">
        <f>(F441-E441)*-1</f>
        <v>108</v>
      </c>
      <c r="G446" s="637">
        <f>(G441-F441)*-1</f>
        <v>10</v>
      </c>
      <c r="H446" s="637">
        <f t="shared" si="82"/>
        <v>88</v>
      </c>
      <c r="I446" s="637">
        <f>(I441-H441)*-1</f>
        <v>1015</v>
      </c>
      <c r="J446" s="637">
        <f>(J441-I441)*-1</f>
        <v>170</v>
      </c>
      <c r="K446" s="637">
        <f>(K441-J441)*-1</f>
        <v>18</v>
      </c>
      <c r="L446" s="637">
        <f>(L441-K441)*-1</f>
        <v>369</v>
      </c>
      <c r="M446" s="637">
        <f t="shared" si="82"/>
        <v>89</v>
      </c>
      <c r="N446" s="637">
        <f t="shared" si="82"/>
        <v>598</v>
      </c>
      <c r="O446" s="637">
        <f t="shared" si="82"/>
        <v>36</v>
      </c>
      <c r="P446" s="637">
        <f t="shared" si="82"/>
        <v>91</v>
      </c>
      <c r="Q446" s="637">
        <f t="shared" si="82"/>
        <v>170</v>
      </c>
      <c r="R446" s="637">
        <f t="shared" si="82"/>
        <v>77</v>
      </c>
      <c r="S446" s="637">
        <f t="shared" si="82"/>
        <v>160</v>
      </c>
      <c r="T446" s="637">
        <f t="shared" si="82"/>
        <v>261</v>
      </c>
      <c r="U446" s="637">
        <f t="shared" si="82"/>
        <v>0</v>
      </c>
      <c r="V446" s="637">
        <f>(V441-U441)*-1</f>
        <v>58</v>
      </c>
      <c r="W446" s="637">
        <f t="shared" si="82"/>
        <v>189</v>
      </c>
      <c r="X446" s="637">
        <f>(X441-W441)*-1</f>
        <v>230</v>
      </c>
      <c r="Y446" s="637">
        <f>(Y441-X441)*-1</f>
        <v>22</v>
      </c>
      <c r="Z446" s="637">
        <f t="shared" si="82"/>
        <v>374</v>
      </c>
      <c r="AA446" s="637">
        <f t="shared" si="82"/>
        <v>226</v>
      </c>
      <c r="AB446" s="637">
        <f t="shared" si="82"/>
        <v>251</v>
      </c>
      <c r="AC446" s="637">
        <f t="shared" si="82"/>
        <v>291</v>
      </c>
      <c r="AD446" s="637">
        <f t="shared" si="82"/>
        <v>224</v>
      </c>
      <c r="AE446" s="637">
        <f t="shared" si="82"/>
        <v>30</v>
      </c>
      <c r="AF446" s="637">
        <f t="shared" si="82"/>
        <v>63</v>
      </c>
      <c r="AG446" s="637">
        <f>(AG441-AF441)*-1</f>
        <v>88</v>
      </c>
      <c r="AH446" s="637">
        <f>(AH441-AG441)</f>
        <v>241</v>
      </c>
      <c r="AI446" s="497" t="s">
        <v>368</v>
      </c>
      <c r="AJ446" s="497" t="s">
        <v>368</v>
      </c>
      <c r="AK446" s="497" t="s">
        <v>368</v>
      </c>
      <c r="AL446" s="497" t="s">
        <v>368</v>
      </c>
      <c r="AM446" s="497" t="s">
        <v>368</v>
      </c>
      <c r="AN446" s="497" t="s">
        <v>368</v>
      </c>
      <c r="AO446" s="497" t="s">
        <v>368</v>
      </c>
      <c r="AP446" s="497" t="s">
        <v>368</v>
      </c>
      <c r="AQ446" s="497" t="s">
        <v>368</v>
      </c>
      <c r="AR446" s="497" t="s">
        <v>368</v>
      </c>
      <c r="AS446" s="497" t="s">
        <v>368</v>
      </c>
      <c r="AT446" s="497" t="s">
        <v>368</v>
      </c>
      <c r="AU446" s="497" t="s">
        <v>368</v>
      </c>
      <c r="AV446" s="497" t="s">
        <v>368</v>
      </c>
      <c r="AW446" s="497" t="s">
        <v>368</v>
      </c>
    </row>
    <row r="447" spans="1:49" ht="53.25" x14ac:dyDescent="0.2">
      <c r="A447" s="471" t="s">
        <v>497</v>
      </c>
      <c r="B447" s="624"/>
      <c r="C447" s="443"/>
      <c r="D447" s="443"/>
      <c r="E447" s="443"/>
      <c r="F447" s="443"/>
      <c r="G447" s="443"/>
      <c r="H447" s="443"/>
      <c r="I447" s="443"/>
      <c r="J447" s="443"/>
      <c r="K447" s="443"/>
      <c r="L447" s="443"/>
      <c r="M447" s="443"/>
      <c r="N447" s="443"/>
      <c r="O447" s="443"/>
      <c r="P447" s="443"/>
      <c r="Q447" s="443"/>
      <c r="R447" s="443"/>
      <c r="S447" s="443"/>
      <c r="T447" s="443"/>
      <c r="U447" s="443"/>
      <c r="V447" s="443"/>
      <c r="W447" s="443"/>
      <c r="X447" s="443"/>
      <c r="Y447" s="443"/>
      <c r="Z447" s="443"/>
      <c r="AA447" s="523"/>
      <c r="AB447" s="443"/>
      <c r="AC447" s="443"/>
      <c r="AD447" s="443"/>
      <c r="AE447" s="443"/>
      <c r="AF447" s="443"/>
      <c r="AG447" s="443"/>
      <c r="AH447" s="443"/>
      <c r="AI447" s="443"/>
      <c r="AJ447" s="443"/>
      <c r="AK447" s="443"/>
      <c r="AL447" s="443"/>
      <c r="AM447" s="443"/>
      <c r="AN447" s="443"/>
      <c r="AO447" s="443"/>
      <c r="AP447" s="443"/>
      <c r="AQ447" s="443"/>
      <c r="AR447" s="443"/>
      <c r="AS447" s="443"/>
      <c r="AT447" s="443"/>
      <c r="AU447" s="443"/>
      <c r="AV447" s="443"/>
      <c r="AW447" s="443"/>
    </row>
    <row r="448" spans="1:49" x14ac:dyDescent="0.2">
      <c r="A448" s="461" t="s">
        <v>468</v>
      </c>
      <c r="B448" s="472">
        <f t="shared" ref="B448:AW448" si="83">AVERAGE($B$441:$AW$441)</f>
        <v>2251.3030303030305</v>
      </c>
      <c r="C448" s="472">
        <f t="shared" si="83"/>
        <v>2251.3030303030305</v>
      </c>
      <c r="D448" s="472">
        <f t="shared" si="83"/>
        <v>2251.3030303030305</v>
      </c>
      <c r="E448" s="472">
        <f t="shared" si="83"/>
        <v>2251.3030303030305</v>
      </c>
      <c r="F448" s="472">
        <f t="shared" si="83"/>
        <v>2251.3030303030305</v>
      </c>
      <c r="G448" s="472">
        <f t="shared" si="83"/>
        <v>2251.3030303030305</v>
      </c>
      <c r="H448" s="472">
        <f t="shared" si="83"/>
        <v>2251.3030303030305</v>
      </c>
      <c r="I448" s="472">
        <f t="shared" si="83"/>
        <v>2251.3030303030305</v>
      </c>
      <c r="J448" s="472">
        <f t="shared" si="83"/>
        <v>2251.3030303030305</v>
      </c>
      <c r="K448" s="472">
        <f t="shared" si="83"/>
        <v>2251.3030303030305</v>
      </c>
      <c r="L448" s="472">
        <f t="shared" si="83"/>
        <v>2251.3030303030305</v>
      </c>
      <c r="M448" s="472">
        <f t="shared" si="83"/>
        <v>2251.3030303030305</v>
      </c>
      <c r="N448" s="472">
        <f t="shared" si="83"/>
        <v>2251.3030303030305</v>
      </c>
      <c r="O448" s="472">
        <f t="shared" si="83"/>
        <v>2251.3030303030305</v>
      </c>
      <c r="P448" s="472">
        <f t="shared" si="83"/>
        <v>2251.3030303030305</v>
      </c>
      <c r="Q448" s="472">
        <f t="shared" si="83"/>
        <v>2251.3030303030305</v>
      </c>
      <c r="R448" s="472">
        <f t="shared" si="83"/>
        <v>2251.3030303030305</v>
      </c>
      <c r="S448" s="472">
        <f t="shared" si="83"/>
        <v>2251.3030303030305</v>
      </c>
      <c r="T448" s="472">
        <f t="shared" si="83"/>
        <v>2251.3030303030305</v>
      </c>
      <c r="U448" s="472">
        <f t="shared" si="83"/>
        <v>2251.3030303030305</v>
      </c>
      <c r="V448" s="472">
        <f t="shared" si="83"/>
        <v>2251.3030303030305</v>
      </c>
      <c r="W448" s="472">
        <f t="shared" si="83"/>
        <v>2251.3030303030305</v>
      </c>
      <c r="X448" s="472">
        <f t="shared" si="83"/>
        <v>2251.3030303030305</v>
      </c>
      <c r="Y448" s="472">
        <f t="shared" si="83"/>
        <v>2251.3030303030305</v>
      </c>
      <c r="Z448" s="472">
        <f t="shared" si="83"/>
        <v>2251.3030303030305</v>
      </c>
      <c r="AA448" s="501">
        <f t="shared" si="83"/>
        <v>2251.3030303030305</v>
      </c>
      <c r="AB448" s="472">
        <f t="shared" si="83"/>
        <v>2251.3030303030305</v>
      </c>
      <c r="AC448" s="472">
        <f t="shared" si="83"/>
        <v>2251.3030303030305</v>
      </c>
      <c r="AD448" s="472">
        <f t="shared" si="83"/>
        <v>2251.3030303030305</v>
      </c>
      <c r="AE448" s="472">
        <f t="shared" si="83"/>
        <v>2251.3030303030305</v>
      </c>
      <c r="AF448" s="472">
        <f t="shared" si="83"/>
        <v>2251.3030303030305</v>
      </c>
      <c r="AG448" s="472">
        <f t="shared" si="83"/>
        <v>2251.3030303030305</v>
      </c>
      <c r="AH448" s="472">
        <f t="shared" si="83"/>
        <v>2251.3030303030305</v>
      </c>
      <c r="AI448" s="472">
        <f t="shared" si="83"/>
        <v>2251.3030303030305</v>
      </c>
      <c r="AJ448" s="472">
        <f t="shared" si="83"/>
        <v>2251.3030303030305</v>
      </c>
      <c r="AK448" s="472">
        <f t="shared" si="83"/>
        <v>2251.3030303030305</v>
      </c>
      <c r="AL448" s="472">
        <f t="shared" si="83"/>
        <v>2251.3030303030305</v>
      </c>
      <c r="AM448" s="472">
        <f t="shared" si="83"/>
        <v>2251.3030303030305</v>
      </c>
      <c r="AN448" s="472">
        <f t="shared" si="83"/>
        <v>2251.3030303030305</v>
      </c>
      <c r="AO448" s="472">
        <f t="shared" si="83"/>
        <v>2251.3030303030305</v>
      </c>
      <c r="AP448" s="472">
        <f t="shared" si="83"/>
        <v>2251.3030303030305</v>
      </c>
      <c r="AQ448" s="472">
        <f t="shared" si="83"/>
        <v>2251.3030303030305</v>
      </c>
      <c r="AR448" s="472">
        <f t="shared" si="83"/>
        <v>2251.3030303030305</v>
      </c>
      <c r="AS448" s="472">
        <f t="shared" si="83"/>
        <v>2251.3030303030305</v>
      </c>
      <c r="AT448" s="472">
        <f t="shared" si="83"/>
        <v>2251.3030303030305</v>
      </c>
      <c r="AU448" s="472">
        <f t="shared" si="83"/>
        <v>2251.3030303030305</v>
      </c>
      <c r="AV448" s="472">
        <f t="shared" si="83"/>
        <v>2251.3030303030305</v>
      </c>
      <c r="AW448" s="472">
        <f t="shared" si="83"/>
        <v>2251.3030303030305</v>
      </c>
    </row>
    <row r="449" spans="1:49" x14ac:dyDescent="0.2">
      <c r="A449" s="470" t="s">
        <v>467</v>
      </c>
      <c r="B449" s="453">
        <f>SUM(C446:AW446)/COUNT(C446:AW446)</f>
        <v>199.40625</v>
      </c>
      <c r="C449" s="443"/>
      <c r="D449" s="443"/>
      <c r="E449" s="443"/>
      <c r="F449" s="443"/>
      <c r="G449" s="443"/>
      <c r="H449" s="443"/>
      <c r="I449" s="443"/>
      <c r="J449" s="443"/>
      <c r="K449" s="443"/>
      <c r="L449" s="443"/>
      <c r="M449" s="443"/>
      <c r="N449" s="443"/>
      <c r="O449" s="443"/>
      <c r="P449" s="443"/>
      <c r="Q449" s="443"/>
      <c r="R449" s="443"/>
      <c r="S449" s="443"/>
      <c r="T449" s="443"/>
      <c r="U449" s="443"/>
      <c r="V449" s="443"/>
      <c r="W449" s="443"/>
      <c r="X449" s="443"/>
      <c r="Y449" s="443"/>
      <c r="Z449" s="443"/>
      <c r="AA449" s="523"/>
      <c r="AB449" s="443"/>
      <c r="AC449" s="443"/>
      <c r="AD449" s="443"/>
      <c r="AE449" s="443"/>
      <c r="AF449" s="443"/>
      <c r="AG449" s="443"/>
      <c r="AH449" s="443"/>
      <c r="AI449" s="443"/>
      <c r="AJ449" s="443"/>
      <c r="AK449" s="443"/>
      <c r="AL449" s="443"/>
      <c r="AM449" s="443"/>
      <c r="AN449" s="443"/>
      <c r="AO449" s="443"/>
      <c r="AP449" s="443"/>
      <c r="AQ449" s="443"/>
      <c r="AR449" s="443"/>
      <c r="AS449" s="443"/>
      <c r="AT449" s="443"/>
      <c r="AU449" s="443"/>
      <c r="AV449" s="443"/>
      <c r="AW449" s="443"/>
    </row>
    <row r="450" spans="1:49" ht="25.5" x14ac:dyDescent="0.2">
      <c r="A450" s="470" t="s">
        <v>470</v>
      </c>
      <c r="B450" s="453">
        <f>B449/1.128</f>
        <v>176.77859042553195</v>
      </c>
      <c r="C450" s="443"/>
      <c r="D450" s="443"/>
      <c r="E450" s="443"/>
      <c r="F450" s="443"/>
      <c r="G450" s="443"/>
      <c r="H450" s="443"/>
      <c r="I450" s="443"/>
      <c r="J450" s="443"/>
      <c r="K450" s="443"/>
      <c r="L450" s="443"/>
      <c r="M450" s="443"/>
      <c r="N450" s="443"/>
      <c r="O450" s="443"/>
      <c r="P450" s="443"/>
      <c r="Q450" s="443"/>
      <c r="R450" s="443"/>
      <c r="S450" s="443"/>
      <c r="T450" s="443"/>
      <c r="U450" s="443"/>
      <c r="V450" s="443"/>
      <c r="W450" s="443"/>
      <c r="X450" s="443"/>
      <c r="Y450" s="443"/>
      <c r="Z450" s="443"/>
      <c r="AA450" s="523"/>
      <c r="AB450" s="443"/>
      <c r="AC450" s="443"/>
      <c r="AD450" s="443"/>
      <c r="AE450" s="443"/>
      <c r="AF450" s="443"/>
      <c r="AG450" s="443"/>
      <c r="AH450" s="443"/>
      <c r="AI450" s="443"/>
      <c r="AJ450" s="443"/>
      <c r="AK450" s="443"/>
      <c r="AL450" s="443"/>
      <c r="AM450" s="443"/>
      <c r="AN450" s="443"/>
      <c r="AO450" s="443"/>
      <c r="AP450" s="443"/>
      <c r="AQ450" s="443"/>
      <c r="AR450" s="443"/>
      <c r="AS450" s="443"/>
      <c r="AT450" s="443"/>
      <c r="AU450" s="443"/>
      <c r="AV450" s="443"/>
      <c r="AW450" s="443"/>
    </row>
    <row r="451" spans="1:49" x14ac:dyDescent="0.2">
      <c r="A451" s="470" t="s">
        <v>473</v>
      </c>
      <c r="B451" s="472">
        <f t="shared" ref="B451:AW451" si="84">$B$448+(3*$B$450)</f>
        <v>2781.6388015796265</v>
      </c>
      <c r="C451" s="472">
        <f t="shared" si="84"/>
        <v>2781.6388015796265</v>
      </c>
      <c r="D451" s="472">
        <f t="shared" si="84"/>
        <v>2781.6388015796265</v>
      </c>
      <c r="E451" s="472">
        <f t="shared" si="84"/>
        <v>2781.6388015796265</v>
      </c>
      <c r="F451" s="472">
        <f t="shared" si="84"/>
        <v>2781.6388015796265</v>
      </c>
      <c r="G451" s="472">
        <f t="shared" si="84"/>
        <v>2781.6388015796265</v>
      </c>
      <c r="H451" s="472">
        <f t="shared" si="84"/>
        <v>2781.6388015796265</v>
      </c>
      <c r="I451" s="472">
        <f t="shared" si="84"/>
        <v>2781.6388015796265</v>
      </c>
      <c r="J451" s="472">
        <f t="shared" si="84"/>
        <v>2781.6388015796265</v>
      </c>
      <c r="K451" s="472">
        <f t="shared" si="84"/>
        <v>2781.6388015796265</v>
      </c>
      <c r="L451" s="472">
        <f t="shared" si="84"/>
        <v>2781.6388015796265</v>
      </c>
      <c r="M451" s="472">
        <f t="shared" si="84"/>
        <v>2781.6388015796265</v>
      </c>
      <c r="N451" s="472">
        <f t="shared" si="84"/>
        <v>2781.6388015796265</v>
      </c>
      <c r="O451" s="472">
        <f t="shared" si="84"/>
        <v>2781.6388015796265</v>
      </c>
      <c r="P451" s="472">
        <f t="shared" si="84"/>
        <v>2781.6388015796265</v>
      </c>
      <c r="Q451" s="472">
        <f t="shared" si="84"/>
        <v>2781.6388015796265</v>
      </c>
      <c r="R451" s="472">
        <f t="shared" si="84"/>
        <v>2781.6388015796265</v>
      </c>
      <c r="S451" s="472">
        <f t="shared" si="84"/>
        <v>2781.6388015796265</v>
      </c>
      <c r="T451" s="472">
        <f t="shared" si="84"/>
        <v>2781.6388015796265</v>
      </c>
      <c r="U451" s="472">
        <f t="shared" si="84"/>
        <v>2781.6388015796265</v>
      </c>
      <c r="V451" s="472">
        <f t="shared" si="84"/>
        <v>2781.6388015796265</v>
      </c>
      <c r="W451" s="472">
        <f t="shared" si="84"/>
        <v>2781.6388015796265</v>
      </c>
      <c r="X451" s="472">
        <f t="shared" si="84"/>
        <v>2781.6388015796265</v>
      </c>
      <c r="Y451" s="472">
        <f t="shared" si="84"/>
        <v>2781.6388015796265</v>
      </c>
      <c r="Z451" s="472">
        <f t="shared" si="84"/>
        <v>2781.6388015796265</v>
      </c>
      <c r="AA451" s="501">
        <f t="shared" si="84"/>
        <v>2781.6388015796265</v>
      </c>
      <c r="AB451" s="472">
        <f t="shared" si="84"/>
        <v>2781.6388015796265</v>
      </c>
      <c r="AC451" s="472">
        <f t="shared" si="84"/>
        <v>2781.6388015796265</v>
      </c>
      <c r="AD451" s="472">
        <f t="shared" si="84"/>
        <v>2781.6388015796265</v>
      </c>
      <c r="AE451" s="472">
        <f t="shared" si="84"/>
        <v>2781.6388015796265</v>
      </c>
      <c r="AF451" s="472">
        <f t="shared" si="84"/>
        <v>2781.6388015796265</v>
      </c>
      <c r="AG451" s="472">
        <f t="shared" si="84"/>
        <v>2781.6388015796265</v>
      </c>
      <c r="AH451" s="472">
        <f t="shared" si="84"/>
        <v>2781.6388015796265</v>
      </c>
      <c r="AI451" s="472">
        <f t="shared" si="84"/>
        <v>2781.6388015796265</v>
      </c>
      <c r="AJ451" s="472">
        <f t="shared" si="84"/>
        <v>2781.6388015796265</v>
      </c>
      <c r="AK451" s="472">
        <f t="shared" si="84"/>
        <v>2781.6388015796265</v>
      </c>
      <c r="AL451" s="472">
        <f t="shared" si="84"/>
        <v>2781.6388015796265</v>
      </c>
      <c r="AM451" s="472">
        <f t="shared" si="84"/>
        <v>2781.6388015796265</v>
      </c>
      <c r="AN451" s="472">
        <f t="shared" si="84"/>
        <v>2781.6388015796265</v>
      </c>
      <c r="AO451" s="472">
        <f t="shared" si="84"/>
        <v>2781.6388015796265</v>
      </c>
      <c r="AP451" s="472">
        <f t="shared" si="84"/>
        <v>2781.6388015796265</v>
      </c>
      <c r="AQ451" s="472">
        <f t="shared" si="84"/>
        <v>2781.6388015796265</v>
      </c>
      <c r="AR451" s="472">
        <f t="shared" si="84"/>
        <v>2781.6388015796265</v>
      </c>
      <c r="AS451" s="472">
        <f t="shared" si="84"/>
        <v>2781.6388015796265</v>
      </c>
      <c r="AT451" s="472">
        <f t="shared" si="84"/>
        <v>2781.6388015796265</v>
      </c>
      <c r="AU451" s="472">
        <f t="shared" si="84"/>
        <v>2781.6388015796265</v>
      </c>
      <c r="AV451" s="472">
        <f t="shared" si="84"/>
        <v>2781.6388015796265</v>
      </c>
      <c r="AW451" s="472">
        <f t="shared" si="84"/>
        <v>2781.6388015796265</v>
      </c>
    </row>
    <row r="452" spans="1:49" x14ac:dyDescent="0.2">
      <c r="A452" s="470" t="s">
        <v>475</v>
      </c>
      <c r="B452" s="472">
        <f t="shared" ref="B452:AW452" si="85">$B$448-(3*$B$450)</f>
        <v>1720.9672590264347</v>
      </c>
      <c r="C452" s="472">
        <f t="shared" si="85"/>
        <v>1720.9672590264347</v>
      </c>
      <c r="D452" s="472">
        <f t="shared" si="85"/>
        <v>1720.9672590264347</v>
      </c>
      <c r="E452" s="472">
        <f t="shared" si="85"/>
        <v>1720.9672590264347</v>
      </c>
      <c r="F452" s="472">
        <f t="shared" si="85"/>
        <v>1720.9672590264347</v>
      </c>
      <c r="G452" s="472">
        <f t="shared" si="85"/>
        <v>1720.9672590264347</v>
      </c>
      <c r="H452" s="472">
        <f t="shared" si="85"/>
        <v>1720.9672590264347</v>
      </c>
      <c r="I452" s="472">
        <f t="shared" si="85"/>
        <v>1720.9672590264347</v>
      </c>
      <c r="J452" s="472">
        <f t="shared" si="85"/>
        <v>1720.9672590264347</v>
      </c>
      <c r="K452" s="472">
        <f t="shared" si="85"/>
        <v>1720.9672590264347</v>
      </c>
      <c r="L452" s="472">
        <f t="shared" si="85"/>
        <v>1720.9672590264347</v>
      </c>
      <c r="M452" s="472">
        <f t="shared" si="85"/>
        <v>1720.9672590264347</v>
      </c>
      <c r="N452" s="472">
        <f t="shared" si="85"/>
        <v>1720.9672590264347</v>
      </c>
      <c r="O452" s="472">
        <f t="shared" si="85"/>
        <v>1720.9672590264347</v>
      </c>
      <c r="P452" s="472">
        <f t="shared" si="85"/>
        <v>1720.9672590264347</v>
      </c>
      <c r="Q452" s="472">
        <f t="shared" si="85"/>
        <v>1720.9672590264347</v>
      </c>
      <c r="R452" s="472">
        <f t="shared" si="85"/>
        <v>1720.9672590264347</v>
      </c>
      <c r="S452" s="472">
        <f t="shared" si="85"/>
        <v>1720.9672590264347</v>
      </c>
      <c r="T452" s="472">
        <f t="shared" si="85"/>
        <v>1720.9672590264347</v>
      </c>
      <c r="U452" s="472">
        <f t="shared" si="85"/>
        <v>1720.9672590264347</v>
      </c>
      <c r="V452" s="472">
        <f t="shared" si="85"/>
        <v>1720.9672590264347</v>
      </c>
      <c r="W452" s="472">
        <f t="shared" si="85"/>
        <v>1720.9672590264347</v>
      </c>
      <c r="X452" s="472">
        <f t="shared" si="85"/>
        <v>1720.9672590264347</v>
      </c>
      <c r="Y452" s="472">
        <f t="shared" si="85"/>
        <v>1720.9672590264347</v>
      </c>
      <c r="Z452" s="472">
        <f t="shared" si="85"/>
        <v>1720.9672590264347</v>
      </c>
      <c r="AA452" s="501">
        <f t="shared" si="85"/>
        <v>1720.9672590264347</v>
      </c>
      <c r="AB452" s="472">
        <f t="shared" si="85"/>
        <v>1720.9672590264347</v>
      </c>
      <c r="AC452" s="472">
        <f t="shared" si="85"/>
        <v>1720.9672590264347</v>
      </c>
      <c r="AD452" s="472">
        <f t="shared" si="85"/>
        <v>1720.9672590264347</v>
      </c>
      <c r="AE452" s="472">
        <f t="shared" si="85"/>
        <v>1720.9672590264347</v>
      </c>
      <c r="AF452" s="472">
        <f t="shared" si="85"/>
        <v>1720.9672590264347</v>
      </c>
      <c r="AG452" s="472">
        <f t="shared" si="85"/>
        <v>1720.9672590264347</v>
      </c>
      <c r="AH452" s="472">
        <f t="shared" si="85"/>
        <v>1720.9672590264347</v>
      </c>
      <c r="AI452" s="472">
        <f t="shared" si="85"/>
        <v>1720.9672590264347</v>
      </c>
      <c r="AJ452" s="472">
        <f t="shared" si="85"/>
        <v>1720.9672590264347</v>
      </c>
      <c r="AK452" s="472">
        <f t="shared" si="85"/>
        <v>1720.9672590264347</v>
      </c>
      <c r="AL452" s="472">
        <f t="shared" si="85"/>
        <v>1720.9672590264347</v>
      </c>
      <c r="AM452" s="472">
        <f t="shared" si="85"/>
        <v>1720.9672590264347</v>
      </c>
      <c r="AN452" s="472">
        <f t="shared" si="85"/>
        <v>1720.9672590264347</v>
      </c>
      <c r="AO452" s="472">
        <f t="shared" si="85"/>
        <v>1720.9672590264347</v>
      </c>
      <c r="AP452" s="472">
        <f t="shared" si="85"/>
        <v>1720.9672590264347</v>
      </c>
      <c r="AQ452" s="472">
        <f t="shared" si="85"/>
        <v>1720.9672590264347</v>
      </c>
      <c r="AR452" s="472">
        <f t="shared" si="85"/>
        <v>1720.9672590264347</v>
      </c>
      <c r="AS452" s="472">
        <f t="shared" si="85"/>
        <v>1720.9672590264347</v>
      </c>
      <c r="AT452" s="472">
        <f t="shared" si="85"/>
        <v>1720.9672590264347</v>
      </c>
      <c r="AU452" s="472">
        <f t="shared" si="85"/>
        <v>1720.9672590264347</v>
      </c>
      <c r="AV452" s="472">
        <f t="shared" si="85"/>
        <v>1720.9672590264347</v>
      </c>
      <c r="AW452" s="472">
        <f t="shared" si="85"/>
        <v>1720.9672590264347</v>
      </c>
    </row>
    <row r="453" spans="1:49" x14ac:dyDescent="0.2">
      <c r="A453" s="479"/>
      <c r="B453" s="624"/>
      <c r="C453" s="443"/>
      <c r="D453" s="443"/>
      <c r="E453" s="443"/>
      <c r="F453" s="443"/>
      <c r="G453" s="443"/>
      <c r="H453" s="443"/>
      <c r="I453" s="443"/>
      <c r="J453" s="443"/>
      <c r="K453" s="443"/>
      <c r="L453" s="443"/>
      <c r="M453" s="443"/>
      <c r="N453" s="443"/>
      <c r="O453" s="443"/>
      <c r="P453" s="443"/>
      <c r="Q453" s="443"/>
      <c r="R453" s="443"/>
      <c r="S453" s="443"/>
      <c r="T453" s="443"/>
      <c r="U453" s="443"/>
      <c r="V453" s="443"/>
      <c r="W453" s="443"/>
      <c r="X453" s="443"/>
      <c r="Y453" s="443"/>
      <c r="Z453" s="443"/>
      <c r="AA453" s="523"/>
      <c r="AB453" s="443"/>
      <c r="AC453" s="443"/>
      <c r="AD453" s="443"/>
      <c r="AE453" s="443"/>
      <c r="AF453" s="443"/>
      <c r="AG453" s="443"/>
      <c r="AH453" s="443"/>
      <c r="AI453" s="443"/>
      <c r="AJ453" s="443"/>
      <c r="AK453" s="443"/>
      <c r="AL453" s="443"/>
      <c r="AM453" s="443"/>
      <c r="AN453" s="443"/>
      <c r="AO453" s="443"/>
      <c r="AP453" s="443"/>
      <c r="AQ453" s="443"/>
      <c r="AR453" s="443"/>
      <c r="AS453" s="443"/>
      <c r="AT453" s="443"/>
      <c r="AU453" s="443"/>
      <c r="AV453" s="443"/>
      <c r="AW453" s="443"/>
    </row>
  </sheetData>
  <mergeCells count="1">
    <mergeCell ref="B3:S3"/>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1:Q34"/>
  <sheetViews>
    <sheetView workbookViewId="0"/>
  </sheetViews>
  <sheetFormatPr defaultColWidth="9.140625" defaultRowHeight="12.75" x14ac:dyDescent="0.2"/>
  <cols>
    <col min="1" max="1" width="18.85546875" style="107" bestFit="1" customWidth="1"/>
    <col min="2" max="2" width="9.85546875" style="107" bestFit="1" customWidth="1"/>
    <col min="3" max="16384" width="9.140625" style="107"/>
  </cols>
  <sheetData>
    <row r="1" spans="1:17" x14ac:dyDescent="0.2">
      <c r="A1" s="106" t="s">
        <v>345</v>
      </c>
      <c r="E1" s="599"/>
    </row>
    <row r="2" spans="1:17" x14ac:dyDescent="0.2">
      <c r="A2" s="106"/>
    </row>
    <row r="3" spans="1:17" x14ac:dyDescent="0.2">
      <c r="A3" s="127" t="s">
        <v>710</v>
      </c>
      <c r="B3" s="129" t="str">
        <f>IF(HLOOKUP(MAX(B7:Q7),A7:Q9,3,0)&gt;HLOOKUP(MAX(B7:Q7),A7:Q9,2,0),"Better", "Worse")</f>
        <v>Worse</v>
      </c>
      <c r="C3" s="112" t="b">
        <f>IF(HLOOKUP(MAX(B7:Q7),A7:Q9,3,0)=HLOOKUP(MAX(B7:Q7),A7:Q9,2,0),"Equal")</f>
        <v>0</v>
      </c>
    </row>
    <row r="4" spans="1:17" x14ac:dyDescent="0.2">
      <c r="A4" s="127" t="s">
        <v>144</v>
      </c>
      <c r="B4" s="111">
        <f>MAX(B7:Q7)</f>
        <v>42979</v>
      </c>
    </row>
    <row r="5" spans="1:17" x14ac:dyDescent="0.2">
      <c r="A5" s="127" t="s">
        <v>206</v>
      </c>
      <c r="B5" s="128" t="s">
        <v>224</v>
      </c>
    </row>
    <row r="7" spans="1:17" x14ac:dyDescent="0.2">
      <c r="A7" s="136"/>
      <c r="B7" s="157">
        <v>42156</v>
      </c>
      <c r="C7" s="157">
        <v>42248</v>
      </c>
      <c r="D7" s="157">
        <v>42339</v>
      </c>
      <c r="E7" s="157">
        <v>42430</v>
      </c>
      <c r="F7" s="157">
        <v>42522</v>
      </c>
      <c r="G7" s="157">
        <v>42615</v>
      </c>
      <c r="H7" s="157">
        <v>42705</v>
      </c>
      <c r="I7" s="157">
        <v>42795</v>
      </c>
      <c r="J7" s="597">
        <v>42887</v>
      </c>
      <c r="K7" s="597">
        <v>42979</v>
      </c>
      <c r="L7" s="157"/>
      <c r="M7" s="157"/>
      <c r="N7" s="157"/>
      <c r="O7" s="157"/>
      <c r="P7" s="157"/>
      <c r="Q7" s="157"/>
    </row>
    <row r="8" spans="1:17" x14ac:dyDescent="0.2">
      <c r="A8" s="158" t="s">
        <v>369</v>
      </c>
      <c r="B8" s="159">
        <v>0.89300000000000002</v>
      </c>
      <c r="C8" s="159">
        <v>0.90300000000000002</v>
      </c>
      <c r="D8" s="159">
        <v>0.93200000000000005</v>
      </c>
      <c r="E8" s="160">
        <v>0.94599999999999995</v>
      </c>
      <c r="F8" s="155">
        <v>0.92200000000000004</v>
      </c>
      <c r="G8" s="159">
        <v>0.90100000000000002</v>
      </c>
      <c r="H8" s="159">
        <v>0.86099999999999999</v>
      </c>
      <c r="I8" s="159">
        <v>0.86699999999999999</v>
      </c>
      <c r="J8" s="159">
        <v>0.82899999999999996</v>
      </c>
      <c r="K8" s="159">
        <v>0.81599999999999995</v>
      </c>
      <c r="L8" s="159"/>
      <c r="M8" s="160"/>
      <c r="N8" s="155"/>
      <c r="O8" s="159"/>
      <c r="P8" s="159"/>
      <c r="Q8" s="159"/>
    </row>
    <row r="9" spans="1:17" x14ac:dyDescent="0.2">
      <c r="A9" s="158" t="s">
        <v>370</v>
      </c>
      <c r="B9" s="159">
        <v>0.80700000000000005</v>
      </c>
      <c r="C9" s="159">
        <v>0.77</v>
      </c>
      <c r="D9" s="159">
        <v>0.85399999999999998</v>
      </c>
      <c r="E9" s="159">
        <v>0.89700000000000002</v>
      </c>
      <c r="F9" s="159">
        <v>0.82899999999999996</v>
      </c>
      <c r="G9" s="159">
        <v>0.78600000000000003</v>
      </c>
      <c r="H9" s="159">
        <v>0.75800000000000001</v>
      </c>
      <c r="I9" s="159">
        <v>0.78700000000000003</v>
      </c>
      <c r="J9" s="159">
        <v>0.73499999999999999</v>
      </c>
      <c r="K9" s="159">
        <v>0.69699999999999995</v>
      </c>
      <c r="L9" s="159"/>
      <c r="M9" s="159"/>
      <c r="N9" s="159"/>
      <c r="O9" s="159"/>
      <c r="P9" s="159"/>
      <c r="Q9" s="159"/>
    </row>
    <row r="11" spans="1:17" x14ac:dyDescent="0.2">
      <c r="A11" s="145"/>
    </row>
    <row r="15" spans="1:17" x14ac:dyDescent="0.2">
      <c r="A15" s="145"/>
      <c r="B15" s="145"/>
      <c r="C15" s="145"/>
      <c r="D15" s="145"/>
      <c r="E15" s="145"/>
      <c r="F15" s="145"/>
      <c r="G15" s="145"/>
      <c r="H15" s="145"/>
      <c r="I15" s="145"/>
      <c r="J15" s="145"/>
      <c r="K15" s="145"/>
    </row>
    <row r="34" spans="15:15" x14ac:dyDescent="0.2">
      <c r="O34"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Q26"/>
  <sheetViews>
    <sheetView workbookViewId="0"/>
  </sheetViews>
  <sheetFormatPr defaultColWidth="9.140625" defaultRowHeight="12.75" x14ac:dyDescent="0.2"/>
  <cols>
    <col min="1" max="1" width="43.85546875" style="107" customWidth="1"/>
    <col min="2" max="2" width="9.5703125" style="107" customWidth="1"/>
    <col min="3" max="16384" width="9.140625" style="107"/>
  </cols>
  <sheetData>
    <row r="1" spans="1:17" x14ac:dyDescent="0.2">
      <c r="A1" s="283" t="s">
        <v>345</v>
      </c>
    </row>
    <row r="2" spans="1:17" x14ac:dyDescent="0.2">
      <c r="A2" s="106"/>
    </row>
    <row r="3" spans="1:17" x14ac:dyDescent="0.2">
      <c r="A3" s="108" t="s">
        <v>436</v>
      </c>
      <c r="B3" s="107" t="s">
        <v>50</v>
      </c>
    </row>
    <row r="4" spans="1:17" x14ac:dyDescent="0.2">
      <c r="A4" s="108" t="s">
        <v>143</v>
      </c>
      <c r="B4" s="126">
        <f>HLOOKUP(MAX(B12:AW12),B12:AW19,3,0)</f>
        <v>0.80800000000000005</v>
      </c>
    </row>
    <row r="5" spans="1:17" x14ac:dyDescent="0.2">
      <c r="A5" s="108" t="s">
        <v>118</v>
      </c>
      <c r="B5" s="111">
        <f>MAX(B12:AW12)</f>
        <v>42979</v>
      </c>
    </row>
    <row r="6" spans="1:17" x14ac:dyDescent="0.2">
      <c r="A6" s="108" t="s">
        <v>195</v>
      </c>
      <c r="B6" s="409" t="s">
        <v>176</v>
      </c>
    </row>
    <row r="7" spans="1:17" x14ac:dyDescent="0.2">
      <c r="A7" s="108" t="s">
        <v>438</v>
      </c>
      <c r="B7" s="162" t="s">
        <v>203</v>
      </c>
    </row>
    <row r="8" spans="1:17" x14ac:dyDescent="0.2">
      <c r="A8" s="127" t="s">
        <v>710</v>
      </c>
      <c r="B8" s="129" t="str">
        <f>IF(HLOOKUP(MAX(B12:Q12),A12:Q14,3,0)&gt;HLOOKUP(MAX(B12:Q12),A12:Q14,2,0),"Better", "Worse")</f>
        <v>Worse</v>
      </c>
      <c r="C8" s="107" t="b">
        <f>IF(HLOOKUP(MAX(B12:Q12),A12:Q14,3,0)=HLOOKUP(MAX(B12:Q12),A12:Q14,2,0),"Equal")</f>
        <v>0</v>
      </c>
    </row>
    <row r="9" spans="1:17" x14ac:dyDescent="0.2">
      <c r="A9" s="127" t="s">
        <v>144</v>
      </c>
      <c r="B9" s="111">
        <f>MAX(B12:Q12)</f>
        <v>42979</v>
      </c>
    </row>
    <row r="10" spans="1:17" x14ac:dyDescent="0.2">
      <c r="A10" s="108"/>
      <c r="B10" s="162"/>
    </row>
    <row r="11" spans="1:17" ht="15" x14ac:dyDescent="0.25">
      <c r="A11" s="450" t="s">
        <v>459</v>
      </c>
    </row>
    <row r="12" spans="1:17" x14ac:dyDescent="0.2">
      <c r="A12" s="234"/>
      <c r="B12" s="163">
        <v>42156</v>
      </c>
      <c r="C12" s="163">
        <v>42248</v>
      </c>
      <c r="D12" s="164">
        <v>42339</v>
      </c>
      <c r="E12" s="164">
        <v>42430</v>
      </c>
      <c r="F12" s="164">
        <v>42522</v>
      </c>
      <c r="G12" s="164">
        <v>42614</v>
      </c>
      <c r="H12" s="164">
        <v>42705</v>
      </c>
      <c r="I12" s="164">
        <v>42795</v>
      </c>
      <c r="J12" s="164">
        <v>42887</v>
      </c>
      <c r="K12" s="164">
        <v>42979</v>
      </c>
      <c r="L12" s="164"/>
      <c r="M12" s="164"/>
      <c r="N12" s="164"/>
      <c r="O12" s="164"/>
      <c r="P12" s="164"/>
      <c r="Q12" s="164"/>
    </row>
    <row r="13" spans="1:17" x14ac:dyDescent="0.2">
      <c r="A13" s="638" t="s">
        <v>369</v>
      </c>
      <c r="B13" s="397">
        <v>0.95299999999999996</v>
      </c>
      <c r="C13" s="397">
        <v>0.95599999999999996</v>
      </c>
      <c r="D13" s="420">
        <v>0.95199999999999996</v>
      </c>
      <c r="E13" s="420">
        <v>0.94799999999999995</v>
      </c>
      <c r="F13" s="420">
        <v>0.95</v>
      </c>
      <c r="G13" s="420">
        <v>0.94</v>
      </c>
      <c r="H13" s="420">
        <v>0.94899999999999995</v>
      </c>
      <c r="I13" s="420">
        <v>0.94899999999999995</v>
      </c>
      <c r="J13" s="420">
        <v>0.94299999999999995</v>
      </c>
      <c r="K13" s="420">
        <v>0.93799999999999994</v>
      </c>
      <c r="L13" s="403"/>
      <c r="M13" s="403"/>
      <c r="N13" s="403"/>
      <c r="O13" s="403"/>
      <c r="P13" s="403"/>
      <c r="Q13" s="403"/>
    </row>
    <row r="14" spans="1:17" x14ac:dyDescent="0.2">
      <c r="A14" s="543" t="s">
        <v>370</v>
      </c>
      <c r="B14" s="475">
        <v>0.83499999999999996</v>
      </c>
      <c r="C14" s="475">
        <v>0.82899999999999996</v>
      </c>
      <c r="D14" s="476">
        <v>0.8</v>
      </c>
      <c r="E14" s="476">
        <v>0.84</v>
      </c>
      <c r="F14" s="476">
        <v>0.84099999999999997</v>
      </c>
      <c r="G14" s="476">
        <v>0.84699999999999998</v>
      </c>
      <c r="H14" s="476">
        <v>0.83199999999999996</v>
      </c>
      <c r="I14" s="476">
        <v>0.83199999999999996</v>
      </c>
      <c r="J14" s="476">
        <v>0.81399999999999995</v>
      </c>
      <c r="K14" s="476">
        <v>0.80800000000000005</v>
      </c>
      <c r="L14" s="476"/>
      <c r="M14" s="476"/>
      <c r="N14" s="476"/>
      <c r="O14" s="476"/>
      <c r="P14" s="476"/>
      <c r="Q14" s="476"/>
    </row>
    <row r="15" spans="1:17" x14ac:dyDescent="0.2">
      <c r="A15" s="544" t="s">
        <v>388</v>
      </c>
      <c r="B15" s="545">
        <v>0.80700000000000005</v>
      </c>
      <c r="C15" s="545">
        <v>0.81100000000000005</v>
      </c>
      <c r="D15" s="546">
        <v>0.75800000000000001</v>
      </c>
      <c r="E15" s="546">
        <v>0.77500000000000002</v>
      </c>
      <c r="F15" s="546">
        <v>0.77600000000000002</v>
      </c>
      <c r="G15" s="546">
        <v>0.81499999999999995</v>
      </c>
      <c r="H15" s="546">
        <v>0.80500000000000005</v>
      </c>
      <c r="I15" s="546">
        <v>0.86499999999999999</v>
      </c>
      <c r="J15" s="546">
        <v>0.85699999999999998</v>
      </c>
      <c r="K15" s="546">
        <v>0.84699999999999998</v>
      </c>
      <c r="L15" s="237"/>
      <c r="M15" s="237"/>
      <c r="N15" s="237"/>
      <c r="O15" s="237"/>
      <c r="P15" s="237"/>
      <c r="Q15" s="237"/>
    </row>
    <row r="16" spans="1:17" x14ac:dyDescent="0.2">
      <c r="A16" s="544" t="s">
        <v>389</v>
      </c>
      <c r="B16" s="545">
        <v>0.91900000000000004</v>
      </c>
      <c r="C16" s="545">
        <v>0.94799999999999995</v>
      </c>
      <c r="D16" s="546">
        <v>0.94</v>
      </c>
      <c r="E16" s="546">
        <v>0.96299999999999997</v>
      </c>
      <c r="F16" s="546">
        <v>0.97199999999999998</v>
      </c>
      <c r="G16" s="546">
        <v>0.97399999999999998</v>
      </c>
      <c r="H16" s="546">
        <v>0.95699999999999996</v>
      </c>
      <c r="I16" s="546">
        <v>0.746</v>
      </c>
      <c r="J16" s="546">
        <v>0.70699999999999996</v>
      </c>
      <c r="K16" s="546">
        <v>0.80100000000000005</v>
      </c>
      <c r="L16" s="237"/>
      <c r="M16" s="237"/>
      <c r="N16" s="237"/>
      <c r="O16" s="237"/>
      <c r="P16" s="237"/>
      <c r="Q16" s="237"/>
    </row>
    <row r="17" spans="1:17" x14ac:dyDescent="0.2">
      <c r="A17" s="547" t="s">
        <v>493</v>
      </c>
      <c r="B17" s="545">
        <v>0.91500000000000004</v>
      </c>
      <c r="C17" s="545">
        <v>0.95</v>
      </c>
      <c r="D17" s="546">
        <v>0.90500000000000003</v>
      </c>
      <c r="E17" s="546">
        <v>0.97199999999999998</v>
      </c>
      <c r="F17" s="546">
        <v>0.95599999999999996</v>
      </c>
      <c r="G17" s="546">
        <v>0.96899999999999997</v>
      </c>
      <c r="H17" s="546">
        <v>0.92600000000000005</v>
      </c>
      <c r="I17" s="546">
        <v>0.64900000000000002</v>
      </c>
      <c r="J17" s="546">
        <v>0.69</v>
      </c>
      <c r="K17" s="546">
        <v>0.71199999999999997</v>
      </c>
      <c r="L17" s="237"/>
      <c r="M17" s="237"/>
      <c r="N17" s="237"/>
      <c r="O17" s="237"/>
      <c r="P17" s="237"/>
      <c r="Q17" s="237"/>
    </row>
    <row r="18" spans="1:17" x14ac:dyDescent="0.2">
      <c r="A18" s="547" t="s">
        <v>494</v>
      </c>
      <c r="B18" s="545">
        <v>0.92400000000000004</v>
      </c>
      <c r="C18" s="545">
        <v>0.94499999999999995</v>
      </c>
      <c r="D18" s="546">
        <v>0.98</v>
      </c>
      <c r="E18" s="546">
        <v>0.95399999999999996</v>
      </c>
      <c r="F18" s="546">
        <v>0.98499999999999999</v>
      </c>
      <c r="G18" s="546">
        <v>0.97899999999999998</v>
      </c>
      <c r="H18" s="546">
        <v>0.97799999999999998</v>
      </c>
      <c r="I18" s="546">
        <v>0.85099999999999998</v>
      </c>
      <c r="J18" s="546">
        <v>0.72499999999999998</v>
      </c>
      <c r="K18" s="546">
        <v>0.98099999999999998</v>
      </c>
      <c r="L18" s="237"/>
      <c r="M18" s="237"/>
      <c r="N18" s="237"/>
      <c r="O18" s="237"/>
      <c r="P18" s="237"/>
      <c r="Q18" s="237"/>
    </row>
    <row r="19" spans="1:17" x14ac:dyDescent="0.2">
      <c r="A19" s="547" t="s">
        <v>392</v>
      </c>
      <c r="B19" s="545">
        <v>0.85799999999999998</v>
      </c>
      <c r="C19" s="545">
        <v>0.8</v>
      </c>
      <c r="D19" s="546">
        <v>0.82399999999999995</v>
      </c>
      <c r="E19" s="546">
        <v>0.93200000000000005</v>
      </c>
      <c r="F19" s="546">
        <v>0.91400000000000003</v>
      </c>
      <c r="G19" s="546">
        <v>0.84799999999999998</v>
      </c>
      <c r="H19" s="546">
        <v>0.84799999999999998</v>
      </c>
      <c r="I19" s="546">
        <v>0.78300000000000003</v>
      </c>
      <c r="J19" s="546">
        <v>0.76</v>
      </c>
      <c r="K19" s="546">
        <v>0.68400000000000005</v>
      </c>
      <c r="L19" s="237"/>
      <c r="M19" s="237"/>
      <c r="N19" s="237"/>
      <c r="O19" s="237"/>
      <c r="P19" s="237"/>
      <c r="Q19" s="237"/>
    </row>
    <row r="21" spans="1:17" ht="15" x14ac:dyDescent="0.25">
      <c r="A21" s="451" t="s">
        <v>460</v>
      </c>
    </row>
    <row r="22" spans="1:17" x14ac:dyDescent="0.2">
      <c r="A22" s="234"/>
      <c r="B22" s="163">
        <v>42156</v>
      </c>
      <c r="C22" s="163">
        <v>42248</v>
      </c>
      <c r="D22" s="164">
        <v>42339</v>
      </c>
      <c r="E22" s="164">
        <v>42430</v>
      </c>
      <c r="F22" s="164">
        <v>42522</v>
      </c>
      <c r="G22" s="164">
        <v>42614</v>
      </c>
      <c r="H22" s="164">
        <v>42705</v>
      </c>
      <c r="I22" s="164">
        <v>42795</v>
      </c>
      <c r="J22" s="164">
        <v>42887</v>
      </c>
      <c r="K22" s="164">
        <v>42979</v>
      </c>
      <c r="L22" s="164"/>
      <c r="M22" s="164"/>
      <c r="N22" s="164"/>
      <c r="O22" s="164"/>
      <c r="P22" s="164"/>
      <c r="Q22" s="164"/>
    </row>
    <row r="23" spans="1:17" x14ac:dyDescent="0.2">
      <c r="A23" s="638" t="s">
        <v>572</v>
      </c>
      <c r="B23" s="397">
        <v>0.95799999999999996</v>
      </c>
      <c r="C23" s="397">
        <v>0.97299999999999998</v>
      </c>
      <c r="D23" s="420">
        <v>0.98399999999999999</v>
      </c>
      <c r="E23" s="420">
        <v>0.96599999999999997</v>
      </c>
      <c r="F23" s="420">
        <v>0.98399999999999999</v>
      </c>
      <c r="G23" s="420">
        <v>0.97699999999999998</v>
      </c>
      <c r="H23" s="420">
        <v>0.96699999999999997</v>
      </c>
      <c r="I23" s="420">
        <v>0.97499999999999998</v>
      </c>
      <c r="J23" s="420">
        <v>0.94699999999999995</v>
      </c>
      <c r="K23" s="420">
        <v>0.99</v>
      </c>
      <c r="L23" s="403"/>
      <c r="M23" s="403"/>
      <c r="N23" s="403"/>
      <c r="O23" s="403"/>
      <c r="P23" s="403"/>
      <c r="Q23" s="403"/>
    </row>
    <row r="24" spans="1:17" x14ac:dyDescent="0.2">
      <c r="A24" s="543" t="s">
        <v>370</v>
      </c>
      <c r="B24" s="639">
        <v>0.75</v>
      </c>
      <c r="C24" s="639">
        <v>0.82099999999999995</v>
      </c>
      <c r="D24" s="640">
        <v>0.90400000000000003</v>
      </c>
      <c r="E24" s="640">
        <v>0.79100000000000004</v>
      </c>
      <c r="F24" s="640">
        <v>0.90300000000000002</v>
      </c>
      <c r="G24" s="640">
        <v>0.93300000000000005</v>
      </c>
      <c r="H24" s="640">
        <v>0.89600000000000002</v>
      </c>
      <c r="I24" s="640">
        <v>0.89500000000000002</v>
      </c>
      <c r="J24" s="640">
        <v>0.81499999999999995</v>
      </c>
      <c r="K24" s="640">
        <v>0.96399999999999997</v>
      </c>
      <c r="L24" s="420"/>
      <c r="M24" s="420"/>
      <c r="N24" s="420"/>
      <c r="O24" s="420"/>
      <c r="P24" s="420"/>
      <c r="Q24" s="420"/>
    </row>
    <row r="25" spans="1:17" x14ac:dyDescent="0.2">
      <c r="A25" s="547" t="s">
        <v>462</v>
      </c>
      <c r="B25" s="545">
        <v>1</v>
      </c>
      <c r="C25" s="545">
        <v>0.98099999999999998</v>
      </c>
      <c r="D25" s="546">
        <v>0.98299999999999998</v>
      </c>
      <c r="E25" s="546">
        <v>0.879</v>
      </c>
      <c r="F25" s="546">
        <v>0.96899999999999997</v>
      </c>
      <c r="G25" s="546">
        <v>0.97</v>
      </c>
      <c r="H25" s="546">
        <v>0.96199999999999997</v>
      </c>
      <c r="I25" s="546">
        <v>0.96799999999999997</v>
      </c>
      <c r="J25" s="546">
        <v>0.79700000000000004</v>
      </c>
      <c r="K25" s="546">
        <v>0.94899999999999995</v>
      </c>
      <c r="L25" s="237"/>
      <c r="M25" s="237"/>
      <c r="N25" s="237"/>
      <c r="O25" s="237"/>
      <c r="P25" s="237"/>
      <c r="Q25" s="237"/>
    </row>
    <row r="26" spans="1:17" x14ac:dyDescent="0.2">
      <c r="A26" s="641" t="s">
        <v>461</v>
      </c>
      <c r="B26" s="545">
        <v>0.44600000000000001</v>
      </c>
      <c r="C26" s="545">
        <v>0.48699999999999999</v>
      </c>
      <c r="D26" s="546">
        <v>0.71399999999999997</v>
      </c>
      <c r="E26" s="546">
        <v>0.69199999999999995</v>
      </c>
      <c r="F26" s="546">
        <v>0.81100000000000005</v>
      </c>
      <c r="G26" s="546">
        <v>0.88600000000000001</v>
      </c>
      <c r="H26" s="546">
        <v>0.83199999999999996</v>
      </c>
      <c r="I26" s="546">
        <v>0.82399999999999995</v>
      </c>
      <c r="J26" s="546">
        <v>0.83799999999999997</v>
      </c>
      <c r="K26" s="546">
        <v>0.99</v>
      </c>
      <c r="L26" s="237"/>
      <c r="M26" s="237"/>
      <c r="N26" s="237"/>
      <c r="O26" s="237"/>
      <c r="P26" s="237"/>
      <c r="Q26" s="237"/>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V119"/>
  <sheetViews>
    <sheetView workbookViewId="0"/>
  </sheetViews>
  <sheetFormatPr defaultColWidth="9.140625" defaultRowHeight="12.75" x14ac:dyDescent="0.2"/>
  <cols>
    <col min="1" max="1" width="19" style="107" bestFit="1" customWidth="1"/>
    <col min="2" max="2" width="10.5703125" style="107" bestFit="1" customWidth="1"/>
    <col min="3" max="3" width="9.5703125" style="147" bestFit="1" customWidth="1"/>
    <col min="4" max="4" width="5.140625" style="107" bestFit="1" customWidth="1"/>
    <col min="5" max="5" width="8.85546875" style="107" bestFit="1" customWidth="1"/>
    <col min="6" max="6" width="9.5703125" style="107" bestFit="1" customWidth="1"/>
    <col min="7" max="8" width="7.7109375" style="107" bestFit="1" customWidth="1"/>
    <col min="9" max="9" width="9.5703125" style="107" bestFit="1" customWidth="1"/>
    <col min="10" max="10" width="7.7109375" style="107" bestFit="1" customWidth="1"/>
    <col min="11" max="11" width="9.5703125" style="107" bestFit="1" customWidth="1"/>
    <col min="12" max="12" width="7.7109375" style="107" bestFit="1" customWidth="1"/>
    <col min="13" max="13" width="9.5703125" style="107" bestFit="1" customWidth="1"/>
    <col min="14" max="16384" width="9.140625" style="107"/>
  </cols>
  <sheetData>
    <row r="1" spans="1:22" x14ac:dyDescent="0.2">
      <c r="A1" s="283" t="s">
        <v>345</v>
      </c>
      <c r="V1" s="442"/>
    </row>
    <row r="2" spans="1:22" x14ac:dyDescent="0.2">
      <c r="A2" s="106"/>
    </row>
    <row r="3" spans="1:22" x14ac:dyDescent="0.2">
      <c r="A3" s="108" t="s">
        <v>436</v>
      </c>
      <c r="B3" s="441" t="s">
        <v>691</v>
      </c>
    </row>
    <row r="4" spans="1:22" x14ac:dyDescent="0.2">
      <c r="A4" s="108" t="s">
        <v>115</v>
      </c>
      <c r="B4" s="175">
        <f>VLOOKUP(MAX(A12:A119),A12:M119,13,0)</f>
        <v>0.24644566154952852</v>
      </c>
      <c r="D4" s="243"/>
    </row>
    <row r="5" spans="1:22" x14ac:dyDescent="0.2">
      <c r="A5" s="108" t="s">
        <v>118</v>
      </c>
      <c r="B5" s="128">
        <f>MAX(A12:A119)</f>
        <v>43070</v>
      </c>
    </row>
    <row r="6" spans="1:22" x14ac:dyDescent="0.2">
      <c r="A6" s="108" t="s">
        <v>195</v>
      </c>
      <c r="B6" s="409"/>
    </row>
    <row r="7" spans="1:22" x14ac:dyDescent="0.2">
      <c r="A7" s="108" t="s">
        <v>438</v>
      </c>
      <c r="B7" s="162" t="s">
        <v>135</v>
      </c>
    </row>
    <row r="8" spans="1:22" x14ac:dyDescent="0.2">
      <c r="A8" s="127" t="s">
        <v>710</v>
      </c>
      <c r="B8" s="129" t="s">
        <v>77</v>
      </c>
    </row>
    <row r="9" spans="1:22" x14ac:dyDescent="0.2">
      <c r="A9" s="127" t="s">
        <v>116</v>
      </c>
      <c r="B9" s="129" t="s">
        <v>77</v>
      </c>
    </row>
    <row r="10" spans="1:22" x14ac:dyDescent="0.2">
      <c r="A10" s="124"/>
    </row>
    <row r="11" spans="1:22" ht="38.25" x14ac:dyDescent="0.2">
      <c r="A11" s="1"/>
      <c r="B11" s="2" t="s">
        <v>772</v>
      </c>
      <c r="C11" s="829" t="s">
        <v>771</v>
      </c>
      <c r="D11" s="2" t="s">
        <v>148</v>
      </c>
      <c r="E11" s="238" t="s">
        <v>130</v>
      </c>
      <c r="F11" s="239" t="s">
        <v>23</v>
      </c>
      <c r="G11" s="56" t="s">
        <v>18</v>
      </c>
      <c r="H11" s="239" t="s">
        <v>303</v>
      </c>
      <c r="I11" s="239" t="s">
        <v>304</v>
      </c>
      <c r="J11" s="239" t="s">
        <v>305</v>
      </c>
      <c r="K11" s="239" t="s">
        <v>306</v>
      </c>
      <c r="L11" s="239" t="s">
        <v>506</v>
      </c>
      <c r="M11" s="239" t="s">
        <v>507</v>
      </c>
    </row>
    <row r="12" spans="1:22" x14ac:dyDescent="0.2">
      <c r="A12" s="174">
        <v>40269</v>
      </c>
      <c r="B12" s="97">
        <v>41</v>
      </c>
      <c r="C12" s="530">
        <v>69674</v>
      </c>
      <c r="D12" s="240">
        <f t="shared" ref="D12:D75" si="0">B12/C12*1000</f>
        <v>0.58845480380055692</v>
      </c>
      <c r="E12" s="240">
        <f>MEDIAN($D$12:$D$23)</f>
        <v>0.38186242472955489</v>
      </c>
      <c r="F12" s="241"/>
      <c r="G12" s="57"/>
      <c r="H12" s="241"/>
      <c r="I12" s="241"/>
      <c r="J12" s="241"/>
      <c r="K12" s="241"/>
      <c r="L12" s="241"/>
      <c r="M12" s="241"/>
    </row>
    <row r="13" spans="1:22" x14ac:dyDescent="0.2">
      <c r="A13" s="174">
        <v>40299</v>
      </c>
      <c r="B13" s="97">
        <v>36</v>
      </c>
      <c r="C13" s="530">
        <v>69736</v>
      </c>
      <c r="D13" s="240">
        <f t="shared" si="0"/>
        <v>0.51623264884708042</v>
      </c>
      <c r="E13" s="240">
        <f t="shared" ref="E13:E23" si="1">MEDIAN($D$12:$D$23)</f>
        <v>0.38186242472955489</v>
      </c>
      <c r="F13" s="241"/>
      <c r="G13" s="57"/>
      <c r="H13" s="241"/>
      <c r="I13" s="241"/>
      <c r="J13" s="241"/>
      <c r="K13" s="241"/>
      <c r="L13" s="241"/>
      <c r="M13" s="241"/>
    </row>
    <row r="14" spans="1:22" x14ac:dyDescent="0.2">
      <c r="A14" s="174">
        <v>40330</v>
      </c>
      <c r="B14" s="97">
        <v>25</v>
      </c>
      <c r="C14" s="530">
        <v>67399</v>
      </c>
      <c r="D14" s="240">
        <f t="shared" si="0"/>
        <v>0.37092538464962388</v>
      </c>
      <c r="E14" s="240">
        <f t="shared" si="1"/>
        <v>0.38186242472955489</v>
      </c>
      <c r="F14" s="241"/>
      <c r="G14" s="57"/>
      <c r="H14" s="241"/>
      <c r="I14" s="241"/>
      <c r="J14" s="241"/>
      <c r="K14" s="241"/>
      <c r="L14" s="241"/>
      <c r="M14" s="241"/>
    </row>
    <row r="15" spans="1:22" x14ac:dyDescent="0.2">
      <c r="A15" s="174">
        <v>40360</v>
      </c>
      <c r="B15" s="97">
        <v>28</v>
      </c>
      <c r="C15" s="530">
        <v>67033</v>
      </c>
      <c r="D15" s="240">
        <f t="shared" si="0"/>
        <v>0.41770471260423969</v>
      </c>
      <c r="E15" s="240">
        <f t="shared" si="1"/>
        <v>0.38186242472955489</v>
      </c>
      <c r="F15" s="241"/>
      <c r="G15" s="57"/>
      <c r="H15" s="241"/>
      <c r="I15" s="241"/>
      <c r="J15" s="241"/>
      <c r="K15" s="241"/>
      <c r="L15" s="241"/>
      <c r="M15" s="241"/>
    </row>
    <row r="16" spans="1:22" x14ac:dyDescent="0.2">
      <c r="A16" s="174">
        <v>40391</v>
      </c>
      <c r="B16" s="97">
        <v>26</v>
      </c>
      <c r="C16" s="530">
        <v>68336</v>
      </c>
      <c r="D16" s="240">
        <f t="shared" si="0"/>
        <v>0.38047295715289159</v>
      </c>
      <c r="E16" s="240">
        <f t="shared" si="1"/>
        <v>0.38186242472955489</v>
      </c>
      <c r="F16" s="241"/>
      <c r="G16" s="57"/>
      <c r="H16" s="241"/>
      <c r="I16" s="241"/>
      <c r="J16" s="241"/>
      <c r="K16" s="241"/>
      <c r="L16" s="241"/>
      <c r="M16" s="241"/>
    </row>
    <row r="17" spans="1:13" x14ac:dyDescent="0.2">
      <c r="A17" s="174">
        <v>40422</v>
      </c>
      <c r="B17" s="97">
        <v>28</v>
      </c>
      <c r="C17" s="530">
        <v>73059</v>
      </c>
      <c r="D17" s="240">
        <f t="shared" si="0"/>
        <v>0.38325189230621826</v>
      </c>
      <c r="E17" s="240">
        <f t="shared" si="1"/>
        <v>0.38186242472955489</v>
      </c>
      <c r="F17" s="241"/>
      <c r="G17" s="57"/>
      <c r="H17" s="241"/>
      <c r="I17" s="241"/>
      <c r="J17" s="241"/>
      <c r="K17" s="241"/>
      <c r="L17" s="241"/>
      <c r="M17" s="241"/>
    </row>
    <row r="18" spans="1:13" x14ac:dyDescent="0.2">
      <c r="A18" s="174">
        <v>40452</v>
      </c>
      <c r="B18" s="97">
        <v>34</v>
      </c>
      <c r="C18" s="530">
        <v>79053</v>
      </c>
      <c r="D18" s="240">
        <f t="shared" si="0"/>
        <v>0.43009120463486522</v>
      </c>
      <c r="E18" s="240">
        <f t="shared" si="1"/>
        <v>0.38186242472955489</v>
      </c>
      <c r="F18" s="241"/>
      <c r="G18" s="57"/>
      <c r="H18" s="241"/>
      <c r="I18" s="241"/>
      <c r="J18" s="241"/>
      <c r="K18" s="241"/>
      <c r="L18" s="241"/>
      <c r="M18" s="241"/>
    </row>
    <row r="19" spans="1:13" x14ac:dyDescent="0.2">
      <c r="A19" s="174">
        <v>40483</v>
      </c>
      <c r="B19" s="97">
        <v>28</v>
      </c>
      <c r="C19" s="530">
        <v>78167</v>
      </c>
      <c r="D19" s="240">
        <f t="shared" si="0"/>
        <v>0.35820742768687552</v>
      </c>
      <c r="E19" s="240">
        <f t="shared" si="1"/>
        <v>0.38186242472955489</v>
      </c>
      <c r="F19" s="241"/>
      <c r="G19" s="57"/>
      <c r="H19" s="241"/>
      <c r="I19" s="241"/>
      <c r="J19" s="241"/>
      <c r="K19" s="241"/>
      <c r="L19" s="241"/>
      <c r="M19" s="241"/>
    </row>
    <row r="20" spans="1:13" x14ac:dyDescent="0.2">
      <c r="A20" s="174">
        <v>40513</v>
      </c>
      <c r="B20" s="97">
        <v>38</v>
      </c>
      <c r="C20" s="530">
        <v>78541</v>
      </c>
      <c r="D20" s="240">
        <f t="shared" si="0"/>
        <v>0.48382373537388118</v>
      </c>
      <c r="E20" s="240">
        <f t="shared" si="1"/>
        <v>0.38186242472955489</v>
      </c>
      <c r="F20" s="241"/>
      <c r="G20" s="57"/>
      <c r="H20" s="241"/>
      <c r="I20" s="241"/>
      <c r="J20" s="241"/>
      <c r="K20" s="241"/>
      <c r="L20" s="241"/>
      <c r="M20" s="241"/>
    </row>
    <row r="21" spans="1:13" x14ac:dyDescent="0.2">
      <c r="A21" s="174">
        <v>40544</v>
      </c>
      <c r="B21" s="97">
        <v>30</v>
      </c>
      <c r="C21" s="530">
        <v>81505</v>
      </c>
      <c r="D21" s="240">
        <f t="shared" si="0"/>
        <v>0.36807557818538739</v>
      </c>
      <c r="E21" s="240">
        <f t="shared" si="1"/>
        <v>0.38186242472955489</v>
      </c>
      <c r="F21" s="241"/>
      <c r="G21" s="57"/>
      <c r="H21" s="241"/>
      <c r="I21" s="241"/>
      <c r="J21" s="241"/>
      <c r="K21" s="241"/>
      <c r="L21" s="241"/>
      <c r="M21" s="241"/>
    </row>
    <row r="22" spans="1:13" x14ac:dyDescent="0.2">
      <c r="A22" s="174">
        <v>40575</v>
      </c>
      <c r="B22" s="97">
        <v>22</v>
      </c>
      <c r="C22" s="530">
        <v>73694</v>
      </c>
      <c r="D22" s="240">
        <f t="shared" si="0"/>
        <v>0.29853176649388008</v>
      </c>
      <c r="E22" s="240">
        <f t="shared" si="1"/>
        <v>0.38186242472955489</v>
      </c>
      <c r="F22" s="241"/>
      <c r="G22" s="57"/>
      <c r="H22" s="241"/>
      <c r="I22" s="241"/>
      <c r="J22" s="241"/>
      <c r="K22" s="241"/>
      <c r="L22" s="241"/>
      <c r="M22" s="241"/>
    </row>
    <row r="23" spans="1:13" x14ac:dyDescent="0.2">
      <c r="A23" s="174">
        <v>40603</v>
      </c>
      <c r="B23" s="97">
        <v>24</v>
      </c>
      <c r="C23" s="530">
        <v>80117</v>
      </c>
      <c r="D23" s="240">
        <f t="shared" si="0"/>
        <v>0.29956189073480038</v>
      </c>
      <c r="E23" s="240">
        <f t="shared" si="1"/>
        <v>0.38186242472955489</v>
      </c>
      <c r="F23" s="240"/>
      <c r="G23" s="57"/>
      <c r="H23" s="241"/>
      <c r="I23" s="241"/>
      <c r="J23" s="241"/>
      <c r="K23" s="241"/>
      <c r="L23" s="241"/>
      <c r="M23" s="241"/>
    </row>
    <row r="24" spans="1:13" x14ac:dyDescent="0.2">
      <c r="A24" s="174">
        <v>40634</v>
      </c>
      <c r="B24" s="97">
        <v>21</v>
      </c>
      <c r="C24" s="530">
        <v>75433</v>
      </c>
      <c r="D24" s="240">
        <f t="shared" si="0"/>
        <v>0.27839274588045021</v>
      </c>
      <c r="E24" s="240"/>
      <c r="F24" s="240">
        <f t="shared" ref="F24:F42" si="2">MEDIAN($D$12:$D$23)</f>
        <v>0.38186242472955489</v>
      </c>
      <c r="G24" s="57"/>
      <c r="H24" s="241"/>
      <c r="I24" s="241"/>
      <c r="J24" s="241"/>
      <c r="K24" s="241"/>
      <c r="L24" s="241"/>
      <c r="M24" s="241"/>
    </row>
    <row r="25" spans="1:13" x14ac:dyDescent="0.2">
      <c r="A25" s="174">
        <v>40664</v>
      </c>
      <c r="B25" s="97">
        <v>33</v>
      </c>
      <c r="C25" s="530">
        <v>78415</v>
      </c>
      <c r="D25" s="240">
        <f t="shared" si="0"/>
        <v>0.4208378499011669</v>
      </c>
      <c r="E25" s="240"/>
      <c r="F25" s="240">
        <f t="shared" si="2"/>
        <v>0.38186242472955489</v>
      </c>
      <c r="G25" s="57"/>
      <c r="H25" s="241"/>
      <c r="I25" s="241"/>
      <c r="J25" s="241"/>
      <c r="K25" s="241"/>
      <c r="L25" s="241"/>
      <c r="M25" s="241"/>
    </row>
    <row r="26" spans="1:13" x14ac:dyDescent="0.2">
      <c r="A26" s="174">
        <v>40695</v>
      </c>
      <c r="B26" s="97">
        <v>28</v>
      </c>
      <c r="C26" s="530">
        <v>76999</v>
      </c>
      <c r="D26" s="240">
        <f t="shared" si="0"/>
        <v>0.36364108624787339</v>
      </c>
      <c r="E26" s="240"/>
      <c r="F26" s="240">
        <f t="shared" si="2"/>
        <v>0.38186242472955489</v>
      </c>
      <c r="G26" s="57"/>
      <c r="H26" s="241"/>
      <c r="I26" s="241"/>
      <c r="J26" s="241"/>
      <c r="K26" s="241"/>
      <c r="L26" s="241"/>
      <c r="M26" s="241"/>
    </row>
    <row r="27" spans="1:13" x14ac:dyDescent="0.2">
      <c r="A27" s="174">
        <v>40725</v>
      </c>
      <c r="B27" s="97">
        <v>27</v>
      </c>
      <c r="C27" s="530">
        <v>77388</v>
      </c>
      <c r="D27" s="240">
        <f t="shared" si="0"/>
        <v>0.34889130097689564</v>
      </c>
      <c r="E27" s="240"/>
      <c r="F27" s="240">
        <f t="shared" si="2"/>
        <v>0.38186242472955489</v>
      </c>
      <c r="G27" s="57"/>
      <c r="H27" s="241"/>
      <c r="I27" s="241"/>
      <c r="J27" s="241"/>
      <c r="K27" s="241"/>
      <c r="L27" s="241"/>
      <c r="M27" s="241"/>
    </row>
    <row r="28" spans="1:13" x14ac:dyDescent="0.2">
      <c r="A28" s="174">
        <v>40756</v>
      </c>
      <c r="B28" s="97">
        <v>28</v>
      </c>
      <c r="C28" s="530">
        <v>78816</v>
      </c>
      <c r="D28" s="240">
        <f t="shared" si="0"/>
        <v>0.35525781567194481</v>
      </c>
      <c r="E28" s="240"/>
      <c r="F28" s="240">
        <f t="shared" si="2"/>
        <v>0.38186242472955489</v>
      </c>
      <c r="G28" s="57"/>
      <c r="H28" s="241"/>
      <c r="I28" s="241"/>
      <c r="J28" s="241"/>
      <c r="K28" s="241"/>
      <c r="L28" s="241"/>
      <c r="M28" s="241"/>
    </row>
    <row r="29" spans="1:13" x14ac:dyDescent="0.2">
      <c r="A29" s="174">
        <v>40787</v>
      </c>
      <c r="B29" s="97">
        <v>28</v>
      </c>
      <c r="C29" s="530">
        <v>76254</v>
      </c>
      <c r="D29" s="240">
        <f t="shared" si="0"/>
        <v>0.36719385212579009</v>
      </c>
      <c r="E29" s="240"/>
      <c r="F29" s="240">
        <f t="shared" si="2"/>
        <v>0.38186242472955489</v>
      </c>
      <c r="G29" s="57"/>
      <c r="H29" s="241"/>
      <c r="I29" s="241"/>
      <c r="J29" s="241"/>
      <c r="K29" s="241"/>
      <c r="L29" s="241"/>
      <c r="M29" s="241"/>
    </row>
    <row r="30" spans="1:13" x14ac:dyDescent="0.2">
      <c r="A30" s="174">
        <v>40817</v>
      </c>
      <c r="B30" s="97">
        <v>35</v>
      </c>
      <c r="C30" s="530">
        <v>79579</v>
      </c>
      <c r="D30" s="240">
        <f t="shared" si="0"/>
        <v>0.43981452393219317</v>
      </c>
      <c r="E30" s="240"/>
      <c r="F30" s="240">
        <f t="shared" si="2"/>
        <v>0.38186242472955489</v>
      </c>
      <c r="G30" s="57"/>
      <c r="H30" s="241"/>
      <c r="I30" s="241"/>
      <c r="J30" s="241"/>
      <c r="K30" s="241"/>
      <c r="L30" s="241"/>
      <c r="M30" s="241"/>
    </row>
    <row r="31" spans="1:13" x14ac:dyDescent="0.2">
      <c r="A31" s="174">
        <v>40848</v>
      </c>
      <c r="B31" s="97">
        <v>27</v>
      </c>
      <c r="C31" s="530">
        <v>78273</v>
      </c>
      <c r="D31" s="240">
        <f t="shared" si="0"/>
        <v>0.34494653328734043</v>
      </c>
      <c r="E31" s="240"/>
      <c r="F31" s="240">
        <f t="shared" si="2"/>
        <v>0.38186242472955489</v>
      </c>
      <c r="G31" s="57"/>
      <c r="H31" s="241"/>
      <c r="I31" s="241"/>
      <c r="J31" s="241"/>
      <c r="K31" s="241"/>
      <c r="L31" s="241"/>
      <c r="M31" s="241"/>
    </row>
    <row r="32" spans="1:13" x14ac:dyDescent="0.2">
      <c r="A32" s="174">
        <v>40878</v>
      </c>
      <c r="B32" s="97">
        <v>35</v>
      </c>
      <c r="C32" s="530">
        <v>79423</v>
      </c>
      <c r="D32" s="240">
        <f t="shared" si="0"/>
        <v>0.44067839290885508</v>
      </c>
      <c r="E32" s="240"/>
      <c r="F32" s="240">
        <f t="shared" si="2"/>
        <v>0.38186242472955489</v>
      </c>
      <c r="G32" s="57"/>
      <c r="H32" s="241"/>
      <c r="I32" s="241"/>
      <c r="J32" s="241"/>
      <c r="K32" s="241"/>
      <c r="L32" s="241"/>
      <c r="M32" s="241"/>
    </row>
    <row r="33" spans="1:13" x14ac:dyDescent="0.2">
      <c r="A33" s="174">
        <v>40909</v>
      </c>
      <c r="B33" s="90">
        <v>23</v>
      </c>
      <c r="C33" s="526">
        <v>82291</v>
      </c>
      <c r="D33" s="240">
        <f t="shared" si="0"/>
        <v>0.27949593515694304</v>
      </c>
      <c r="E33" s="240"/>
      <c r="F33" s="240">
        <f t="shared" si="2"/>
        <v>0.38186242472955489</v>
      </c>
      <c r="G33" s="57"/>
      <c r="H33" s="241"/>
      <c r="I33" s="241"/>
      <c r="J33" s="241"/>
      <c r="K33" s="241"/>
      <c r="L33" s="241"/>
      <c r="M33" s="241"/>
    </row>
    <row r="34" spans="1:13" x14ac:dyDescent="0.2">
      <c r="A34" s="174">
        <v>40940</v>
      </c>
      <c r="B34" s="90">
        <v>24</v>
      </c>
      <c r="C34" s="526">
        <v>77249</v>
      </c>
      <c r="D34" s="240">
        <f t="shared" si="0"/>
        <v>0.31068363344509314</v>
      </c>
      <c r="E34" s="240"/>
      <c r="F34" s="240">
        <f t="shared" si="2"/>
        <v>0.38186242472955489</v>
      </c>
      <c r="G34" s="57"/>
      <c r="H34" s="241"/>
      <c r="I34" s="241"/>
      <c r="J34" s="241"/>
      <c r="K34" s="241"/>
      <c r="L34" s="241"/>
      <c r="M34" s="241"/>
    </row>
    <row r="35" spans="1:13" x14ac:dyDescent="0.2">
      <c r="A35" s="174">
        <v>40969</v>
      </c>
      <c r="B35" s="90">
        <v>30</v>
      </c>
      <c r="C35" s="526">
        <v>81904</v>
      </c>
      <c r="D35" s="240">
        <f t="shared" si="0"/>
        <v>0.36628247704629807</v>
      </c>
      <c r="E35" s="240"/>
      <c r="F35" s="240">
        <f t="shared" si="2"/>
        <v>0.38186242472955489</v>
      </c>
      <c r="G35" s="57"/>
      <c r="H35" s="241"/>
      <c r="I35" s="241"/>
      <c r="J35" s="241"/>
      <c r="K35" s="241"/>
      <c r="L35" s="241"/>
      <c r="M35" s="241"/>
    </row>
    <row r="36" spans="1:13" x14ac:dyDescent="0.2">
      <c r="A36" s="174">
        <v>41000</v>
      </c>
      <c r="B36" s="90">
        <v>23</v>
      </c>
      <c r="C36" s="526">
        <v>79310</v>
      </c>
      <c r="D36" s="240">
        <f t="shared" si="0"/>
        <v>0.2900012608750473</v>
      </c>
      <c r="E36" s="240"/>
      <c r="F36" s="240">
        <f t="shared" si="2"/>
        <v>0.38186242472955489</v>
      </c>
      <c r="G36" s="57">
        <f>$E$12*0.8</f>
        <v>0.30548993978364392</v>
      </c>
      <c r="H36" s="241"/>
      <c r="I36" s="241"/>
      <c r="J36" s="241"/>
      <c r="K36" s="241"/>
      <c r="L36" s="241"/>
      <c r="M36" s="241"/>
    </row>
    <row r="37" spans="1:13" x14ac:dyDescent="0.2">
      <c r="A37" s="174">
        <v>41030</v>
      </c>
      <c r="B37" s="90">
        <v>33</v>
      </c>
      <c r="C37" s="526">
        <v>80979</v>
      </c>
      <c r="D37" s="240">
        <f t="shared" si="0"/>
        <v>0.40751305894120698</v>
      </c>
      <c r="E37" s="240"/>
      <c r="F37" s="240">
        <f t="shared" si="2"/>
        <v>0.38186242472955489</v>
      </c>
      <c r="G37" s="57">
        <f t="shared" ref="G37:G100" si="3">$E$12*0.8</f>
        <v>0.30548993978364392</v>
      </c>
      <c r="H37" s="241"/>
      <c r="I37" s="241"/>
      <c r="J37" s="241"/>
      <c r="K37" s="241"/>
      <c r="L37" s="241"/>
      <c r="M37" s="241"/>
    </row>
    <row r="38" spans="1:13" x14ac:dyDescent="0.2">
      <c r="A38" s="174">
        <v>41061</v>
      </c>
      <c r="B38" s="90">
        <v>20</v>
      </c>
      <c r="C38" s="526">
        <v>78235</v>
      </c>
      <c r="D38" s="240">
        <f t="shared" si="0"/>
        <v>0.25564005879721352</v>
      </c>
      <c r="E38" s="240"/>
      <c r="F38" s="240">
        <f t="shared" si="2"/>
        <v>0.38186242472955489</v>
      </c>
      <c r="G38" s="57">
        <f t="shared" si="3"/>
        <v>0.30548993978364392</v>
      </c>
      <c r="H38" s="240"/>
      <c r="I38" s="240"/>
      <c r="J38" s="240"/>
      <c r="K38" s="240"/>
      <c r="L38" s="240"/>
      <c r="M38" s="240"/>
    </row>
    <row r="39" spans="1:13" x14ac:dyDescent="0.2">
      <c r="A39" s="174">
        <v>41091</v>
      </c>
      <c r="B39" s="90">
        <v>16</v>
      </c>
      <c r="C39" s="526">
        <v>78102</v>
      </c>
      <c r="D39" s="240">
        <f t="shared" si="0"/>
        <v>0.20486031087552176</v>
      </c>
      <c r="E39" s="240"/>
      <c r="F39" s="240">
        <f t="shared" si="2"/>
        <v>0.38186242472955489</v>
      </c>
      <c r="G39" s="57">
        <f t="shared" si="3"/>
        <v>0.30548993978364392</v>
      </c>
      <c r="H39" s="240"/>
      <c r="I39" s="240"/>
      <c r="J39" s="240"/>
      <c r="K39" s="240"/>
      <c r="L39" s="240"/>
      <c r="M39" s="240"/>
    </row>
    <row r="40" spans="1:13" x14ac:dyDescent="0.2">
      <c r="A40" s="174">
        <v>41122</v>
      </c>
      <c r="B40" s="90">
        <v>21</v>
      </c>
      <c r="C40" s="526">
        <v>79006</v>
      </c>
      <c r="D40" s="240">
        <f t="shared" si="0"/>
        <v>0.26580259727109334</v>
      </c>
      <c r="E40" s="240"/>
      <c r="F40" s="240">
        <f t="shared" si="2"/>
        <v>0.38186242472955489</v>
      </c>
      <c r="G40" s="57">
        <f t="shared" si="3"/>
        <v>0.30548993978364392</v>
      </c>
      <c r="H40" s="240"/>
      <c r="I40" s="240"/>
      <c r="J40" s="240"/>
      <c r="K40" s="240"/>
      <c r="L40" s="240"/>
      <c r="M40" s="240"/>
    </row>
    <row r="41" spans="1:13" x14ac:dyDescent="0.2">
      <c r="A41" s="174">
        <v>41153</v>
      </c>
      <c r="B41" s="90">
        <v>11</v>
      </c>
      <c r="C41" s="526">
        <v>76772</v>
      </c>
      <c r="D41" s="240">
        <f t="shared" si="0"/>
        <v>0.14328140467878914</v>
      </c>
      <c r="E41" s="240"/>
      <c r="F41" s="240">
        <f t="shared" si="2"/>
        <v>0.38186242472955489</v>
      </c>
      <c r="G41" s="57">
        <f t="shared" si="3"/>
        <v>0.30548993978364392</v>
      </c>
      <c r="H41" s="240"/>
      <c r="I41" s="240"/>
      <c r="J41" s="240"/>
      <c r="K41" s="240"/>
      <c r="L41" s="240"/>
      <c r="M41" s="240"/>
    </row>
    <row r="42" spans="1:13" x14ac:dyDescent="0.2">
      <c r="A42" s="174">
        <v>41183</v>
      </c>
      <c r="B42" s="90">
        <v>32</v>
      </c>
      <c r="C42" s="526">
        <v>80381</v>
      </c>
      <c r="D42" s="240">
        <f t="shared" si="0"/>
        <v>0.39810402955922419</v>
      </c>
      <c r="E42" s="240"/>
      <c r="F42" s="240">
        <f t="shared" si="2"/>
        <v>0.38186242472955489</v>
      </c>
      <c r="G42" s="57">
        <f t="shared" si="3"/>
        <v>0.30548993978364392</v>
      </c>
      <c r="H42" s="240"/>
      <c r="I42" s="240"/>
      <c r="J42" s="240"/>
      <c r="K42" s="240"/>
      <c r="L42" s="240"/>
      <c r="M42" s="240"/>
    </row>
    <row r="43" spans="1:13" x14ac:dyDescent="0.2">
      <c r="A43" s="174">
        <v>41214</v>
      </c>
      <c r="B43" s="90">
        <v>17</v>
      </c>
      <c r="C43" s="526">
        <v>78170</v>
      </c>
      <c r="D43" s="240">
        <f t="shared" si="0"/>
        <v>0.21747473455289754</v>
      </c>
      <c r="E43" s="240"/>
      <c r="F43" s="240"/>
      <c r="G43" s="57">
        <f t="shared" si="3"/>
        <v>0.30548993978364392</v>
      </c>
      <c r="H43" s="240">
        <f>MEDIAN($D$43:$D$54)</f>
        <v>0.27448835309958441</v>
      </c>
      <c r="I43" s="240"/>
      <c r="J43" s="240"/>
      <c r="K43" s="240"/>
      <c r="L43" s="240"/>
      <c r="M43" s="240"/>
    </row>
    <row r="44" spans="1:13" x14ac:dyDescent="0.2">
      <c r="A44" s="174">
        <v>41244</v>
      </c>
      <c r="B44" s="90">
        <v>22</v>
      </c>
      <c r="C44" s="526">
        <v>79758</v>
      </c>
      <c r="D44" s="240">
        <f t="shared" si="0"/>
        <v>0.27583439905714785</v>
      </c>
      <c r="E44" s="240"/>
      <c r="F44" s="240"/>
      <c r="G44" s="57">
        <f t="shared" si="3"/>
        <v>0.30548993978364392</v>
      </c>
      <c r="H44" s="240">
        <f t="shared" ref="H44:I59" si="4">MEDIAN($D$43:$D$54)</f>
        <v>0.27448835309958441</v>
      </c>
      <c r="I44" s="240"/>
      <c r="J44" s="240"/>
      <c r="K44" s="240"/>
      <c r="L44" s="240"/>
      <c r="M44" s="240"/>
    </row>
    <row r="45" spans="1:13" x14ac:dyDescent="0.2">
      <c r="A45" s="174">
        <v>41275</v>
      </c>
      <c r="B45" s="90">
        <v>30</v>
      </c>
      <c r="C45" s="526">
        <v>84817</v>
      </c>
      <c r="D45" s="240">
        <f t="shared" si="0"/>
        <v>0.35370267752926893</v>
      </c>
      <c r="E45" s="240"/>
      <c r="F45" s="240"/>
      <c r="G45" s="57">
        <f t="shared" si="3"/>
        <v>0.30548993978364392</v>
      </c>
      <c r="H45" s="240">
        <f t="shared" si="4"/>
        <v>0.27448835309958441</v>
      </c>
      <c r="I45" s="240"/>
      <c r="J45" s="240"/>
      <c r="K45" s="240"/>
      <c r="L45" s="240"/>
      <c r="M45" s="240"/>
    </row>
    <row r="46" spans="1:13" x14ac:dyDescent="0.2">
      <c r="A46" s="174">
        <v>41306</v>
      </c>
      <c r="B46" s="90">
        <v>19</v>
      </c>
      <c r="C46" s="526">
        <v>75228</v>
      </c>
      <c r="D46" s="240">
        <f t="shared" si="0"/>
        <v>0.25256553410964006</v>
      </c>
      <c r="E46" s="240"/>
      <c r="F46" s="240"/>
      <c r="G46" s="57">
        <f t="shared" si="3"/>
        <v>0.30548993978364392</v>
      </c>
      <c r="H46" s="240">
        <f t="shared" si="4"/>
        <v>0.27448835309958441</v>
      </c>
      <c r="I46" s="240"/>
      <c r="J46" s="240"/>
      <c r="K46" s="240"/>
      <c r="L46" s="240"/>
      <c r="M46" s="240"/>
    </row>
    <row r="47" spans="1:13" x14ac:dyDescent="0.2">
      <c r="A47" s="174">
        <v>41334</v>
      </c>
      <c r="B47" s="90">
        <v>29</v>
      </c>
      <c r="C47" s="526">
        <v>82192</v>
      </c>
      <c r="D47" s="240">
        <f t="shared" si="0"/>
        <v>0.35283239244695347</v>
      </c>
      <c r="E47" s="240"/>
      <c r="F47" s="240"/>
      <c r="G47" s="57">
        <f t="shared" si="3"/>
        <v>0.30548993978364392</v>
      </c>
      <c r="H47" s="240">
        <f t="shared" si="4"/>
        <v>0.27448835309958441</v>
      </c>
      <c r="I47" s="240"/>
      <c r="J47" s="240"/>
      <c r="K47" s="240"/>
      <c r="L47" s="240"/>
      <c r="M47" s="240"/>
    </row>
    <row r="48" spans="1:13" x14ac:dyDescent="0.2">
      <c r="A48" s="174">
        <v>41365</v>
      </c>
      <c r="B48" s="90">
        <v>19</v>
      </c>
      <c r="C48" s="526">
        <v>79664</v>
      </c>
      <c r="D48" s="240">
        <f t="shared" si="0"/>
        <v>0.23850170717011449</v>
      </c>
      <c r="E48" s="240"/>
      <c r="F48" s="240"/>
      <c r="G48" s="57">
        <f t="shared" si="3"/>
        <v>0.30548993978364392</v>
      </c>
      <c r="H48" s="240">
        <f t="shared" si="4"/>
        <v>0.27448835309958441</v>
      </c>
      <c r="I48" s="240"/>
      <c r="J48" s="240"/>
      <c r="K48" s="240"/>
      <c r="L48" s="240"/>
      <c r="M48" s="240"/>
    </row>
    <row r="49" spans="1:13" x14ac:dyDescent="0.2">
      <c r="A49" s="174">
        <v>41395</v>
      </c>
      <c r="B49" s="98">
        <v>14</v>
      </c>
      <c r="C49" s="526">
        <v>79466</v>
      </c>
      <c r="D49" s="240">
        <f t="shared" si="0"/>
        <v>0.17617597463065968</v>
      </c>
      <c r="E49" s="240"/>
      <c r="F49" s="240"/>
      <c r="G49" s="57">
        <f t="shared" si="3"/>
        <v>0.30548993978364392</v>
      </c>
      <c r="H49" s="240">
        <f t="shared" si="4"/>
        <v>0.27448835309958441</v>
      </c>
      <c r="I49" s="240"/>
      <c r="J49" s="240"/>
      <c r="K49" s="240"/>
      <c r="L49" s="240"/>
      <c r="M49" s="240"/>
    </row>
    <row r="50" spans="1:13" x14ac:dyDescent="0.2">
      <c r="A50" s="174">
        <v>41426</v>
      </c>
      <c r="B50" s="98">
        <v>14</v>
      </c>
      <c r="C50" s="526">
        <v>77888</v>
      </c>
      <c r="D50" s="240">
        <f t="shared" si="0"/>
        <v>0.17974527526705014</v>
      </c>
      <c r="E50" s="240"/>
      <c r="F50" s="240"/>
      <c r="G50" s="57">
        <f t="shared" si="3"/>
        <v>0.30548993978364392</v>
      </c>
      <c r="H50" s="240">
        <f t="shared" si="4"/>
        <v>0.27448835309958441</v>
      </c>
      <c r="I50" s="240"/>
      <c r="J50" s="240"/>
      <c r="K50" s="240"/>
      <c r="L50" s="240"/>
      <c r="M50" s="240"/>
    </row>
    <row r="51" spans="1:13" x14ac:dyDescent="0.2">
      <c r="A51" s="174">
        <v>41456</v>
      </c>
      <c r="B51" s="98">
        <v>27</v>
      </c>
      <c r="C51" s="526">
        <v>78943</v>
      </c>
      <c r="D51" s="240">
        <f t="shared" si="0"/>
        <v>0.34201892504718595</v>
      </c>
      <c r="E51" s="240"/>
      <c r="F51" s="240"/>
      <c r="G51" s="57">
        <f t="shared" si="3"/>
        <v>0.30548993978364392</v>
      </c>
      <c r="H51" s="240">
        <f t="shared" si="4"/>
        <v>0.27448835309958441</v>
      </c>
      <c r="I51" s="240"/>
      <c r="J51" s="240"/>
      <c r="K51" s="240"/>
      <c r="L51" s="240"/>
      <c r="M51" s="240"/>
    </row>
    <row r="52" spans="1:13" x14ac:dyDescent="0.2">
      <c r="A52" s="174">
        <v>41487</v>
      </c>
      <c r="B52" s="98">
        <v>22</v>
      </c>
      <c r="C52" s="526">
        <v>79211</v>
      </c>
      <c r="D52" s="240">
        <f t="shared" si="0"/>
        <v>0.27773920288848769</v>
      </c>
      <c r="E52" s="240"/>
      <c r="F52" s="240"/>
      <c r="G52" s="57">
        <f t="shared" si="3"/>
        <v>0.30548993978364392</v>
      </c>
      <c r="H52" s="240">
        <f t="shared" si="4"/>
        <v>0.27448835309958441</v>
      </c>
      <c r="I52" s="240"/>
      <c r="J52" s="240"/>
      <c r="K52" s="240"/>
      <c r="L52" s="240"/>
      <c r="M52" s="240"/>
    </row>
    <row r="53" spans="1:13" x14ac:dyDescent="0.2">
      <c r="A53" s="174">
        <v>41518</v>
      </c>
      <c r="B53" s="98">
        <v>21</v>
      </c>
      <c r="C53" s="526">
        <v>76883</v>
      </c>
      <c r="D53" s="240">
        <f t="shared" si="0"/>
        <v>0.27314230714202098</v>
      </c>
      <c r="E53" s="240"/>
      <c r="F53" s="240"/>
      <c r="G53" s="57">
        <f t="shared" si="3"/>
        <v>0.30548993978364392</v>
      </c>
      <c r="H53" s="240">
        <f t="shared" si="4"/>
        <v>0.27448835309958441</v>
      </c>
      <c r="I53" s="240"/>
      <c r="J53" s="240"/>
      <c r="K53" s="240"/>
      <c r="L53" s="240"/>
      <c r="M53" s="240"/>
    </row>
    <row r="54" spans="1:13" x14ac:dyDescent="0.2">
      <c r="A54" s="174">
        <v>41548</v>
      </c>
      <c r="B54" s="98">
        <v>30</v>
      </c>
      <c r="C54" s="526">
        <v>80707</v>
      </c>
      <c r="D54" s="240">
        <f t="shared" si="0"/>
        <v>0.37171496896180012</v>
      </c>
      <c r="E54" s="240"/>
      <c r="F54" s="240"/>
      <c r="G54" s="57">
        <f t="shared" si="3"/>
        <v>0.30548993978364392</v>
      </c>
      <c r="H54" s="240">
        <f t="shared" si="4"/>
        <v>0.27448835309958441</v>
      </c>
      <c r="I54" s="240"/>
      <c r="J54" s="240"/>
      <c r="K54" s="240"/>
      <c r="L54" s="240"/>
      <c r="M54" s="240"/>
    </row>
    <row r="55" spans="1:13" x14ac:dyDescent="0.2">
      <c r="A55" s="174">
        <v>41579</v>
      </c>
      <c r="B55" s="98">
        <v>26</v>
      </c>
      <c r="C55" s="526">
        <v>79131</v>
      </c>
      <c r="D55" s="240">
        <f t="shared" si="0"/>
        <v>0.32856908164941678</v>
      </c>
      <c r="E55" s="240"/>
      <c r="F55" s="240"/>
      <c r="G55" s="57">
        <f t="shared" si="3"/>
        <v>0.30548993978364392</v>
      </c>
      <c r="H55" s="240"/>
      <c r="I55" s="240">
        <f t="shared" si="4"/>
        <v>0.27448835309958441</v>
      </c>
      <c r="J55" s="240"/>
      <c r="K55" s="240"/>
      <c r="L55" s="240"/>
      <c r="M55" s="240"/>
    </row>
    <row r="56" spans="1:13" x14ac:dyDescent="0.2">
      <c r="A56" s="174">
        <v>41609</v>
      </c>
      <c r="B56" s="98">
        <v>22</v>
      </c>
      <c r="C56" s="526">
        <v>79425</v>
      </c>
      <c r="D56" s="240">
        <f t="shared" si="0"/>
        <v>0.27699087189172178</v>
      </c>
      <c r="E56" s="240"/>
      <c r="F56" s="240"/>
      <c r="G56" s="57">
        <f t="shared" si="3"/>
        <v>0.30548993978364392</v>
      </c>
      <c r="H56" s="240"/>
      <c r="I56" s="240">
        <f t="shared" si="4"/>
        <v>0.27448835309958441</v>
      </c>
      <c r="J56" s="240"/>
      <c r="K56" s="240"/>
      <c r="L56" s="240"/>
      <c r="M56" s="240"/>
    </row>
    <row r="57" spans="1:13" x14ac:dyDescent="0.2">
      <c r="A57" s="174">
        <v>41640</v>
      </c>
      <c r="B57" s="98">
        <v>28</v>
      </c>
      <c r="C57" s="526">
        <v>84839</v>
      </c>
      <c r="D57" s="240">
        <f t="shared" si="0"/>
        <v>0.33003689340987047</v>
      </c>
      <c r="E57" s="240"/>
      <c r="F57" s="240"/>
      <c r="G57" s="57">
        <f t="shared" si="3"/>
        <v>0.30548993978364392</v>
      </c>
      <c r="H57" s="240"/>
      <c r="I57" s="240">
        <f t="shared" si="4"/>
        <v>0.27448835309958441</v>
      </c>
      <c r="J57" s="240"/>
      <c r="K57" s="240"/>
      <c r="L57" s="240"/>
      <c r="M57" s="240"/>
    </row>
    <row r="58" spans="1:13" x14ac:dyDescent="0.2">
      <c r="A58" s="174">
        <v>41671</v>
      </c>
      <c r="B58" s="98">
        <v>17</v>
      </c>
      <c r="C58" s="526">
        <v>77390</v>
      </c>
      <c r="D58" s="240">
        <f t="shared" si="0"/>
        <v>0.2196666235947797</v>
      </c>
      <c r="E58" s="240"/>
      <c r="F58" s="240"/>
      <c r="G58" s="57">
        <f t="shared" si="3"/>
        <v>0.30548993978364392</v>
      </c>
      <c r="H58" s="240"/>
      <c r="I58" s="240">
        <f t="shared" si="4"/>
        <v>0.27448835309958441</v>
      </c>
      <c r="J58" s="240"/>
      <c r="K58" s="240"/>
      <c r="L58" s="240"/>
      <c r="M58" s="240"/>
    </row>
    <row r="59" spans="1:13" x14ac:dyDescent="0.2">
      <c r="A59" s="174">
        <v>41699</v>
      </c>
      <c r="B59" s="98">
        <v>28</v>
      </c>
      <c r="C59" s="526">
        <v>85693</v>
      </c>
      <c r="D59" s="240">
        <f t="shared" si="0"/>
        <v>0.32674780903924472</v>
      </c>
      <c r="E59" s="240"/>
      <c r="F59" s="240"/>
      <c r="G59" s="57">
        <f t="shared" si="3"/>
        <v>0.30548993978364392</v>
      </c>
      <c r="H59" s="240"/>
      <c r="I59" s="240">
        <f t="shared" si="4"/>
        <v>0.27448835309958441</v>
      </c>
      <c r="J59" s="240"/>
      <c r="K59" s="240"/>
      <c r="L59" s="240"/>
      <c r="M59" s="240"/>
    </row>
    <row r="60" spans="1:13" x14ac:dyDescent="0.2">
      <c r="A60" s="174">
        <v>41730</v>
      </c>
      <c r="B60" s="98">
        <v>37</v>
      </c>
      <c r="C60" s="526">
        <v>81335</v>
      </c>
      <c r="D60" s="240">
        <f t="shared" si="0"/>
        <v>0.45490871088707197</v>
      </c>
      <c r="E60" s="240"/>
      <c r="F60" s="240"/>
      <c r="G60" s="57">
        <f t="shared" si="3"/>
        <v>0.30548993978364392</v>
      </c>
      <c r="H60" s="240"/>
      <c r="I60" s="240">
        <f>MEDIAN($D$43:$D$54)</f>
        <v>0.27448835309958441</v>
      </c>
      <c r="J60" s="240"/>
      <c r="K60" s="240"/>
      <c r="L60" s="240"/>
      <c r="M60" s="240"/>
    </row>
    <row r="61" spans="1:13" x14ac:dyDescent="0.2">
      <c r="A61" s="174">
        <v>41760</v>
      </c>
      <c r="B61" s="98">
        <v>21</v>
      </c>
      <c r="C61" s="526">
        <v>87820</v>
      </c>
      <c r="D61" s="240">
        <f t="shared" si="0"/>
        <v>0.23912548394443178</v>
      </c>
      <c r="E61" s="240"/>
      <c r="F61" s="240"/>
      <c r="G61" s="57">
        <f t="shared" si="3"/>
        <v>0.30548993978364392</v>
      </c>
      <c r="H61" s="240"/>
      <c r="I61" s="240"/>
      <c r="J61" s="240">
        <f t="shared" ref="J61:J72" si="5">MEDIAN($D$61:$D$72)</f>
        <v>0.18194489612478679</v>
      </c>
      <c r="K61" s="240"/>
      <c r="L61" s="240"/>
      <c r="M61" s="240"/>
    </row>
    <row r="62" spans="1:13" x14ac:dyDescent="0.2">
      <c r="A62" s="174">
        <v>41791</v>
      </c>
      <c r="B62" s="98">
        <v>20</v>
      </c>
      <c r="C62" s="526">
        <v>88849</v>
      </c>
      <c r="D62" s="240">
        <f t="shared" si="0"/>
        <v>0.22510101408006841</v>
      </c>
      <c r="E62" s="240"/>
      <c r="F62" s="240"/>
      <c r="G62" s="57">
        <f t="shared" si="3"/>
        <v>0.30548993978364392</v>
      </c>
      <c r="H62" s="240"/>
      <c r="I62" s="240"/>
      <c r="J62" s="240">
        <f t="shared" si="5"/>
        <v>0.18194489612478679</v>
      </c>
      <c r="K62" s="240"/>
      <c r="L62" s="240"/>
      <c r="M62" s="240"/>
    </row>
    <row r="63" spans="1:13" x14ac:dyDescent="0.2">
      <c r="A63" s="174">
        <v>41821</v>
      </c>
      <c r="B63" s="98">
        <v>16</v>
      </c>
      <c r="C63" s="526">
        <v>93651</v>
      </c>
      <c r="D63" s="240">
        <f t="shared" si="0"/>
        <v>0.17084708118439737</v>
      </c>
      <c r="E63" s="240"/>
      <c r="F63" s="240"/>
      <c r="G63" s="57">
        <f t="shared" si="3"/>
        <v>0.30548993978364392</v>
      </c>
      <c r="H63" s="240"/>
      <c r="I63" s="240"/>
      <c r="J63" s="240">
        <f t="shared" si="5"/>
        <v>0.18194489612478679</v>
      </c>
      <c r="K63" s="240"/>
      <c r="L63" s="240"/>
      <c r="M63" s="240"/>
    </row>
    <row r="64" spans="1:13" x14ac:dyDescent="0.2">
      <c r="A64" s="174">
        <v>41852</v>
      </c>
      <c r="B64" s="98">
        <v>26</v>
      </c>
      <c r="C64" s="526">
        <v>97697</v>
      </c>
      <c r="D64" s="240">
        <f t="shared" si="0"/>
        <v>0.26612894971186424</v>
      </c>
      <c r="E64" s="240"/>
      <c r="F64" s="240"/>
      <c r="G64" s="57">
        <f t="shared" si="3"/>
        <v>0.30548993978364392</v>
      </c>
      <c r="H64" s="240"/>
      <c r="I64" s="240"/>
      <c r="J64" s="240">
        <f t="shared" si="5"/>
        <v>0.18194489612478679</v>
      </c>
      <c r="K64" s="240"/>
      <c r="L64" s="240"/>
      <c r="M64" s="240"/>
    </row>
    <row r="65" spans="1:13" x14ac:dyDescent="0.2">
      <c r="A65" s="174">
        <v>41883</v>
      </c>
      <c r="B65" s="98">
        <v>13</v>
      </c>
      <c r="C65" s="526">
        <v>95164</v>
      </c>
      <c r="D65" s="240">
        <f t="shared" si="0"/>
        <v>0.13660627968559541</v>
      </c>
      <c r="E65" s="240"/>
      <c r="F65" s="240"/>
      <c r="G65" s="57">
        <f t="shared" si="3"/>
        <v>0.30548993978364392</v>
      </c>
      <c r="H65" s="240"/>
      <c r="I65" s="240"/>
      <c r="J65" s="240">
        <f t="shared" si="5"/>
        <v>0.18194489612478679</v>
      </c>
      <c r="K65" s="240"/>
      <c r="L65" s="240"/>
      <c r="M65" s="240"/>
    </row>
    <row r="66" spans="1:13" x14ac:dyDescent="0.2">
      <c r="A66" s="174">
        <v>41913</v>
      </c>
      <c r="B66" s="98">
        <v>18</v>
      </c>
      <c r="C66" s="526">
        <v>98721</v>
      </c>
      <c r="D66" s="240">
        <f t="shared" si="0"/>
        <v>0.1823320266204759</v>
      </c>
      <c r="E66" s="240"/>
      <c r="F66" s="240"/>
      <c r="G66" s="57">
        <f t="shared" si="3"/>
        <v>0.30548993978364392</v>
      </c>
      <c r="H66" s="240"/>
      <c r="I66" s="240"/>
      <c r="J66" s="240">
        <f t="shared" si="5"/>
        <v>0.18194489612478679</v>
      </c>
      <c r="K66" s="240"/>
      <c r="L66" s="240"/>
      <c r="M66" s="240"/>
    </row>
    <row r="67" spans="1:13" x14ac:dyDescent="0.2">
      <c r="A67" s="174">
        <v>41944</v>
      </c>
      <c r="B67" s="98">
        <v>17</v>
      </c>
      <c r="C67" s="526">
        <v>95631</v>
      </c>
      <c r="D67" s="240">
        <f t="shared" si="0"/>
        <v>0.17776662379353977</v>
      </c>
      <c r="E67" s="240"/>
      <c r="F67" s="240"/>
      <c r="G67" s="57">
        <f t="shared" si="3"/>
        <v>0.30548993978364392</v>
      </c>
      <c r="H67" s="240"/>
      <c r="I67" s="240"/>
      <c r="J67" s="240">
        <f t="shared" si="5"/>
        <v>0.18194489612478679</v>
      </c>
      <c r="K67" s="240"/>
      <c r="L67" s="240"/>
      <c r="M67" s="240"/>
    </row>
    <row r="68" spans="1:13" x14ac:dyDescent="0.2">
      <c r="A68" s="174">
        <v>41974</v>
      </c>
      <c r="B68" s="98">
        <v>16</v>
      </c>
      <c r="C68" s="526">
        <v>96110</v>
      </c>
      <c r="D68" s="240">
        <f t="shared" si="0"/>
        <v>0.16647591301633544</v>
      </c>
      <c r="E68" s="240"/>
      <c r="F68" s="240"/>
      <c r="G68" s="57">
        <f t="shared" si="3"/>
        <v>0.30548993978364392</v>
      </c>
      <c r="H68" s="240"/>
      <c r="I68" s="240"/>
      <c r="J68" s="240">
        <f t="shared" si="5"/>
        <v>0.18194489612478679</v>
      </c>
      <c r="K68" s="240"/>
      <c r="L68" s="240"/>
      <c r="M68" s="240"/>
    </row>
    <row r="69" spans="1:13" x14ac:dyDescent="0.2">
      <c r="A69" s="174">
        <v>42005</v>
      </c>
      <c r="B69" s="98">
        <v>12</v>
      </c>
      <c r="C69" s="526">
        <v>99421</v>
      </c>
      <c r="D69" s="240">
        <f t="shared" si="0"/>
        <v>0.12069884632019393</v>
      </c>
      <c r="E69" s="240"/>
      <c r="F69" s="240"/>
      <c r="G69" s="57">
        <f t="shared" si="3"/>
        <v>0.30548993978364392</v>
      </c>
      <c r="H69" s="240"/>
      <c r="I69" s="240"/>
      <c r="J69" s="240">
        <f t="shared" si="5"/>
        <v>0.18194489612478679</v>
      </c>
      <c r="K69" s="240"/>
      <c r="L69" s="240"/>
      <c r="M69" s="240"/>
    </row>
    <row r="70" spans="1:13" x14ac:dyDescent="0.2">
      <c r="A70" s="174">
        <v>42036</v>
      </c>
      <c r="B70" s="98">
        <v>22</v>
      </c>
      <c r="C70" s="526">
        <v>90745</v>
      </c>
      <c r="D70" s="240">
        <f t="shared" si="0"/>
        <v>0.24243759986776131</v>
      </c>
      <c r="E70" s="240"/>
      <c r="F70" s="240"/>
      <c r="G70" s="57">
        <f t="shared" si="3"/>
        <v>0.30548993978364392</v>
      </c>
      <c r="H70" s="240"/>
      <c r="I70" s="240"/>
      <c r="J70" s="240">
        <f t="shared" si="5"/>
        <v>0.18194489612478679</v>
      </c>
      <c r="K70" s="240"/>
      <c r="L70" s="240"/>
      <c r="M70" s="240"/>
    </row>
    <row r="71" spans="1:13" x14ac:dyDescent="0.2">
      <c r="A71" s="174">
        <v>42064</v>
      </c>
      <c r="B71" s="98">
        <v>18</v>
      </c>
      <c r="C71" s="526">
        <v>99142</v>
      </c>
      <c r="D71" s="240">
        <f t="shared" si="0"/>
        <v>0.18155776562909767</v>
      </c>
      <c r="E71" s="240"/>
      <c r="F71" s="240"/>
      <c r="G71" s="57">
        <f t="shared" si="3"/>
        <v>0.30548993978364392</v>
      </c>
      <c r="H71" s="240"/>
      <c r="I71" s="240"/>
      <c r="J71" s="240">
        <f t="shared" si="5"/>
        <v>0.18194489612478679</v>
      </c>
      <c r="K71" s="240"/>
      <c r="L71" s="240"/>
      <c r="M71" s="240"/>
    </row>
    <row r="72" spans="1:13" x14ac:dyDescent="0.2">
      <c r="A72" s="174">
        <v>42095</v>
      </c>
      <c r="B72" s="98">
        <v>18</v>
      </c>
      <c r="C72" s="526">
        <v>94368</v>
      </c>
      <c r="D72" s="240">
        <f t="shared" si="0"/>
        <v>0.19074262461851474</v>
      </c>
      <c r="E72" s="240"/>
      <c r="F72" s="240"/>
      <c r="G72" s="57">
        <f t="shared" si="3"/>
        <v>0.30548993978364392</v>
      </c>
      <c r="H72" s="240"/>
      <c r="I72" s="240"/>
      <c r="J72" s="240">
        <f t="shared" si="5"/>
        <v>0.18194489612478679</v>
      </c>
      <c r="K72" s="240"/>
      <c r="L72" s="240"/>
      <c r="M72" s="240"/>
    </row>
    <row r="73" spans="1:13" x14ac:dyDescent="0.2">
      <c r="A73" s="174">
        <v>42125</v>
      </c>
      <c r="B73" s="98">
        <v>16</v>
      </c>
      <c r="C73" s="526">
        <v>94966</v>
      </c>
      <c r="D73" s="240">
        <f t="shared" si="0"/>
        <v>0.16848135122043681</v>
      </c>
      <c r="E73" s="240"/>
      <c r="F73" s="240"/>
      <c r="G73" s="57">
        <f t="shared" si="3"/>
        <v>0.30548993978364392</v>
      </c>
      <c r="H73" s="240"/>
      <c r="I73" s="240"/>
      <c r="J73" s="240"/>
      <c r="K73" s="240">
        <f t="shared" ref="K73:K91" si="6">MEDIAN($D$61:$D$72)</f>
        <v>0.18194489612478679</v>
      </c>
      <c r="L73" s="240"/>
      <c r="M73" s="240"/>
    </row>
    <row r="74" spans="1:13" x14ac:dyDescent="0.2">
      <c r="A74" s="174">
        <v>42156</v>
      </c>
      <c r="B74" s="98">
        <v>17</v>
      </c>
      <c r="C74" s="526">
        <v>90326</v>
      </c>
      <c r="D74" s="240">
        <f t="shared" si="0"/>
        <v>0.18820716072891525</v>
      </c>
      <c r="E74" s="240"/>
      <c r="F74" s="240"/>
      <c r="G74" s="57">
        <f t="shared" si="3"/>
        <v>0.30548993978364392</v>
      </c>
      <c r="H74" s="240"/>
      <c r="I74" s="240"/>
      <c r="J74" s="240"/>
      <c r="K74" s="240">
        <f t="shared" si="6"/>
        <v>0.18194489612478679</v>
      </c>
      <c r="L74" s="240"/>
      <c r="M74" s="240"/>
    </row>
    <row r="75" spans="1:13" x14ac:dyDescent="0.2">
      <c r="A75" s="174">
        <v>42186</v>
      </c>
      <c r="B75" s="98">
        <v>24</v>
      </c>
      <c r="C75" s="526">
        <v>91566</v>
      </c>
      <c r="D75" s="240">
        <f t="shared" si="0"/>
        <v>0.26210602188585286</v>
      </c>
      <c r="E75" s="240"/>
      <c r="F75" s="240"/>
      <c r="G75" s="57">
        <f t="shared" si="3"/>
        <v>0.30548993978364392</v>
      </c>
      <c r="H75" s="240"/>
      <c r="I75" s="240"/>
      <c r="J75" s="240"/>
      <c r="K75" s="240">
        <f t="shared" si="6"/>
        <v>0.18194489612478679</v>
      </c>
      <c r="L75" s="240"/>
      <c r="M75" s="240"/>
    </row>
    <row r="76" spans="1:13" x14ac:dyDescent="0.2">
      <c r="A76" s="174">
        <v>42217</v>
      </c>
      <c r="B76" s="98">
        <v>14</v>
      </c>
      <c r="C76" s="526">
        <v>91708</v>
      </c>
      <c r="D76" s="240">
        <f t="shared" ref="D76:D93" si="7">B76/C76*1000</f>
        <v>0.15265843764993239</v>
      </c>
      <c r="E76" s="240"/>
      <c r="F76" s="240"/>
      <c r="G76" s="57">
        <f t="shared" si="3"/>
        <v>0.30548993978364392</v>
      </c>
      <c r="H76" s="240"/>
      <c r="I76" s="240"/>
      <c r="J76" s="240"/>
      <c r="K76" s="240">
        <f t="shared" si="6"/>
        <v>0.18194489612478679</v>
      </c>
      <c r="L76" s="240"/>
      <c r="M76" s="240"/>
    </row>
    <row r="77" spans="1:13" x14ac:dyDescent="0.2">
      <c r="A77" s="174">
        <v>42248</v>
      </c>
      <c r="B77" s="98">
        <v>17</v>
      </c>
      <c r="C77" s="526">
        <v>88875</v>
      </c>
      <c r="D77" s="240">
        <f t="shared" si="7"/>
        <v>0.19127988748241914</v>
      </c>
      <c r="E77" s="240"/>
      <c r="F77" s="240"/>
      <c r="G77" s="57">
        <f t="shared" si="3"/>
        <v>0.30548993978364392</v>
      </c>
      <c r="H77" s="240"/>
      <c r="I77" s="240"/>
      <c r="J77" s="240"/>
      <c r="K77" s="240">
        <f t="shared" si="6"/>
        <v>0.18194489612478679</v>
      </c>
      <c r="L77" s="240"/>
      <c r="M77" s="240"/>
    </row>
    <row r="78" spans="1:13" x14ac:dyDescent="0.2">
      <c r="A78" s="174">
        <v>42278</v>
      </c>
      <c r="B78" s="98">
        <v>34</v>
      </c>
      <c r="C78" s="526">
        <v>92263</v>
      </c>
      <c r="D78" s="240">
        <f t="shared" si="7"/>
        <v>0.36851175444110856</v>
      </c>
      <c r="E78" s="240"/>
      <c r="F78" s="240"/>
      <c r="G78" s="57">
        <f t="shared" si="3"/>
        <v>0.30548993978364392</v>
      </c>
      <c r="H78" s="240"/>
      <c r="I78" s="240"/>
      <c r="J78" s="240"/>
      <c r="K78" s="240">
        <f t="shared" si="6"/>
        <v>0.18194489612478679</v>
      </c>
      <c r="L78" s="240"/>
      <c r="M78" s="240"/>
    </row>
    <row r="79" spans="1:13" x14ac:dyDescent="0.2">
      <c r="A79" s="174">
        <v>42309</v>
      </c>
      <c r="B79" s="98">
        <v>19</v>
      </c>
      <c r="C79" s="526">
        <v>90342</v>
      </c>
      <c r="D79" s="240">
        <f t="shared" si="7"/>
        <v>0.21031192579309735</v>
      </c>
      <c r="E79" s="240"/>
      <c r="F79" s="240"/>
      <c r="G79" s="57">
        <f t="shared" si="3"/>
        <v>0.30548993978364392</v>
      </c>
      <c r="H79" s="240"/>
      <c r="I79" s="240"/>
      <c r="J79" s="240"/>
      <c r="K79" s="240">
        <f t="shared" si="6"/>
        <v>0.18194489612478679</v>
      </c>
      <c r="L79" s="240"/>
      <c r="M79" s="240"/>
    </row>
    <row r="80" spans="1:13" x14ac:dyDescent="0.2">
      <c r="A80" s="174">
        <v>42339</v>
      </c>
      <c r="B80" s="98">
        <v>16</v>
      </c>
      <c r="C80" s="526">
        <v>90868</v>
      </c>
      <c r="D80" s="240">
        <f t="shared" si="7"/>
        <v>0.17607958797376416</v>
      </c>
      <c r="E80" s="240"/>
      <c r="F80" s="240"/>
      <c r="G80" s="57">
        <f t="shared" si="3"/>
        <v>0.30548993978364392</v>
      </c>
      <c r="H80" s="240"/>
      <c r="I80" s="240"/>
      <c r="J80" s="240"/>
      <c r="K80" s="240">
        <f t="shared" si="6"/>
        <v>0.18194489612478679</v>
      </c>
      <c r="L80" s="240"/>
      <c r="M80" s="240"/>
    </row>
    <row r="81" spans="1:13" x14ac:dyDescent="0.2">
      <c r="A81" s="174">
        <v>42370</v>
      </c>
      <c r="B81" s="98">
        <v>24</v>
      </c>
      <c r="C81" s="526">
        <v>94260</v>
      </c>
      <c r="D81" s="240">
        <f t="shared" si="7"/>
        <v>0.25461489497135581</v>
      </c>
      <c r="E81" s="240"/>
      <c r="F81" s="240"/>
      <c r="G81" s="57">
        <f t="shared" si="3"/>
        <v>0.30548993978364392</v>
      </c>
      <c r="H81" s="240"/>
      <c r="I81" s="240"/>
      <c r="J81" s="240"/>
      <c r="K81" s="240">
        <f t="shared" si="6"/>
        <v>0.18194489612478679</v>
      </c>
      <c r="L81" s="240"/>
      <c r="M81" s="240"/>
    </row>
    <row r="82" spans="1:13" x14ac:dyDescent="0.2">
      <c r="A82" s="174">
        <v>42401</v>
      </c>
      <c r="B82" s="98">
        <v>16</v>
      </c>
      <c r="C82" s="526">
        <v>89156</v>
      </c>
      <c r="D82" s="240">
        <f t="shared" si="7"/>
        <v>0.17946072053479295</v>
      </c>
      <c r="E82" s="240"/>
      <c r="F82" s="240"/>
      <c r="G82" s="57">
        <f t="shared" si="3"/>
        <v>0.30548993978364392</v>
      </c>
      <c r="H82" s="240"/>
      <c r="I82" s="240"/>
      <c r="J82" s="240"/>
      <c r="K82" s="240">
        <f t="shared" si="6"/>
        <v>0.18194489612478679</v>
      </c>
      <c r="L82" s="240"/>
      <c r="M82" s="240"/>
    </row>
    <row r="83" spans="1:13" x14ac:dyDescent="0.2">
      <c r="A83" s="174">
        <v>42430</v>
      </c>
      <c r="B83" s="98">
        <v>13</v>
      </c>
      <c r="C83" s="526">
        <v>93777</v>
      </c>
      <c r="D83" s="240">
        <f t="shared" si="7"/>
        <v>0.13862674216492318</v>
      </c>
      <c r="E83" s="240"/>
      <c r="F83" s="240"/>
      <c r="G83" s="57">
        <f t="shared" si="3"/>
        <v>0.30548993978364392</v>
      </c>
      <c r="H83" s="240"/>
      <c r="I83" s="240"/>
      <c r="J83" s="240"/>
      <c r="K83" s="240">
        <f t="shared" si="6"/>
        <v>0.18194489612478679</v>
      </c>
      <c r="L83" s="240"/>
      <c r="M83" s="240"/>
    </row>
    <row r="84" spans="1:13" x14ac:dyDescent="0.2">
      <c r="A84" s="174">
        <v>42461</v>
      </c>
      <c r="B84" s="98">
        <v>24</v>
      </c>
      <c r="C84" s="526">
        <v>88882</v>
      </c>
      <c r="D84" s="240">
        <f t="shared" si="7"/>
        <v>0.27002092662181321</v>
      </c>
      <c r="E84" s="240"/>
      <c r="F84" s="240"/>
      <c r="G84" s="57">
        <f t="shared" si="3"/>
        <v>0.30548993978364392</v>
      </c>
      <c r="H84" s="240"/>
      <c r="I84" s="240"/>
      <c r="J84" s="240"/>
      <c r="K84" s="240">
        <f t="shared" si="6"/>
        <v>0.18194489612478679</v>
      </c>
      <c r="L84" s="240"/>
      <c r="M84" s="240"/>
    </row>
    <row r="85" spans="1:13" x14ac:dyDescent="0.2">
      <c r="A85" s="174">
        <v>42491</v>
      </c>
      <c r="B85" s="98">
        <v>23</v>
      </c>
      <c r="C85" s="526">
        <v>96545</v>
      </c>
      <c r="D85" s="240">
        <f t="shared" si="7"/>
        <v>0.23823087679320523</v>
      </c>
      <c r="E85" s="240"/>
      <c r="F85" s="240"/>
      <c r="G85" s="57">
        <f t="shared" si="3"/>
        <v>0.30548993978364392</v>
      </c>
      <c r="H85" s="240"/>
      <c r="I85" s="240"/>
      <c r="J85" s="240"/>
      <c r="K85" s="240">
        <f t="shared" si="6"/>
        <v>0.18194489612478679</v>
      </c>
      <c r="L85" s="240"/>
      <c r="M85" s="240"/>
    </row>
    <row r="86" spans="1:13" x14ac:dyDescent="0.2">
      <c r="A86" s="174">
        <v>42522</v>
      </c>
      <c r="B86" s="98">
        <v>24</v>
      </c>
      <c r="C86" s="526">
        <v>92594</v>
      </c>
      <c r="D86" s="240">
        <f t="shared" si="7"/>
        <v>0.25919606021988462</v>
      </c>
      <c r="E86" s="240"/>
      <c r="F86" s="240"/>
      <c r="G86" s="57">
        <f t="shared" si="3"/>
        <v>0.30548993978364392</v>
      </c>
      <c r="H86" s="240"/>
      <c r="I86" s="240"/>
      <c r="J86" s="240"/>
      <c r="K86" s="240">
        <f t="shared" si="6"/>
        <v>0.18194489612478679</v>
      </c>
      <c r="L86" s="240"/>
      <c r="M86" s="240"/>
    </row>
    <row r="87" spans="1:13" x14ac:dyDescent="0.2">
      <c r="A87" s="174">
        <v>42552</v>
      </c>
      <c r="B87" s="98">
        <v>18</v>
      </c>
      <c r="C87" s="526">
        <v>94491</v>
      </c>
      <c r="D87" s="240">
        <f t="shared" si="7"/>
        <v>0.19049433279359937</v>
      </c>
      <c r="E87" s="240"/>
      <c r="F87" s="240"/>
      <c r="G87" s="57">
        <f t="shared" si="3"/>
        <v>0.30548993978364392</v>
      </c>
      <c r="H87" s="240"/>
      <c r="I87" s="240"/>
      <c r="J87" s="240"/>
      <c r="K87" s="240">
        <f t="shared" si="6"/>
        <v>0.18194489612478679</v>
      </c>
      <c r="L87" s="240"/>
      <c r="M87" s="240"/>
    </row>
    <row r="88" spans="1:13" x14ac:dyDescent="0.2">
      <c r="A88" s="174">
        <v>42583</v>
      </c>
      <c r="B88" s="98">
        <v>22</v>
      </c>
      <c r="C88" s="526">
        <v>95180</v>
      </c>
      <c r="D88" s="240">
        <f t="shared" si="7"/>
        <v>0.2311409960075646</v>
      </c>
      <c r="E88" s="240"/>
      <c r="F88" s="240"/>
      <c r="G88" s="57">
        <f t="shared" si="3"/>
        <v>0.30548993978364392</v>
      </c>
      <c r="H88" s="240"/>
      <c r="I88" s="240"/>
      <c r="J88" s="240"/>
      <c r="K88" s="240">
        <f t="shared" si="6"/>
        <v>0.18194489612478679</v>
      </c>
      <c r="L88" s="240"/>
      <c r="M88" s="240"/>
    </row>
    <row r="89" spans="1:13" x14ac:dyDescent="0.2">
      <c r="A89" s="174">
        <v>42614</v>
      </c>
      <c r="B89" s="98">
        <v>19</v>
      </c>
      <c r="C89" s="526">
        <v>92992</v>
      </c>
      <c r="D89" s="240">
        <f t="shared" si="7"/>
        <v>0.20431865106675845</v>
      </c>
      <c r="E89" s="240"/>
      <c r="F89" s="240"/>
      <c r="G89" s="57">
        <f t="shared" si="3"/>
        <v>0.30548993978364392</v>
      </c>
      <c r="H89" s="240"/>
      <c r="I89" s="240"/>
      <c r="J89" s="240"/>
      <c r="K89" s="240">
        <f t="shared" si="6"/>
        <v>0.18194489612478679</v>
      </c>
      <c r="L89" s="240"/>
      <c r="M89" s="240"/>
    </row>
    <row r="90" spans="1:13" x14ac:dyDescent="0.2">
      <c r="A90" s="174">
        <v>42644</v>
      </c>
      <c r="B90" s="98">
        <v>16</v>
      </c>
      <c r="C90" s="526">
        <v>96102</v>
      </c>
      <c r="D90" s="240">
        <f t="shared" si="7"/>
        <v>0.16648977128467671</v>
      </c>
      <c r="E90" s="240"/>
      <c r="F90" s="240"/>
      <c r="G90" s="57">
        <f t="shared" si="3"/>
        <v>0.30548993978364392</v>
      </c>
      <c r="H90" s="240"/>
      <c r="I90" s="240"/>
      <c r="J90" s="240"/>
      <c r="K90" s="240">
        <f t="shared" si="6"/>
        <v>0.18194489612478679</v>
      </c>
      <c r="L90" s="240"/>
      <c r="M90" s="240"/>
    </row>
    <row r="91" spans="1:13" x14ac:dyDescent="0.2">
      <c r="A91" s="174">
        <v>42675</v>
      </c>
      <c r="B91" s="98">
        <v>17</v>
      </c>
      <c r="C91" s="526">
        <v>93796</v>
      </c>
      <c r="D91" s="240">
        <f t="shared" si="7"/>
        <v>0.18124440274638579</v>
      </c>
      <c r="E91" s="240"/>
      <c r="F91" s="240"/>
      <c r="G91" s="57">
        <f t="shared" si="3"/>
        <v>0.30548993978364392</v>
      </c>
      <c r="H91" s="240"/>
      <c r="I91" s="240"/>
      <c r="J91" s="240"/>
      <c r="K91" s="240">
        <f t="shared" si="6"/>
        <v>0.18194489612478679</v>
      </c>
      <c r="L91" s="240"/>
      <c r="M91" s="240"/>
    </row>
    <row r="92" spans="1:13" x14ac:dyDescent="0.2">
      <c r="A92" s="174">
        <v>42705</v>
      </c>
      <c r="B92" s="98">
        <v>24</v>
      </c>
      <c r="C92" s="526">
        <v>94115</v>
      </c>
      <c r="D92" s="240">
        <f t="shared" si="7"/>
        <v>0.25500717207671464</v>
      </c>
      <c r="E92" s="240"/>
      <c r="F92" s="240"/>
      <c r="G92" s="57">
        <f t="shared" si="3"/>
        <v>0.30548993978364392</v>
      </c>
      <c r="H92" s="240"/>
      <c r="I92" s="240"/>
      <c r="J92" s="240"/>
      <c r="K92" s="240"/>
      <c r="L92" s="240">
        <f>MEDIAN($D$92:$D$103)</f>
        <v>0.24644566154952852</v>
      </c>
      <c r="M92" s="240"/>
    </row>
    <row r="93" spans="1:13" x14ac:dyDescent="0.2">
      <c r="A93" s="174">
        <v>42736</v>
      </c>
      <c r="B93" s="98">
        <v>31</v>
      </c>
      <c r="C93" s="526">
        <v>96473</v>
      </c>
      <c r="D93" s="240">
        <f t="shared" si="7"/>
        <v>0.32133343007888215</v>
      </c>
      <c r="E93" s="240"/>
      <c r="F93" s="240"/>
      <c r="G93" s="57">
        <f t="shared" si="3"/>
        <v>0.30548993978364392</v>
      </c>
      <c r="H93" s="240"/>
      <c r="I93" s="240"/>
      <c r="J93" s="240"/>
      <c r="K93" s="240"/>
      <c r="L93" s="240">
        <f t="shared" ref="L93:L99" si="8">MEDIAN($D$92:$D$103)</f>
        <v>0.24644566154952852</v>
      </c>
      <c r="M93" s="240"/>
    </row>
    <row r="94" spans="1:13" x14ac:dyDescent="0.2">
      <c r="A94" s="174">
        <v>42767</v>
      </c>
      <c r="B94" s="98">
        <v>28</v>
      </c>
      <c r="C94" s="526">
        <v>87701</v>
      </c>
      <c r="D94" s="240">
        <f>B94/C94*1000</f>
        <v>0.31926659901255405</v>
      </c>
      <c r="E94" s="240"/>
      <c r="F94" s="240"/>
      <c r="G94" s="57">
        <f t="shared" si="3"/>
        <v>0.30548993978364392</v>
      </c>
      <c r="H94" s="240"/>
      <c r="I94" s="240"/>
      <c r="J94" s="240"/>
      <c r="K94" s="240"/>
      <c r="L94" s="240">
        <f t="shared" si="8"/>
        <v>0.24644566154952852</v>
      </c>
      <c r="M94" s="240"/>
    </row>
    <row r="95" spans="1:13" x14ac:dyDescent="0.2">
      <c r="A95" s="174">
        <v>42795</v>
      </c>
      <c r="B95" s="144">
        <v>24</v>
      </c>
      <c r="C95" s="526">
        <v>95668</v>
      </c>
      <c r="D95" s="240">
        <f>B95/C95*1000</f>
        <v>0.25086758372705603</v>
      </c>
      <c r="E95" s="242"/>
      <c r="F95" s="240"/>
      <c r="G95" s="57">
        <f>$E$12*0.8</f>
        <v>0.30548993978364392</v>
      </c>
      <c r="H95" s="240"/>
      <c r="I95" s="240"/>
      <c r="J95" s="240"/>
      <c r="K95" s="240"/>
      <c r="L95" s="240">
        <f t="shared" si="8"/>
        <v>0.24644566154952852</v>
      </c>
      <c r="M95" s="240"/>
    </row>
    <row r="96" spans="1:13" x14ac:dyDescent="0.2">
      <c r="A96" s="174">
        <v>42826</v>
      </c>
      <c r="B96" s="144">
        <v>19</v>
      </c>
      <c r="C96" s="526">
        <v>91595</v>
      </c>
      <c r="D96" s="240">
        <f>B96/C96*1000</f>
        <v>0.20743490365194606</v>
      </c>
      <c r="E96" s="174"/>
      <c r="F96" s="174"/>
      <c r="G96" s="57">
        <f t="shared" si="3"/>
        <v>0.30548993978364392</v>
      </c>
      <c r="H96" s="174"/>
      <c r="I96" s="174"/>
      <c r="J96" s="174"/>
      <c r="K96" s="240"/>
      <c r="L96" s="240">
        <f t="shared" si="8"/>
        <v>0.24644566154952852</v>
      </c>
      <c r="M96" s="240"/>
    </row>
    <row r="97" spans="1:13" x14ac:dyDescent="0.2">
      <c r="A97" s="174">
        <v>42856</v>
      </c>
      <c r="B97" s="144">
        <v>26</v>
      </c>
      <c r="C97" s="526">
        <v>93901</v>
      </c>
      <c r="D97" s="240">
        <v>0.28000000000000003</v>
      </c>
      <c r="E97" s="174"/>
      <c r="F97" s="174"/>
      <c r="G97" s="57">
        <f t="shared" si="3"/>
        <v>0.30548993978364392</v>
      </c>
      <c r="H97" s="174"/>
      <c r="I97" s="174"/>
      <c r="J97" s="174"/>
      <c r="K97" s="240"/>
      <c r="L97" s="240">
        <f t="shared" si="8"/>
        <v>0.24644566154952852</v>
      </c>
      <c r="M97" s="240"/>
    </row>
    <row r="98" spans="1:13" x14ac:dyDescent="0.2">
      <c r="A98" s="174">
        <v>42887</v>
      </c>
      <c r="B98" s="144">
        <v>19</v>
      </c>
      <c r="C98" s="526">
        <v>89767</v>
      </c>
      <c r="D98" s="240">
        <f t="shared" ref="D98:D104" si="9">B98/C98*1000</f>
        <v>0.21165907293326056</v>
      </c>
      <c r="E98" s="174"/>
      <c r="F98" s="174"/>
      <c r="G98" s="57">
        <f t="shared" si="3"/>
        <v>0.30548993978364392</v>
      </c>
      <c r="H98" s="174"/>
      <c r="I98" s="174"/>
      <c r="J98" s="174"/>
      <c r="K98" s="240"/>
      <c r="L98" s="240">
        <f t="shared" si="8"/>
        <v>0.24644566154952852</v>
      </c>
      <c r="M98" s="240"/>
    </row>
    <row r="99" spans="1:13" x14ac:dyDescent="0.2">
      <c r="A99" s="174">
        <v>42917</v>
      </c>
      <c r="B99" s="144">
        <v>27</v>
      </c>
      <c r="C99" s="526">
        <v>91404</v>
      </c>
      <c r="D99" s="240">
        <f t="shared" si="9"/>
        <v>0.29539188656951554</v>
      </c>
      <c r="E99" s="174"/>
      <c r="F99" s="174"/>
      <c r="G99" s="57">
        <f t="shared" si="3"/>
        <v>0.30548993978364392</v>
      </c>
      <c r="H99" s="174"/>
      <c r="I99" s="174"/>
      <c r="J99" s="174"/>
      <c r="K99" s="240"/>
      <c r="L99" s="240">
        <f t="shared" si="8"/>
        <v>0.24644566154952852</v>
      </c>
      <c r="M99" s="240"/>
    </row>
    <row r="100" spans="1:13" x14ac:dyDescent="0.2">
      <c r="A100" s="174">
        <v>42948</v>
      </c>
      <c r="B100" s="144">
        <v>19</v>
      </c>
      <c r="C100" s="526">
        <v>92426</v>
      </c>
      <c r="D100" s="240">
        <f t="shared" si="9"/>
        <v>0.20556986129444096</v>
      </c>
      <c r="E100" s="174"/>
      <c r="F100" s="174"/>
      <c r="G100" s="57">
        <f t="shared" si="3"/>
        <v>0.30548993978364392</v>
      </c>
      <c r="H100" s="174"/>
      <c r="I100" s="174"/>
      <c r="J100" s="174"/>
      <c r="K100" s="240"/>
      <c r="L100" s="240">
        <f>MEDIAN($D$92:$D$103)</f>
        <v>0.24644566154952852</v>
      </c>
      <c r="M100" s="240"/>
    </row>
    <row r="101" spans="1:13" x14ac:dyDescent="0.2">
      <c r="A101" s="174">
        <v>42979</v>
      </c>
      <c r="B101" s="144">
        <v>18</v>
      </c>
      <c r="C101" s="526">
        <v>89373</v>
      </c>
      <c r="D101" s="240">
        <f t="shared" si="9"/>
        <v>0.20140310832130509</v>
      </c>
      <c r="E101" s="174"/>
      <c r="F101" s="174"/>
      <c r="G101" s="57">
        <f t="shared" ref="G101:G119" si="10">$E$12*0.8</f>
        <v>0.30548993978364392</v>
      </c>
      <c r="H101" s="174"/>
      <c r="I101" s="174"/>
      <c r="J101" s="174"/>
      <c r="K101" s="174"/>
      <c r="L101" s="240">
        <f>MEDIAN($D$92:$D$103)</f>
        <v>0.24644566154952852</v>
      </c>
      <c r="M101" s="174"/>
    </row>
    <row r="102" spans="1:13" x14ac:dyDescent="0.2">
      <c r="A102" s="174">
        <v>43009</v>
      </c>
      <c r="B102" s="144">
        <v>23</v>
      </c>
      <c r="C102" s="526">
        <v>95032</v>
      </c>
      <c r="D102" s="240">
        <f t="shared" si="9"/>
        <v>0.242023739372001</v>
      </c>
      <c r="E102" s="174"/>
      <c r="F102" s="174"/>
      <c r="G102" s="57">
        <f t="shared" si="10"/>
        <v>0.30548993978364392</v>
      </c>
      <c r="H102" s="174"/>
      <c r="I102" s="174"/>
      <c r="J102" s="174"/>
      <c r="K102" s="174"/>
      <c r="L102" s="240">
        <f>MEDIAN($D$92:$D$103)</f>
        <v>0.24644566154952852</v>
      </c>
      <c r="M102" s="174"/>
    </row>
    <row r="103" spans="1:13" x14ac:dyDescent="0.2">
      <c r="A103" s="174">
        <v>43040</v>
      </c>
      <c r="B103" s="144">
        <v>18</v>
      </c>
      <c r="C103" s="526">
        <v>90883</v>
      </c>
      <c r="D103" s="240">
        <f t="shared" si="9"/>
        <v>0.19805684231374404</v>
      </c>
      <c r="E103" s="174"/>
      <c r="F103" s="174"/>
      <c r="G103" s="57">
        <f t="shared" si="10"/>
        <v>0.30548993978364392</v>
      </c>
      <c r="H103" s="174"/>
      <c r="I103" s="174"/>
      <c r="J103" s="174"/>
      <c r="K103" s="174"/>
      <c r="L103" s="240">
        <f>MEDIAN($D$92:$D$103)</f>
        <v>0.24644566154952852</v>
      </c>
      <c r="M103" s="240"/>
    </row>
    <row r="104" spans="1:13" x14ac:dyDescent="0.2">
      <c r="A104" s="174">
        <v>43070</v>
      </c>
      <c r="B104" s="144">
        <v>28</v>
      </c>
      <c r="C104" s="526">
        <v>92968</v>
      </c>
      <c r="D104" s="240">
        <f t="shared" si="9"/>
        <v>0.30117890026675848</v>
      </c>
      <c r="E104" s="174"/>
      <c r="F104" s="174"/>
      <c r="G104" s="57">
        <f t="shared" si="10"/>
        <v>0.30548993978364392</v>
      </c>
      <c r="H104" s="174"/>
      <c r="I104" s="174"/>
      <c r="J104" s="174"/>
      <c r="K104" s="174"/>
      <c r="L104" s="240"/>
      <c r="M104" s="240">
        <f>MEDIAN($D$92:$D$103)</f>
        <v>0.24644566154952852</v>
      </c>
    </row>
    <row r="105" spans="1:13" x14ac:dyDescent="0.2">
      <c r="A105" s="174"/>
      <c r="B105" s="144"/>
      <c r="C105" s="526"/>
      <c r="D105" s="240"/>
      <c r="E105" s="174"/>
      <c r="F105" s="174"/>
      <c r="G105" s="57">
        <f t="shared" si="10"/>
        <v>0.30548993978364392</v>
      </c>
      <c r="H105" s="174"/>
      <c r="I105" s="174"/>
      <c r="J105" s="174"/>
      <c r="K105" s="174"/>
      <c r="L105" s="174"/>
      <c r="M105" s="174"/>
    </row>
    <row r="106" spans="1:13" x14ac:dyDescent="0.2">
      <c r="A106" s="174"/>
      <c r="B106" s="144"/>
      <c r="C106" s="526"/>
      <c r="D106" s="240"/>
      <c r="E106" s="174"/>
      <c r="F106" s="174"/>
      <c r="G106" s="57">
        <f t="shared" si="10"/>
        <v>0.30548993978364392</v>
      </c>
      <c r="H106" s="174"/>
      <c r="I106" s="174"/>
      <c r="J106" s="174"/>
      <c r="K106" s="174"/>
      <c r="L106" s="174"/>
      <c r="M106" s="174"/>
    </row>
    <row r="107" spans="1:13" x14ac:dyDescent="0.2">
      <c r="A107" s="174"/>
      <c r="B107" s="144"/>
      <c r="C107" s="526"/>
      <c r="D107" s="240"/>
      <c r="E107" s="174"/>
      <c r="F107" s="174"/>
      <c r="G107" s="57">
        <f t="shared" si="10"/>
        <v>0.30548993978364392</v>
      </c>
      <c r="H107" s="174"/>
      <c r="I107" s="174"/>
      <c r="J107" s="174"/>
      <c r="K107" s="174"/>
      <c r="L107" s="174"/>
      <c r="M107" s="174"/>
    </row>
    <row r="108" spans="1:13" x14ac:dyDescent="0.2">
      <c r="A108" s="174"/>
      <c r="B108" s="144"/>
      <c r="C108" s="526"/>
      <c r="D108" s="240"/>
      <c r="E108" s="174"/>
      <c r="F108" s="174"/>
      <c r="G108" s="57">
        <f t="shared" si="10"/>
        <v>0.30548993978364392</v>
      </c>
      <c r="H108" s="174"/>
      <c r="I108" s="174"/>
      <c r="J108" s="174"/>
      <c r="K108" s="174"/>
      <c r="L108" s="174"/>
      <c r="M108" s="174"/>
    </row>
    <row r="109" spans="1:13" x14ac:dyDescent="0.2">
      <c r="A109" s="174"/>
      <c r="B109" s="144"/>
      <c r="C109" s="526"/>
      <c r="D109" s="240"/>
      <c r="E109" s="174"/>
      <c r="F109" s="174"/>
      <c r="G109" s="57">
        <f t="shared" si="10"/>
        <v>0.30548993978364392</v>
      </c>
      <c r="H109" s="174"/>
      <c r="I109" s="174"/>
      <c r="J109" s="174"/>
      <c r="K109" s="174"/>
      <c r="L109" s="174"/>
      <c r="M109" s="174"/>
    </row>
    <row r="110" spans="1:13" x14ac:dyDescent="0.2">
      <c r="A110" s="174"/>
      <c r="B110" s="144"/>
      <c r="C110" s="526"/>
      <c r="D110" s="240"/>
      <c r="E110" s="174"/>
      <c r="F110" s="174"/>
      <c r="G110" s="57">
        <f t="shared" si="10"/>
        <v>0.30548993978364392</v>
      </c>
      <c r="H110" s="174"/>
      <c r="I110" s="174"/>
      <c r="J110" s="174"/>
      <c r="K110" s="174"/>
      <c r="L110" s="174"/>
      <c r="M110" s="174"/>
    </row>
    <row r="111" spans="1:13" x14ac:dyDescent="0.2">
      <c r="A111" s="174"/>
      <c r="B111" s="144"/>
      <c r="C111" s="526"/>
      <c r="D111" s="240"/>
      <c r="E111" s="174"/>
      <c r="F111" s="174"/>
      <c r="G111" s="57">
        <f t="shared" si="10"/>
        <v>0.30548993978364392</v>
      </c>
      <c r="H111" s="174"/>
      <c r="I111" s="174"/>
      <c r="J111" s="174"/>
      <c r="K111" s="174"/>
      <c r="L111" s="174"/>
      <c r="M111" s="174"/>
    </row>
    <row r="112" spans="1:13" x14ac:dyDescent="0.2">
      <c r="A112" s="174"/>
      <c r="B112" s="144"/>
      <c r="C112" s="526"/>
      <c r="D112" s="240"/>
      <c r="E112" s="174"/>
      <c r="F112" s="174"/>
      <c r="G112" s="57">
        <f t="shared" si="10"/>
        <v>0.30548993978364392</v>
      </c>
      <c r="H112" s="174"/>
      <c r="I112" s="174"/>
      <c r="J112" s="174"/>
      <c r="K112" s="174"/>
      <c r="L112" s="174"/>
      <c r="M112" s="174"/>
    </row>
    <row r="113" spans="1:13" x14ac:dyDescent="0.2">
      <c r="A113" s="174"/>
      <c r="B113" s="144"/>
      <c r="C113" s="526"/>
      <c r="D113" s="240"/>
      <c r="E113" s="174"/>
      <c r="F113" s="174"/>
      <c r="G113" s="57">
        <f t="shared" si="10"/>
        <v>0.30548993978364392</v>
      </c>
      <c r="H113" s="174"/>
      <c r="I113" s="174"/>
      <c r="J113" s="174"/>
      <c r="K113" s="174"/>
      <c r="L113" s="174"/>
      <c r="M113" s="174"/>
    </row>
    <row r="114" spans="1:13" x14ac:dyDescent="0.2">
      <c r="A114" s="174"/>
      <c r="B114" s="144"/>
      <c r="C114" s="526"/>
      <c r="D114" s="240"/>
      <c r="E114" s="174"/>
      <c r="F114" s="174"/>
      <c r="G114" s="57">
        <f t="shared" si="10"/>
        <v>0.30548993978364392</v>
      </c>
      <c r="H114" s="174"/>
      <c r="I114" s="174"/>
      <c r="J114" s="174"/>
      <c r="K114" s="174"/>
      <c r="L114" s="174"/>
      <c r="M114" s="174"/>
    </row>
    <row r="115" spans="1:13" x14ac:dyDescent="0.2">
      <c r="A115" s="174"/>
      <c r="B115" s="144"/>
      <c r="C115" s="526"/>
      <c r="D115" s="240"/>
      <c r="E115" s="174"/>
      <c r="F115" s="174"/>
      <c r="G115" s="57">
        <f t="shared" si="10"/>
        <v>0.30548993978364392</v>
      </c>
      <c r="H115" s="174"/>
      <c r="I115" s="174"/>
      <c r="J115" s="174"/>
      <c r="K115" s="174"/>
      <c r="L115" s="174"/>
      <c r="M115" s="174"/>
    </row>
    <row r="116" spans="1:13" x14ac:dyDescent="0.2">
      <c r="A116" s="174"/>
      <c r="B116" s="144"/>
      <c r="C116" s="526"/>
      <c r="D116" s="240"/>
      <c r="E116" s="174"/>
      <c r="F116" s="174"/>
      <c r="G116" s="57">
        <f t="shared" si="10"/>
        <v>0.30548993978364392</v>
      </c>
      <c r="H116" s="174"/>
      <c r="I116" s="174"/>
      <c r="J116" s="174"/>
      <c r="K116" s="174"/>
      <c r="L116" s="174"/>
      <c r="M116" s="174"/>
    </row>
    <row r="117" spans="1:13" x14ac:dyDescent="0.2">
      <c r="A117" s="174"/>
      <c r="B117" s="144"/>
      <c r="C117" s="526"/>
      <c r="D117" s="240"/>
      <c r="E117" s="174"/>
      <c r="F117" s="174"/>
      <c r="G117" s="57">
        <f t="shared" si="10"/>
        <v>0.30548993978364392</v>
      </c>
      <c r="H117" s="174"/>
      <c r="I117" s="174"/>
      <c r="J117" s="174"/>
      <c r="K117" s="174"/>
      <c r="L117" s="174"/>
      <c r="M117" s="174"/>
    </row>
    <row r="118" spans="1:13" x14ac:dyDescent="0.2">
      <c r="A118" s="174"/>
      <c r="B118" s="144"/>
      <c r="C118" s="526"/>
      <c r="D118" s="240"/>
      <c r="E118" s="174"/>
      <c r="F118" s="174"/>
      <c r="G118" s="57">
        <f t="shared" si="10"/>
        <v>0.30548993978364392</v>
      </c>
      <c r="H118" s="174"/>
      <c r="I118" s="174"/>
      <c r="J118" s="174"/>
      <c r="K118" s="174"/>
      <c r="L118" s="174"/>
      <c r="M118" s="174"/>
    </row>
    <row r="119" spans="1:13" x14ac:dyDescent="0.2">
      <c r="A119" s="174"/>
      <c r="B119" s="144"/>
      <c r="C119" s="526"/>
      <c r="D119" s="240"/>
      <c r="E119" s="174"/>
      <c r="F119" s="174"/>
      <c r="G119" s="57">
        <f t="shared" si="10"/>
        <v>0.30548993978364392</v>
      </c>
      <c r="H119" s="174"/>
      <c r="I119" s="174"/>
      <c r="J119" s="174"/>
      <c r="K119" s="174"/>
      <c r="L119" s="174"/>
      <c r="M119" s="174"/>
    </row>
  </sheetData>
  <phoneticPr fontId="0" type="noConversion"/>
  <dataValidations count="4">
    <dataValidation type="date" showInputMessage="1" showErrorMessage="1" errorTitle="Incorrect Date Entered" error="You have either entered a date in the wrong format, use dd/mm/yy; or entered a date earlier than 01/01/03." sqref="B98:C119 E96:F119 H96:J119 A12:A119 K101:K119 M101:M102 L105:M119">
      <formula1>37622</formula1>
      <formula2>NOW()</formula2>
    </dataValidation>
    <dataValidation type="textLength" showInputMessage="1" showErrorMessage="1" errorTitle="NO TEXT ENTERED" error="Text required to provide titles for chart" promptTitle="Cell Function:" prompt="Y-Axis Title" sqref="D11">
      <formula1>1</formula1>
      <formula2>250</formula2>
    </dataValidation>
    <dataValidation type="textLength" showErrorMessage="1" errorTitle="NO TEXT ENTERED" error="Text required to provide titles for chart" sqref="B11:C11">
      <formula1>1</formula1>
      <formula2>250</formula2>
    </dataValidation>
    <dataValidation type="textLength" showInputMessage="1" showErrorMessage="1" errorTitle="NO TEXT ENTERED" error="Text required to provide titles for chart" promptTitle="Cell Function:" prompt="X-Axis Title" sqref="A11">
      <formula1>1</formula1>
      <formula2>250</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50" fitToHeight="4" orientation="landscape" copies="19"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AA26"/>
  <sheetViews>
    <sheetView workbookViewId="0"/>
  </sheetViews>
  <sheetFormatPr defaultColWidth="9.140625" defaultRowHeight="12.75" x14ac:dyDescent="0.2"/>
  <cols>
    <col min="1" max="1" width="26" style="107" bestFit="1" customWidth="1"/>
    <col min="2" max="6" width="9.140625" style="107"/>
    <col min="7" max="8" width="7.5703125" style="107" customWidth="1"/>
    <col min="9" max="10" width="7.5703125" style="107" bestFit="1" customWidth="1"/>
    <col min="11" max="16384" width="9.140625" style="107"/>
  </cols>
  <sheetData>
    <row r="1" spans="1:27" x14ac:dyDescent="0.2">
      <c r="A1" s="106" t="s">
        <v>345</v>
      </c>
    </row>
    <row r="3" spans="1:27" x14ac:dyDescent="0.2">
      <c r="A3" s="108" t="s">
        <v>436</v>
      </c>
      <c r="B3" s="1077" t="s">
        <v>573</v>
      </c>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row>
    <row r="4" spans="1:27" x14ac:dyDescent="0.2">
      <c r="A4" s="108"/>
      <c r="B4" s="643" t="s">
        <v>574</v>
      </c>
      <c r="C4" s="642"/>
      <c r="D4" s="642"/>
      <c r="E4" s="642"/>
      <c r="F4" s="642"/>
      <c r="G4" s="642"/>
      <c r="H4" s="642"/>
      <c r="I4" s="642"/>
      <c r="J4" s="642"/>
      <c r="K4" s="642"/>
      <c r="L4" s="642"/>
      <c r="M4" s="642"/>
      <c r="N4" s="642"/>
      <c r="O4" s="642"/>
      <c r="P4" s="642"/>
      <c r="Q4" s="642"/>
      <c r="R4" s="642"/>
      <c r="S4" s="642"/>
      <c r="T4" s="642"/>
      <c r="U4" s="642"/>
      <c r="V4" s="642"/>
      <c r="W4" s="642"/>
      <c r="X4" s="642"/>
      <c r="Y4" s="642"/>
      <c r="Z4" s="642"/>
      <c r="AA4" s="642"/>
    </row>
    <row r="5" spans="1:27" x14ac:dyDescent="0.2">
      <c r="A5" s="108"/>
      <c r="B5" s="643" t="s">
        <v>575</v>
      </c>
      <c r="C5" s="642"/>
      <c r="D5" s="642"/>
      <c r="E5" s="642"/>
      <c r="F5" s="642"/>
      <c r="G5" s="642"/>
      <c r="H5" s="642"/>
      <c r="I5" s="642"/>
      <c r="J5" s="642"/>
      <c r="K5" s="642"/>
      <c r="L5" s="642"/>
      <c r="M5" s="642"/>
      <c r="N5" s="642"/>
      <c r="O5" s="642"/>
      <c r="P5" s="642"/>
      <c r="Q5" s="642"/>
      <c r="R5" s="642"/>
      <c r="S5" s="642"/>
      <c r="T5" s="642"/>
      <c r="U5" s="642"/>
      <c r="V5" s="642"/>
      <c r="W5" s="642"/>
      <c r="X5" s="642"/>
      <c r="Y5" s="642"/>
      <c r="Z5" s="642"/>
      <c r="AA5" s="642"/>
    </row>
    <row r="6" spans="1:27" ht="25.5" x14ac:dyDescent="0.2">
      <c r="A6" s="249" t="s">
        <v>145</v>
      </c>
      <c r="B6" s="126">
        <v>0.91492099999999998</v>
      </c>
    </row>
    <row r="7" spans="1:27" ht="25.5" x14ac:dyDescent="0.2">
      <c r="A7" s="249" t="s">
        <v>146</v>
      </c>
      <c r="B7" s="126">
        <v>0.74836999999999998</v>
      </c>
    </row>
    <row r="8" spans="1:27" x14ac:dyDescent="0.2">
      <c r="A8" s="108" t="s">
        <v>118</v>
      </c>
      <c r="B8" s="112" t="s">
        <v>68</v>
      </c>
    </row>
    <row r="9" spans="1:27" x14ac:dyDescent="0.2">
      <c r="A9" s="108" t="s">
        <v>196</v>
      </c>
      <c r="B9" s="112"/>
    </row>
    <row r="10" spans="1:27" x14ac:dyDescent="0.2">
      <c r="A10" s="108" t="s">
        <v>202</v>
      </c>
      <c r="B10" s="112" t="s">
        <v>176</v>
      </c>
    </row>
    <row r="11" spans="1:27" x14ac:dyDescent="0.2">
      <c r="A11" s="108" t="s">
        <v>438</v>
      </c>
      <c r="B11" s="112">
        <v>2018</v>
      </c>
    </row>
    <row r="12" spans="1:27" ht="25.5" x14ac:dyDescent="0.2">
      <c r="A12" s="250" t="s">
        <v>717</v>
      </c>
      <c r="B12" s="129" t="s">
        <v>81</v>
      </c>
    </row>
    <row r="13" spans="1:27" ht="25.5" x14ac:dyDescent="0.2">
      <c r="A13" s="250" t="s">
        <v>718</v>
      </c>
      <c r="B13" s="129" t="s">
        <v>81</v>
      </c>
    </row>
    <row r="14" spans="1:27" x14ac:dyDescent="0.2">
      <c r="A14" s="127" t="s">
        <v>144</v>
      </c>
      <c r="B14" s="128" t="s">
        <v>68</v>
      </c>
    </row>
    <row r="15" spans="1:27" x14ac:dyDescent="0.2">
      <c r="A15" s="127"/>
      <c r="B15" s="128"/>
    </row>
    <row r="16" spans="1:27" x14ac:dyDescent="0.2">
      <c r="A16" s="361" t="s">
        <v>1</v>
      </c>
      <c r="G16" s="361"/>
    </row>
    <row r="17" spans="1:5" x14ac:dyDescent="0.2">
      <c r="A17" s="136"/>
      <c r="B17" s="125" t="s">
        <v>66</v>
      </c>
      <c r="C17" s="125" t="s">
        <v>67</v>
      </c>
      <c r="D17" s="125" t="s">
        <v>68</v>
      </c>
    </row>
    <row r="18" spans="1:5" x14ac:dyDescent="0.2">
      <c r="A18" s="158" t="s">
        <v>369</v>
      </c>
      <c r="B18" s="247">
        <v>0.92599999999999993</v>
      </c>
      <c r="C18" s="247">
        <v>0.92400000000000004</v>
      </c>
      <c r="D18" s="247">
        <v>0.91799999999999993</v>
      </c>
    </row>
    <row r="19" spans="1:5" x14ac:dyDescent="0.2">
      <c r="A19" s="158" t="s">
        <v>370</v>
      </c>
      <c r="B19" s="549">
        <v>0.91799999999999993</v>
      </c>
      <c r="C19" s="549">
        <v>0.92400000000000004</v>
      </c>
      <c r="D19" s="549">
        <v>0.91492099999999998</v>
      </c>
    </row>
    <row r="20" spans="1:5" x14ac:dyDescent="0.2">
      <c r="A20" s="58" t="s">
        <v>317</v>
      </c>
      <c r="B20" s="251">
        <v>0.9</v>
      </c>
      <c r="C20" s="251">
        <v>0.9</v>
      </c>
      <c r="D20" s="251">
        <v>0.9</v>
      </c>
      <c r="E20" s="196"/>
    </row>
    <row r="22" spans="1:5" x14ac:dyDescent="0.2">
      <c r="A22" s="361" t="s">
        <v>69</v>
      </c>
    </row>
    <row r="23" spans="1:5" x14ac:dyDescent="0.2">
      <c r="A23" s="245"/>
      <c r="B23" s="246" t="s">
        <v>66</v>
      </c>
      <c r="C23" s="246" t="s">
        <v>67</v>
      </c>
      <c r="D23" s="246" t="s">
        <v>68</v>
      </c>
    </row>
    <row r="24" spans="1:5" x14ac:dyDescent="0.2">
      <c r="A24" s="158" t="s">
        <v>369</v>
      </c>
      <c r="B24" s="248">
        <v>0.79599999999999993</v>
      </c>
      <c r="C24" s="247">
        <v>0.78099999999999992</v>
      </c>
      <c r="D24" s="247">
        <v>0.76400000000000001</v>
      </c>
    </row>
    <row r="25" spans="1:5" x14ac:dyDescent="0.2">
      <c r="A25" s="158" t="s">
        <v>370</v>
      </c>
      <c r="B25" s="549">
        <v>0.8</v>
      </c>
      <c r="C25" s="549">
        <v>0.76700000000000002</v>
      </c>
      <c r="D25" s="549">
        <v>0.74836999999999998</v>
      </c>
    </row>
    <row r="26" spans="1:5" x14ac:dyDescent="0.2">
      <c r="A26" s="252" t="s">
        <v>317</v>
      </c>
      <c r="B26" s="253">
        <v>0.9</v>
      </c>
      <c r="C26" s="253">
        <v>0.9</v>
      </c>
      <c r="D26" s="253">
        <v>0.9</v>
      </c>
    </row>
  </sheetData>
  <mergeCells count="1">
    <mergeCell ref="B3:AA3"/>
  </mergeCells>
  <phoneticPr fontId="0" type="noConversion"/>
  <hyperlinks>
    <hyperlink ref="A1" location="Content!A1" display="Return to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C109"/>
  <sheetViews>
    <sheetView workbookViewId="0"/>
  </sheetViews>
  <sheetFormatPr defaultColWidth="9.140625" defaultRowHeight="12.75" x14ac:dyDescent="0.2"/>
  <cols>
    <col min="1" max="1" width="24.42578125" style="107" bestFit="1" customWidth="1"/>
    <col min="2" max="2" width="9.28515625" style="107" customWidth="1"/>
    <col min="3" max="3" width="11.28515625" style="107" bestFit="1" customWidth="1"/>
    <col min="4" max="4" width="7" style="107" customWidth="1"/>
    <col min="5" max="5" width="11.28515625" style="107" customWidth="1"/>
    <col min="6" max="6" width="5.140625" style="107" customWidth="1"/>
    <col min="7" max="7" width="6.85546875" style="107" customWidth="1"/>
    <col min="8" max="8" width="9.85546875" style="107" bestFit="1" customWidth="1"/>
    <col min="9" max="9" width="8.85546875" style="256" bestFit="1" customWidth="1"/>
    <col min="10" max="10" width="9.5703125" style="256" bestFit="1" customWidth="1"/>
    <col min="11" max="11" width="7.7109375" style="256" bestFit="1" customWidth="1"/>
    <col min="12" max="12" width="9.5703125" style="256" bestFit="1" customWidth="1"/>
    <col min="13" max="13" width="9.28515625" style="256" bestFit="1" customWidth="1"/>
    <col min="14" max="14" width="9.5703125" style="256" bestFit="1" customWidth="1"/>
    <col min="15" max="16" width="9.5703125" style="256" customWidth="1"/>
    <col min="17" max="16384" width="9.140625" style="107"/>
  </cols>
  <sheetData>
    <row r="1" spans="1:16" x14ac:dyDescent="0.2">
      <c r="A1" s="283" t="s">
        <v>345</v>
      </c>
    </row>
    <row r="2" spans="1:16" x14ac:dyDescent="0.2">
      <c r="A2" s="106"/>
    </row>
    <row r="3" spans="1:16" x14ac:dyDescent="0.2">
      <c r="A3" s="108" t="s">
        <v>436</v>
      </c>
      <c r="B3" s="145" t="s">
        <v>51</v>
      </c>
    </row>
    <row r="4" spans="1:16" x14ac:dyDescent="0.2">
      <c r="A4" s="108" t="s">
        <v>149</v>
      </c>
      <c r="B4" s="112">
        <f>VLOOKUP(MAX(A11:A82),A11:F82,3,0)</f>
        <v>132</v>
      </c>
    </row>
    <row r="5" spans="1:16" x14ac:dyDescent="0.2">
      <c r="A5" s="108" t="s">
        <v>150</v>
      </c>
      <c r="B5" s="175">
        <f>VLOOKUP(MAX(A11:A82),A11:F82,6,0)</f>
        <v>0.22138476168433552</v>
      </c>
    </row>
    <row r="6" spans="1:16" x14ac:dyDescent="0.2">
      <c r="A6" s="108" t="s">
        <v>118</v>
      </c>
      <c r="B6" s="128">
        <f>MAX(A11:A82)</f>
        <v>43070</v>
      </c>
    </row>
    <row r="7" spans="1:16" x14ac:dyDescent="0.2">
      <c r="A7" s="108" t="s">
        <v>195</v>
      </c>
      <c r="B7" s="128"/>
    </row>
    <row r="8" spans="1:16" x14ac:dyDescent="0.2">
      <c r="A8" s="108" t="s">
        <v>438</v>
      </c>
      <c r="B8" s="162" t="s">
        <v>138</v>
      </c>
    </row>
    <row r="10" spans="1:16" ht="38.25" x14ac:dyDescent="0.2">
      <c r="A10" s="3" t="s">
        <v>432</v>
      </c>
      <c r="B10" s="4" t="s">
        <v>433</v>
      </c>
      <c r="C10" s="185" t="s">
        <v>147</v>
      </c>
      <c r="D10" s="185" t="s">
        <v>183</v>
      </c>
      <c r="E10" s="185" t="s">
        <v>184</v>
      </c>
      <c r="F10" s="254" t="s">
        <v>148</v>
      </c>
      <c r="G10" s="185" t="s">
        <v>513</v>
      </c>
      <c r="H10" s="645" t="s">
        <v>578</v>
      </c>
      <c r="I10" s="173" t="s">
        <v>130</v>
      </c>
      <c r="J10" s="173" t="s">
        <v>178</v>
      </c>
      <c r="K10" s="173" t="s">
        <v>303</v>
      </c>
      <c r="L10" s="173" t="s">
        <v>304</v>
      </c>
      <c r="M10" s="173" t="s">
        <v>305</v>
      </c>
      <c r="N10" s="173" t="s">
        <v>506</v>
      </c>
      <c r="O10" s="173" t="s">
        <v>507</v>
      </c>
      <c r="P10" s="107"/>
    </row>
    <row r="11" spans="1:16" x14ac:dyDescent="0.2">
      <c r="A11" s="809">
        <v>41365</v>
      </c>
      <c r="B11" s="810">
        <v>42</v>
      </c>
      <c r="C11" s="257">
        <f>B11</f>
        <v>42</v>
      </c>
      <c r="D11" s="257">
        <f>D13/3</f>
        <v>68149</v>
      </c>
      <c r="E11" s="257">
        <f>D11</f>
        <v>68149</v>
      </c>
      <c r="F11" s="418">
        <f t="shared" ref="F11:F52" si="0">C11/E11*1000</f>
        <v>0.61629664411803553</v>
      </c>
      <c r="G11" s="418">
        <v>0.32</v>
      </c>
      <c r="H11" s="418">
        <f>(313/12)</f>
        <v>26.083333333333332</v>
      </c>
      <c r="I11" s="144">
        <f>MEDIAN($B$11:$B$22)</f>
        <v>35.5</v>
      </c>
      <c r="J11" s="144"/>
      <c r="K11" s="144"/>
      <c r="L11" s="144"/>
      <c r="M11" s="144"/>
      <c r="N11" s="144"/>
      <c r="O11" s="144"/>
      <c r="P11" s="107"/>
    </row>
    <row r="12" spans="1:16" x14ac:dyDescent="0.2">
      <c r="A12" s="809">
        <v>41395</v>
      </c>
      <c r="B12" s="810">
        <v>25</v>
      </c>
      <c r="C12" s="257">
        <f t="shared" ref="C12:C22" si="1">C11+B12</f>
        <v>67</v>
      </c>
      <c r="D12" s="257">
        <f>D13/3*2</f>
        <v>136298</v>
      </c>
      <c r="E12" s="257">
        <f>D12</f>
        <v>136298</v>
      </c>
      <c r="F12" s="418">
        <f t="shared" si="0"/>
        <v>0.4915699423322426</v>
      </c>
      <c r="G12" s="418">
        <v>0.32</v>
      </c>
      <c r="H12" s="418">
        <f t="shared" ref="H12:H22" si="2">(313/12)</f>
        <v>26.083333333333332</v>
      </c>
      <c r="I12" s="144">
        <f t="shared" ref="I12:J27" si="3">MEDIAN($B$11:$B$22)</f>
        <v>35.5</v>
      </c>
      <c r="J12" s="144"/>
      <c r="K12" s="144"/>
      <c r="L12" s="144"/>
      <c r="M12" s="144"/>
      <c r="N12" s="144"/>
      <c r="O12" s="144"/>
      <c r="P12" s="107"/>
    </row>
    <row r="13" spans="1:16" x14ac:dyDescent="0.2">
      <c r="A13" s="809">
        <v>41426</v>
      </c>
      <c r="B13" s="810">
        <v>37</v>
      </c>
      <c r="C13" s="257">
        <f t="shared" si="1"/>
        <v>104</v>
      </c>
      <c r="D13" s="257">
        <v>204447</v>
      </c>
      <c r="E13" s="257">
        <f>D13</f>
        <v>204447</v>
      </c>
      <c r="F13" s="418">
        <f t="shared" si="0"/>
        <v>0.5086892935577435</v>
      </c>
      <c r="G13" s="418">
        <v>0.32</v>
      </c>
      <c r="H13" s="418">
        <f t="shared" si="2"/>
        <v>26.083333333333332</v>
      </c>
      <c r="I13" s="144">
        <f t="shared" si="3"/>
        <v>35.5</v>
      </c>
      <c r="J13" s="144"/>
      <c r="K13" s="144"/>
      <c r="L13" s="144"/>
      <c r="M13" s="144"/>
      <c r="N13" s="144"/>
      <c r="O13" s="144"/>
      <c r="P13" s="107"/>
    </row>
    <row r="14" spans="1:16" x14ac:dyDescent="0.2">
      <c r="A14" s="809">
        <v>41456</v>
      </c>
      <c r="B14" s="810">
        <v>34</v>
      </c>
      <c r="C14" s="257">
        <f t="shared" si="1"/>
        <v>138</v>
      </c>
      <c r="D14" s="257">
        <f>D16/3</f>
        <v>67194</v>
      </c>
      <c r="E14" s="257">
        <f>E13+D14</f>
        <v>271641</v>
      </c>
      <c r="F14" s="418">
        <f t="shared" si="0"/>
        <v>0.50802345743094746</v>
      </c>
      <c r="G14" s="418">
        <v>0.32</v>
      </c>
      <c r="H14" s="418">
        <f t="shared" si="2"/>
        <v>26.083333333333332</v>
      </c>
      <c r="I14" s="144">
        <f t="shared" si="3"/>
        <v>35.5</v>
      </c>
      <c r="J14" s="144"/>
      <c r="K14" s="144"/>
      <c r="L14" s="144"/>
      <c r="M14" s="144"/>
      <c r="N14" s="144"/>
      <c r="O14" s="144"/>
      <c r="P14" s="107"/>
    </row>
    <row r="15" spans="1:16" x14ac:dyDescent="0.2">
      <c r="A15" s="809">
        <v>41487</v>
      </c>
      <c r="B15" s="810">
        <v>39</v>
      </c>
      <c r="C15" s="257">
        <f t="shared" si="1"/>
        <v>177</v>
      </c>
      <c r="D15" s="257">
        <f>D16/3*2</f>
        <v>134388</v>
      </c>
      <c r="E15" s="257">
        <f>E13+D15</f>
        <v>338835</v>
      </c>
      <c r="F15" s="418">
        <f t="shared" si="0"/>
        <v>0.52237814865642573</v>
      </c>
      <c r="G15" s="418">
        <v>0.32</v>
      </c>
      <c r="H15" s="418">
        <f t="shared" si="2"/>
        <v>26.083333333333332</v>
      </c>
      <c r="I15" s="144">
        <f t="shared" si="3"/>
        <v>35.5</v>
      </c>
      <c r="J15" s="144"/>
      <c r="K15" s="144"/>
      <c r="L15" s="144"/>
      <c r="M15" s="144"/>
      <c r="N15" s="144"/>
      <c r="O15" s="144"/>
      <c r="P15" s="107"/>
    </row>
    <row r="16" spans="1:16" x14ac:dyDescent="0.2">
      <c r="A16" s="809">
        <v>41518</v>
      </c>
      <c r="B16" s="810">
        <v>38</v>
      </c>
      <c r="C16" s="257">
        <f t="shared" si="1"/>
        <v>215</v>
      </c>
      <c r="D16" s="257">
        <v>201582</v>
      </c>
      <c r="E16" s="257">
        <f>E13+D16</f>
        <v>406029</v>
      </c>
      <c r="F16" s="418">
        <f t="shared" si="0"/>
        <v>0.52951882747291446</v>
      </c>
      <c r="G16" s="418">
        <v>0.32</v>
      </c>
      <c r="H16" s="418">
        <f t="shared" si="2"/>
        <v>26.083333333333332</v>
      </c>
      <c r="I16" s="144">
        <f t="shared" si="3"/>
        <v>35.5</v>
      </c>
      <c r="J16" s="144"/>
      <c r="K16" s="144"/>
      <c r="L16" s="144"/>
      <c r="M16" s="144"/>
      <c r="N16" s="144"/>
      <c r="O16" s="144"/>
      <c r="P16" s="107"/>
    </row>
    <row r="17" spans="1:29" x14ac:dyDescent="0.2">
      <c r="A17" s="809">
        <v>41548</v>
      </c>
      <c r="B17" s="810">
        <v>52</v>
      </c>
      <c r="C17" s="257">
        <f t="shared" si="1"/>
        <v>267</v>
      </c>
      <c r="D17" s="257">
        <f>D19/3</f>
        <v>68029</v>
      </c>
      <c r="E17" s="257">
        <f>E16+D17</f>
        <v>474058</v>
      </c>
      <c r="F17" s="418">
        <f t="shared" si="0"/>
        <v>0.56322222175345638</v>
      </c>
      <c r="G17" s="418">
        <v>0.32</v>
      </c>
      <c r="H17" s="418">
        <f t="shared" si="2"/>
        <v>26.083333333333332</v>
      </c>
      <c r="I17" s="144">
        <f t="shared" si="3"/>
        <v>35.5</v>
      </c>
      <c r="J17" s="144"/>
      <c r="K17" s="144"/>
      <c r="L17" s="144"/>
      <c r="M17" s="144"/>
      <c r="N17" s="144"/>
      <c r="O17" s="144"/>
      <c r="P17" s="107"/>
    </row>
    <row r="18" spans="1:29" x14ac:dyDescent="0.2">
      <c r="A18" s="809">
        <v>41579</v>
      </c>
      <c r="B18" s="810">
        <v>34</v>
      </c>
      <c r="C18" s="257">
        <f t="shared" si="1"/>
        <v>301</v>
      </c>
      <c r="D18" s="257">
        <f>D19/3*2</f>
        <v>136058</v>
      </c>
      <c r="E18" s="257">
        <f>E16+D18</f>
        <v>542087</v>
      </c>
      <c r="F18" s="418">
        <f t="shared" si="0"/>
        <v>0.5552614248266422</v>
      </c>
      <c r="G18" s="418">
        <v>0.32</v>
      </c>
      <c r="H18" s="418">
        <f t="shared" si="2"/>
        <v>26.083333333333332</v>
      </c>
      <c r="I18" s="144">
        <f t="shared" si="3"/>
        <v>35.5</v>
      </c>
      <c r="J18" s="144"/>
      <c r="K18" s="144"/>
      <c r="L18" s="144"/>
      <c r="M18" s="144"/>
      <c r="N18" s="144"/>
      <c r="O18" s="144"/>
      <c r="P18" s="107"/>
    </row>
    <row r="19" spans="1:29" x14ac:dyDescent="0.2">
      <c r="A19" s="809">
        <v>41609</v>
      </c>
      <c r="B19" s="810">
        <v>32</v>
      </c>
      <c r="C19" s="257">
        <f t="shared" si="1"/>
        <v>333</v>
      </c>
      <c r="D19" s="257">
        <v>204087</v>
      </c>
      <c r="E19" s="257">
        <f>E16+D19</f>
        <v>610116</v>
      </c>
      <c r="F19" s="418">
        <f t="shared" si="0"/>
        <v>0.54579784827803235</v>
      </c>
      <c r="G19" s="418">
        <v>0.32</v>
      </c>
      <c r="H19" s="418">
        <f t="shared" si="2"/>
        <v>26.083333333333332</v>
      </c>
      <c r="I19" s="144">
        <f t="shared" si="3"/>
        <v>35.5</v>
      </c>
      <c r="J19" s="144"/>
      <c r="K19" s="144"/>
      <c r="L19" s="144"/>
      <c r="M19" s="144"/>
      <c r="N19" s="144"/>
      <c r="O19" s="144"/>
      <c r="P19" s="107"/>
    </row>
    <row r="20" spans="1:29" x14ac:dyDescent="0.2">
      <c r="A20" s="809">
        <v>41640</v>
      </c>
      <c r="B20" s="810">
        <v>37</v>
      </c>
      <c r="C20" s="257">
        <f t="shared" si="1"/>
        <v>370</v>
      </c>
      <c r="D20" s="257">
        <f>D22/3</f>
        <v>69691</v>
      </c>
      <c r="E20" s="257">
        <f>E19+D20</f>
        <v>679807</v>
      </c>
      <c r="F20" s="418">
        <f t="shared" si="0"/>
        <v>0.5442721242941011</v>
      </c>
      <c r="G20" s="418">
        <v>0.32</v>
      </c>
      <c r="H20" s="418">
        <f t="shared" si="2"/>
        <v>26.083333333333332</v>
      </c>
      <c r="I20" s="144">
        <f t="shared" si="3"/>
        <v>35.5</v>
      </c>
      <c r="J20" s="144"/>
      <c r="K20" s="144"/>
      <c r="L20" s="144"/>
      <c r="M20" s="144"/>
      <c r="N20" s="144"/>
      <c r="O20" s="144"/>
      <c r="P20" s="107"/>
    </row>
    <row r="21" spans="1:29" x14ac:dyDescent="0.2">
      <c r="A21" s="809">
        <v>41671</v>
      </c>
      <c r="B21" s="810">
        <v>33</v>
      </c>
      <c r="C21" s="257">
        <f t="shared" si="1"/>
        <v>403</v>
      </c>
      <c r="D21" s="257">
        <f>D22/3*2</f>
        <v>139382</v>
      </c>
      <c r="E21" s="257">
        <f>E19+D21</f>
        <v>749498</v>
      </c>
      <c r="F21" s="418">
        <f t="shared" si="0"/>
        <v>0.53769322933483477</v>
      </c>
      <c r="G21" s="418">
        <v>0.32</v>
      </c>
      <c r="H21" s="418">
        <f t="shared" si="2"/>
        <v>26.083333333333332</v>
      </c>
      <c r="I21" s="144">
        <f t="shared" si="3"/>
        <v>35.5</v>
      </c>
      <c r="J21" s="144"/>
      <c r="K21" s="144"/>
      <c r="L21" s="144"/>
      <c r="M21" s="144"/>
      <c r="N21" s="144"/>
      <c r="O21" s="144"/>
      <c r="P21" s="107"/>
    </row>
    <row r="22" spans="1:29" x14ac:dyDescent="0.2">
      <c r="A22" s="809">
        <v>41699</v>
      </c>
      <c r="B22" s="810">
        <v>22</v>
      </c>
      <c r="C22" s="257">
        <f t="shared" si="1"/>
        <v>425</v>
      </c>
      <c r="D22" s="257">
        <v>209073</v>
      </c>
      <c r="E22" s="257">
        <f>E19+D22</f>
        <v>819189</v>
      </c>
      <c r="F22" s="418">
        <f t="shared" si="0"/>
        <v>0.51880579451140085</v>
      </c>
      <c r="G22" s="418">
        <v>0.32</v>
      </c>
      <c r="H22" s="418">
        <f t="shared" si="2"/>
        <v>26.083333333333332</v>
      </c>
      <c r="I22" s="144">
        <f t="shared" si="3"/>
        <v>35.5</v>
      </c>
      <c r="J22" s="144">
        <f t="shared" si="3"/>
        <v>35.5</v>
      </c>
      <c r="K22" s="144"/>
      <c r="L22" s="144"/>
      <c r="M22" s="144"/>
      <c r="N22" s="144"/>
      <c r="O22" s="144"/>
      <c r="P22" s="107"/>
    </row>
    <row r="23" spans="1:29" x14ac:dyDescent="0.2">
      <c r="A23" s="809">
        <v>41730</v>
      </c>
      <c r="B23" s="810">
        <v>34</v>
      </c>
      <c r="C23" s="257">
        <f>B23</f>
        <v>34</v>
      </c>
      <c r="D23" s="257">
        <f>D25/3</f>
        <v>71251</v>
      </c>
      <c r="E23" s="257">
        <f>D23</f>
        <v>71251</v>
      </c>
      <c r="F23" s="418">
        <f t="shared" si="0"/>
        <v>0.47718628510477046</v>
      </c>
      <c r="G23" s="418">
        <v>0.32</v>
      </c>
      <c r="H23" s="418">
        <f>(262/12)</f>
        <v>21.833333333333332</v>
      </c>
      <c r="I23" s="144" t="s">
        <v>368</v>
      </c>
      <c r="J23" s="144">
        <f t="shared" si="3"/>
        <v>35.5</v>
      </c>
      <c r="K23" s="144"/>
      <c r="L23" s="144"/>
      <c r="M23" s="144"/>
      <c r="N23" s="144"/>
      <c r="O23" s="144"/>
      <c r="P23" s="107"/>
    </row>
    <row r="24" spans="1:29" x14ac:dyDescent="0.2">
      <c r="A24" s="809">
        <v>41760</v>
      </c>
      <c r="B24" s="810">
        <v>39</v>
      </c>
      <c r="C24" s="257">
        <f t="shared" ref="C24:C34" si="4">C23+B24</f>
        <v>73</v>
      </c>
      <c r="D24" s="257">
        <f>D25/3*2</f>
        <v>142502</v>
      </c>
      <c r="E24" s="257">
        <f>D24</f>
        <v>142502</v>
      </c>
      <c r="F24" s="418">
        <f t="shared" si="0"/>
        <v>0.51227351195070936</v>
      </c>
      <c r="G24" s="418">
        <v>0.32</v>
      </c>
      <c r="H24" s="418">
        <f t="shared" ref="H24:H34" si="5">(262/12)</f>
        <v>21.833333333333332</v>
      </c>
      <c r="I24" s="144" t="s">
        <v>368</v>
      </c>
      <c r="J24" s="144">
        <f t="shared" si="3"/>
        <v>35.5</v>
      </c>
      <c r="K24" s="144"/>
      <c r="L24" s="144"/>
      <c r="M24" s="144"/>
      <c r="N24" s="144"/>
      <c r="O24" s="144"/>
      <c r="P24" s="107"/>
      <c r="AC24" s="442"/>
    </row>
    <row r="25" spans="1:29" x14ac:dyDescent="0.2">
      <c r="A25" s="809">
        <v>41791</v>
      </c>
      <c r="B25" s="810">
        <v>34</v>
      </c>
      <c r="C25" s="257">
        <f t="shared" si="4"/>
        <v>107</v>
      </c>
      <c r="D25" s="257">
        <v>213753</v>
      </c>
      <c r="E25" s="257">
        <f>D25</f>
        <v>213753</v>
      </c>
      <c r="F25" s="418">
        <f t="shared" si="0"/>
        <v>0.5005777696687298</v>
      </c>
      <c r="G25" s="418">
        <v>0.32</v>
      </c>
      <c r="H25" s="418">
        <f t="shared" si="5"/>
        <v>21.833333333333332</v>
      </c>
      <c r="I25" s="144" t="s">
        <v>368</v>
      </c>
      <c r="J25" s="144">
        <f t="shared" si="3"/>
        <v>35.5</v>
      </c>
      <c r="K25" s="144"/>
      <c r="L25" s="144"/>
      <c r="M25" s="144"/>
      <c r="N25" s="144"/>
      <c r="O25" s="144"/>
      <c r="P25" s="107"/>
    </row>
    <row r="26" spans="1:29" x14ac:dyDescent="0.2">
      <c r="A26" s="809">
        <v>41821</v>
      </c>
      <c r="B26" s="810">
        <v>39</v>
      </c>
      <c r="C26" s="257">
        <f t="shared" si="4"/>
        <v>146</v>
      </c>
      <c r="D26" s="257">
        <f>D28/3</f>
        <v>67192</v>
      </c>
      <c r="E26" s="257">
        <f>E25+D26</f>
        <v>280945</v>
      </c>
      <c r="F26" s="418">
        <f t="shared" si="0"/>
        <v>0.51967466941928131</v>
      </c>
      <c r="G26" s="418">
        <v>0.32</v>
      </c>
      <c r="H26" s="418">
        <f t="shared" si="5"/>
        <v>21.833333333333332</v>
      </c>
      <c r="I26" s="144" t="s">
        <v>368</v>
      </c>
      <c r="J26" s="144">
        <f t="shared" si="3"/>
        <v>35.5</v>
      </c>
      <c r="K26" s="144"/>
      <c r="L26" s="144"/>
      <c r="M26" s="144"/>
      <c r="N26" s="144"/>
      <c r="O26" s="144"/>
      <c r="P26" s="107"/>
    </row>
    <row r="27" spans="1:29" x14ac:dyDescent="0.2">
      <c r="A27" s="809">
        <v>41852</v>
      </c>
      <c r="B27" s="810">
        <v>38</v>
      </c>
      <c r="C27" s="257">
        <f t="shared" si="4"/>
        <v>184</v>
      </c>
      <c r="D27" s="257">
        <f>D28/3*2</f>
        <v>134384</v>
      </c>
      <c r="E27" s="257">
        <f>E25+D27</f>
        <v>348137</v>
      </c>
      <c r="F27" s="418">
        <f t="shared" si="0"/>
        <v>0.52852756242513732</v>
      </c>
      <c r="G27" s="418">
        <v>0.32</v>
      </c>
      <c r="H27" s="418">
        <f t="shared" si="5"/>
        <v>21.833333333333332</v>
      </c>
      <c r="I27" s="144" t="s">
        <v>368</v>
      </c>
      <c r="J27" s="144">
        <f t="shared" si="3"/>
        <v>35.5</v>
      </c>
      <c r="K27" s="144"/>
      <c r="L27" s="144"/>
      <c r="M27" s="144"/>
      <c r="N27" s="144"/>
      <c r="O27" s="144"/>
      <c r="P27" s="107"/>
    </row>
    <row r="28" spans="1:29" x14ac:dyDescent="0.2">
      <c r="A28" s="809">
        <v>41883</v>
      </c>
      <c r="B28" s="810">
        <v>29</v>
      </c>
      <c r="C28" s="257">
        <f t="shared" si="4"/>
        <v>213</v>
      </c>
      <c r="D28" s="257">
        <v>201576</v>
      </c>
      <c r="E28" s="257">
        <f>E25+D28</f>
        <v>415329</v>
      </c>
      <c r="F28" s="418">
        <f t="shared" si="0"/>
        <v>0.51284644221809694</v>
      </c>
      <c r="G28" s="418">
        <v>0.32</v>
      </c>
      <c r="H28" s="418">
        <f t="shared" si="5"/>
        <v>21.833333333333332</v>
      </c>
      <c r="I28" s="144" t="s">
        <v>368</v>
      </c>
      <c r="J28" s="144"/>
      <c r="K28" s="144">
        <f>MEDIAN($B$28:$B$39)</f>
        <v>29.5</v>
      </c>
      <c r="L28" s="144"/>
      <c r="M28" s="144"/>
      <c r="N28" s="144"/>
      <c r="O28" s="144"/>
      <c r="P28" s="107"/>
    </row>
    <row r="29" spans="1:29" x14ac:dyDescent="0.2">
      <c r="A29" s="809">
        <v>41913</v>
      </c>
      <c r="B29" s="810">
        <v>32</v>
      </c>
      <c r="C29" s="257">
        <f t="shared" si="4"/>
        <v>245</v>
      </c>
      <c r="D29" s="811">
        <f>D31/3</f>
        <v>69088.666666666672</v>
      </c>
      <c r="E29" s="811">
        <f>E28+D29</f>
        <v>484417.66666666669</v>
      </c>
      <c r="F29" s="418">
        <f t="shared" si="0"/>
        <v>0.50576190105920982</v>
      </c>
      <c r="G29" s="418">
        <v>0.32</v>
      </c>
      <c r="H29" s="418">
        <f t="shared" si="5"/>
        <v>21.833333333333332</v>
      </c>
      <c r="I29" s="144"/>
      <c r="J29" s="144"/>
      <c r="K29" s="144">
        <f t="shared" ref="K29:L41" si="6">MEDIAN($B$28:$B$39)</f>
        <v>29.5</v>
      </c>
      <c r="L29" s="144"/>
      <c r="M29" s="144"/>
      <c r="N29" s="144"/>
      <c r="O29" s="144"/>
      <c r="P29" s="107"/>
    </row>
    <row r="30" spans="1:29" x14ac:dyDescent="0.2">
      <c r="A30" s="809">
        <v>41944</v>
      </c>
      <c r="B30" s="810">
        <v>33</v>
      </c>
      <c r="C30" s="257">
        <f t="shared" si="4"/>
        <v>278</v>
      </c>
      <c r="D30" s="811">
        <f>D31/3*2</f>
        <v>138177.33333333334</v>
      </c>
      <c r="E30" s="811">
        <f>E28+D30</f>
        <v>553506.33333333337</v>
      </c>
      <c r="F30" s="418">
        <f t="shared" si="0"/>
        <v>0.50225260897345947</v>
      </c>
      <c r="G30" s="418">
        <v>0.32</v>
      </c>
      <c r="H30" s="418">
        <f t="shared" si="5"/>
        <v>21.833333333333332</v>
      </c>
      <c r="I30" s="144"/>
      <c r="J30" s="144"/>
      <c r="K30" s="144">
        <f t="shared" si="6"/>
        <v>29.5</v>
      </c>
      <c r="L30" s="144"/>
      <c r="M30" s="144"/>
      <c r="N30" s="144"/>
      <c r="O30" s="144"/>
      <c r="P30" s="107"/>
    </row>
    <row r="31" spans="1:29" x14ac:dyDescent="0.2">
      <c r="A31" s="809">
        <v>41974</v>
      </c>
      <c r="B31" s="810">
        <v>33</v>
      </c>
      <c r="C31" s="257">
        <f t="shared" si="4"/>
        <v>311</v>
      </c>
      <c r="D31" s="257">
        <v>207266</v>
      </c>
      <c r="E31" s="257">
        <f>E28+D31</f>
        <v>622595</v>
      </c>
      <c r="F31" s="418">
        <f t="shared" si="0"/>
        <v>0.49952216127659232</v>
      </c>
      <c r="G31" s="418">
        <v>0.32</v>
      </c>
      <c r="H31" s="418">
        <f t="shared" si="5"/>
        <v>21.833333333333332</v>
      </c>
      <c r="I31" s="144"/>
      <c r="J31" s="144"/>
      <c r="K31" s="144">
        <f t="shared" si="6"/>
        <v>29.5</v>
      </c>
      <c r="L31" s="144"/>
      <c r="M31" s="144"/>
      <c r="N31" s="144"/>
      <c r="O31" s="144"/>
      <c r="P31" s="107"/>
    </row>
    <row r="32" spans="1:29" x14ac:dyDescent="0.2">
      <c r="A32" s="809">
        <v>42005</v>
      </c>
      <c r="B32" s="810">
        <v>30</v>
      </c>
      <c r="C32" s="257">
        <f t="shared" si="4"/>
        <v>341</v>
      </c>
      <c r="D32" s="811">
        <f>D34/3</f>
        <v>69223</v>
      </c>
      <c r="E32" s="811">
        <f>E31+D32</f>
        <v>691818</v>
      </c>
      <c r="F32" s="418">
        <f t="shared" si="0"/>
        <v>0.49290420312856847</v>
      </c>
      <c r="G32" s="418">
        <v>0.32</v>
      </c>
      <c r="H32" s="418">
        <f t="shared" si="5"/>
        <v>21.833333333333332</v>
      </c>
      <c r="I32" s="144"/>
      <c r="J32" s="144"/>
      <c r="K32" s="144">
        <f t="shared" si="6"/>
        <v>29.5</v>
      </c>
      <c r="L32" s="144"/>
      <c r="M32" s="144"/>
      <c r="N32" s="144"/>
      <c r="O32" s="144"/>
      <c r="P32" s="107"/>
    </row>
    <row r="33" spans="1:16" x14ac:dyDescent="0.2">
      <c r="A33" s="809">
        <v>42036</v>
      </c>
      <c r="B33" s="810">
        <v>21</v>
      </c>
      <c r="C33" s="257">
        <f t="shared" si="4"/>
        <v>362</v>
      </c>
      <c r="D33" s="811">
        <f>D34/3*2</f>
        <v>138446</v>
      </c>
      <c r="E33" s="811">
        <f>E31+D33</f>
        <v>761041</v>
      </c>
      <c r="F33" s="418">
        <f t="shared" si="0"/>
        <v>0.47566425461965911</v>
      </c>
      <c r="G33" s="418">
        <v>0.32</v>
      </c>
      <c r="H33" s="418">
        <f t="shared" si="5"/>
        <v>21.833333333333332</v>
      </c>
      <c r="I33" s="144"/>
      <c r="J33" s="144"/>
      <c r="K33" s="144">
        <f t="shared" si="6"/>
        <v>29.5</v>
      </c>
      <c r="L33" s="144"/>
      <c r="M33" s="144"/>
      <c r="N33" s="144"/>
      <c r="O33" s="144"/>
      <c r="P33" s="107"/>
    </row>
    <row r="34" spans="1:16" x14ac:dyDescent="0.2">
      <c r="A34" s="809">
        <v>42064</v>
      </c>
      <c r="B34" s="810">
        <v>31</v>
      </c>
      <c r="C34" s="257">
        <f t="shared" si="4"/>
        <v>393</v>
      </c>
      <c r="D34" s="257">
        <v>207669</v>
      </c>
      <c r="E34" s="257">
        <f>E31+D34</f>
        <v>830264</v>
      </c>
      <c r="F34" s="418">
        <f t="shared" si="0"/>
        <v>0.47334341847894162</v>
      </c>
      <c r="G34" s="418">
        <v>0.32</v>
      </c>
      <c r="H34" s="418">
        <f t="shared" si="5"/>
        <v>21.833333333333332</v>
      </c>
      <c r="I34" s="144"/>
      <c r="J34" s="144"/>
      <c r="K34" s="144">
        <f t="shared" si="6"/>
        <v>29.5</v>
      </c>
      <c r="L34" s="144"/>
      <c r="M34" s="144"/>
      <c r="N34" s="144"/>
      <c r="O34" s="144"/>
      <c r="P34" s="107"/>
    </row>
    <row r="35" spans="1:16" x14ac:dyDescent="0.2">
      <c r="A35" s="809">
        <v>42095</v>
      </c>
      <c r="B35" s="810">
        <v>29</v>
      </c>
      <c r="C35" s="257">
        <f>B35</f>
        <v>29</v>
      </c>
      <c r="D35" s="811">
        <f>D37/3</f>
        <v>69531</v>
      </c>
      <c r="E35" s="811">
        <f>D35</f>
        <v>69531</v>
      </c>
      <c r="F35" s="418">
        <f t="shared" si="0"/>
        <v>0.41708015129942039</v>
      </c>
      <c r="G35" s="418">
        <v>0.32</v>
      </c>
      <c r="H35" s="418">
        <f>(262/12)</f>
        <v>21.833333333333332</v>
      </c>
      <c r="I35" s="144"/>
      <c r="J35" s="144"/>
      <c r="K35" s="144">
        <f t="shared" si="6"/>
        <v>29.5</v>
      </c>
      <c r="L35" s="144"/>
      <c r="M35" s="144"/>
      <c r="N35" s="144"/>
      <c r="O35" s="144"/>
      <c r="P35" s="107"/>
    </row>
    <row r="36" spans="1:16" x14ac:dyDescent="0.2">
      <c r="A36" s="809">
        <v>42125</v>
      </c>
      <c r="B36" s="810">
        <v>22</v>
      </c>
      <c r="C36" s="257">
        <f t="shared" ref="C36:C46" si="7">C35+B36</f>
        <v>51</v>
      </c>
      <c r="D36" s="811">
        <f>D37/3*2</f>
        <v>139062</v>
      </c>
      <c r="E36" s="811">
        <f>D36</f>
        <v>139062</v>
      </c>
      <c r="F36" s="418">
        <f t="shared" si="0"/>
        <v>0.3667428916598352</v>
      </c>
      <c r="G36" s="418">
        <v>0.32</v>
      </c>
      <c r="H36" s="418">
        <f t="shared" ref="H36:H70" si="8">(262/12)</f>
        <v>21.833333333333332</v>
      </c>
      <c r="I36" s="144"/>
      <c r="J36" s="144"/>
      <c r="K36" s="144">
        <f t="shared" si="6"/>
        <v>29.5</v>
      </c>
      <c r="L36" s="144"/>
      <c r="M36" s="144"/>
      <c r="N36" s="144"/>
      <c r="O36" s="144"/>
      <c r="P36" s="107"/>
    </row>
    <row r="37" spans="1:16" x14ac:dyDescent="0.2">
      <c r="A37" s="809">
        <v>42156</v>
      </c>
      <c r="B37" s="810">
        <v>24</v>
      </c>
      <c r="C37" s="257">
        <f t="shared" si="7"/>
        <v>75</v>
      </c>
      <c r="D37" s="257">
        <v>208593</v>
      </c>
      <c r="E37" s="257">
        <f>D37</f>
        <v>208593</v>
      </c>
      <c r="F37" s="418">
        <f t="shared" si="0"/>
        <v>0.35955185456846583</v>
      </c>
      <c r="G37" s="418">
        <v>0.32</v>
      </c>
      <c r="H37" s="418">
        <f t="shared" si="8"/>
        <v>21.833333333333332</v>
      </c>
      <c r="I37" s="144"/>
      <c r="J37" s="144"/>
      <c r="K37" s="144">
        <f t="shared" si="6"/>
        <v>29.5</v>
      </c>
      <c r="L37" s="144"/>
      <c r="M37" s="144"/>
      <c r="N37" s="144"/>
      <c r="O37" s="144"/>
      <c r="P37" s="107"/>
    </row>
    <row r="38" spans="1:16" x14ac:dyDescent="0.2">
      <c r="A38" s="809">
        <v>42186</v>
      </c>
      <c r="B38" s="810">
        <v>26</v>
      </c>
      <c r="C38" s="257">
        <f t="shared" si="7"/>
        <v>101</v>
      </c>
      <c r="D38" s="811">
        <f>D40/3</f>
        <v>68213</v>
      </c>
      <c r="E38" s="811">
        <f>E37+D38</f>
        <v>276806</v>
      </c>
      <c r="F38" s="418">
        <f t="shared" si="0"/>
        <v>0.36487648389124516</v>
      </c>
      <c r="G38" s="418">
        <v>0.32</v>
      </c>
      <c r="H38" s="418">
        <f t="shared" si="8"/>
        <v>21.833333333333332</v>
      </c>
      <c r="I38" s="144"/>
      <c r="J38" s="144"/>
      <c r="K38" s="144">
        <f t="shared" si="6"/>
        <v>29.5</v>
      </c>
      <c r="L38" s="144"/>
      <c r="M38" s="144"/>
      <c r="N38" s="144"/>
      <c r="O38" s="144"/>
      <c r="P38" s="107"/>
    </row>
    <row r="39" spans="1:16" x14ac:dyDescent="0.2">
      <c r="A39" s="809">
        <v>42217</v>
      </c>
      <c r="B39" s="810">
        <v>36</v>
      </c>
      <c r="C39" s="257">
        <f t="shared" si="7"/>
        <v>137</v>
      </c>
      <c r="D39" s="811">
        <f>D40/3*2</f>
        <v>136426</v>
      </c>
      <c r="E39" s="811">
        <f>E37+D39</f>
        <v>345019</v>
      </c>
      <c r="F39" s="418">
        <f t="shared" si="0"/>
        <v>0.39707958112451774</v>
      </c>
      <c r="G39" s="418">
        <v>0.32</v>
      </c>
      <c r="H39" s="418">
        <f t="shared" si="8"/>
        <v>21.833333333333332</v>
      </c>
      <c r="I39" s="144"/>
      <c r="J39" s="144"/>
      <c r="K39" s="144">
        <f t="shared" si="6"/>
        <v>29.5</v>
      </c>
      <c r="L39" s="144">
        <f t="shared" si="6"/>
        <v>29.5</v>
      </c>
      <c r="M39" s="144"/>
      <c r="N39" s="144"/>
      <c r="O39" s="144"/>
      <c r="P39" s="107"/>
    </row>
    <row r="40" spans="1:16" x14ac:dyDescent="0.2">
      <c r="A40" s="809">
        <v>42248</v>
      </c>
      <c r="B40" s="810">
        <v>40</v>
      </c>
      <c r="C40" s="257">
        <f t="shared" si="7"/>
        <v>177</v>
      </c>
      <c r="D40" s="257">
        <v>204639</v>
      </c>
      <c r="E40" s="257">
        <f>E37+D40</f>
        <v>413232</v>
      </c>
      <c r="F40" s="418">
        <f t="shared" si="0"/>
        <v>0.42833081658729233</v>
      </c>
      <c r="G40" s="418">
        <v>0.32</v>
      </c>
      <c r="H40" s="418">
        <f t="shared" si="8"/>
        <v>21.833333333333332</v>
      </c>
      <c r="I40" s="144"/>
      <c r="J40" s="144"/>
      <c r="K40" s="181"/>
      <c r="L40" s="144">
        <f t="shared" si="6"/>
        <v>29.5</v>
      </c>
      <c r="M40" s="144"/>
      <c r="N40" s="144"/>
      <c r="O40" s="144"/>
      <c r="P40" s="107"/>
    </row>
    <row r="41" spans="1:16" x14ac:dyDescent="0.2">
      <c r="A41" s="809">
        <v>42278</v>
      </c>
      <c r="B41" s="812">
        <v>30</v>
      </c>
      <c r="C41" s="257">
        <f t="shared" si="7"/>
        <v>207</v>
      </c>
      <c r="D41" s="811">
        <f>D43/3</f>
        <v>70508</v>
      </c>
      <c r="E41" s="811">
        <f>E40+D41</f>
        <v>483740</v>
      </c>
      <c r="F41" s="418">
        <f t="shared" si="0"/>
        <v>0.42791582254930338</v>
      </c>
      <c r="G41" s="418">
        <v>0.32</v>
      </c>
      <c r="H41" s="418">
        <f t="shared" si="8"/>
        <v>21.833333333333332</v>
      </c>
      <c r="I41" s="144"/>
      <c r="J41" s="144"/>
      <c r="K41" s="181"/>
      <c r="L41" s="144">
        <f t="shared" si="6"/>
        <v>29.5</v>
      </c>
      <c r="M41" s="144"/>
      <c r="N41" s="144"/>
      <c r="O41" s="144"/>
      <c r="P41" s="107"/>
    </row>
    <row r="42" spans="1:16" x14ac:dyDescent="0.2">
      <c r="A42" s="809">
        <v>42309</v>
      </c>
      <c r="B42" s="812">
        <v>24</v>
      </c>
      <c r="C42" s="257">
        <f t="shared" si="7"/>
        <v>231</v>
      </c>
      <c r="D42" s="811">
        <f>D43/3*2</f>
        <v>141016</v>
      </c>
      <c r="E42" s="811">
        <f>E40+D42</f>
        <v>554248</v>
      </c>
      <c r="F42" s="418">
        <f t="shared" si="0"/>
        <v>0.41678093561005186</v>
      </c>
      <c r="G42" s="418">
        <v>0.32</v>
      </c>
      <c r="H42" s="418">
        <f t="shared" si="8"/>
        <v>21.833333333333332</v>
      </c>
      <c r="I42" s="144"/>
      <c r="J42" s="144"/>
      <c r="K42" s="181"/>
      <c r="L42" s="144"/>
      <c r="M42" s="144">
        <f>MEDIAN($B$42:$B$53)</f>
        <v>21</v>
      </c>
      <c r="N42" s="144"/>
      <c r="O42" s="144"/>
      <c r="P42" s="107"/>
    </row>
    <row r="43" spans="1:16" x14ac:dyDescent="0.2">
      <c r="A43" s="809">
        <v>42339</v>
      </c>
      <c r="B43" s="812">
        <v>29</v>
      </c>
      <c r="C43" s="257">
        <f>C42+B43</f>
        <v>260</v>
      </c>
      <c r="D43" s="257">
        <v>211524</v>
      </c>
      <c r="E43" s="257">
        <f>E40+D43</f>
        <v>624756</v>
      </c>
      <c r="F43" s="418">
        <f t="shared" si="0"/>
        <v>0.41616246982822097</v>
      </c>
      <c r="G43" s="418">
        <v>0.32</v>
      </c>
      <c r="H43" s="418">
        <f t="shared" si="8"/>
        <v>21.833333333333332</v>
      </c>
      <c r="I43" s="144"/>
      <c r="J43" s="144"/>
      <c r="K43" s="144"/>
      <c r="L43" s="144"/>
      <c r="M43" s="144">
        <f t="shared" ref="M43:M52" si="9">MEDIAN($B$42:$B$53)</f>
        <v>21</v>
      </c>
      <c r="N43" s="144"/>
      <c r="O43" s="144"/>
      <c r="P43" s="107"/>
    </row>
    <row r="44" spans="1:16" x14ac:dyDescent="0.2">
      <c r="A44" s="809">
        <v>42370</v>
      </c>
      <c r="B44" s="812">
        <v>17</v>
      </c>
      <c r="C44" s="257">
        <f t="shared" si="7"/>
        <v>277</v>
      </c>
      <c r="D44" s="811">
        <f>D46/3</f>
        <v>70257</v>
      </c>
      <c r="E44" s="811">
        <f>E43+D44</f>
        <v>695013</v>
      </c>
      <c r="F44" s="418">
        <f t="shared" si="0"/>
        <v>0.39855369611791436</v>
      </c>
      <c r="G44" s="418">
        <v>0.32</v>
      </c>
      <c r="H44" s="418">
        <f t="shared" si="8"/>
        <v>21.833333333333332</v>
      </c>
      <c r="I44" s="144"/>
      <c r="J44" s="144"/>
      <c r="K44" s="144"/>
      <c r="L44" s="144"/>
      <c r="M44" s="144">
        <f t="shared" si="9"/>
        <v>21</v>
      </c>
      <c r="N44" s="144"/>
      <c r="O44" s="144"/>
      <c r="P44" s="107"/>
    </row>
    <row r="45" spans="1:16" x14ac:dyDescent="0.2">
      <c r="A45" s="809">
        <v>42401</v>
      </c>
      <c r="B45" s="812">
        <v>27</v>
      </c>
      <c r="C45" s="257">
        <f t="shared" si="7"/>
        <v>304</v>
      </c>
      <c r="D45" s="811">
        <f>D46/3*2</f>
        <v>140514</v>
      </c>
      <c r="E45" s="811">
        <f>E43+D45</f>
        <v>765270</v>
      </c>
      <c r="F45" s="418">
        <f t="shared" si="0"/>
        <v>0.39724541665033258</v>
      </c>
      <c r="G45" s="418">
        <v>0.32</v>
      </c>
      <c r="H45" s="418">
        <f t="shared" si="8"/>
        <v>21.833333333333332</v>
      </c>
      <c r="I45" s="144"/>
      <c r="J45" s="144"/>
      <c r="K45" s="144"/>
      <c r="L45" s="144"/>
      <c r="M45" s="144">
        <f t="shared" si="9"/>
        <v>21</v>
      </c>
      <c r="N45" s="144"/>
      <c r="O45" s="144"/>
      <c r="P45" s="107"/>
    </row>
    <row r="46" spans="1:16" x14ac:dyDescent="0.2">
      <c r="A46" s="809">
        <v>42430</v>
      </c>
      <c r="B46" s="812">
        <v>21</v>
      </c>
      <c r="C46" s="257">
        <f t="shared" si="7"/>
        <v>325</v>
      </c>
      <c r="D46" s="257">
        <v>210771</v>
      </c>
      <c r="E46" s="257">
        <f>E43+D46</f>
        <v>835527</v>
      </c>
      <c r="F46" s="418">
        <f t="shared" si="0"/>
        <v>0.38897605942117969</v>
      </c>
      <c r="G46" s="418">
        <v>0.32</v>
      </c>
      <c r="H46" s="418">
        <f t="shared" si="8"/>
        <v>21.833333333333332</v>
      </c>
      <c r="I46" s="144"/>
      <c r="J46" s="144"/>
      <c r="K46" s="144"/>
      <c r="L46" s="144"/>
      <c r="M46" s="144">
        <f t="shared" si="9"/>
        <v>21</v>
      </c>
      <c r="N46" s="144"/>
      <c r="O46" s="144"/>
      <c r="P46" s="107"/>
    </row>
    <row r="47" spans="1:16" x14ac:dyDescent="0.2">
      <c r="A47" s="809">
        <v>42461</v>
      </c>
      <c r="B47" s="812">
        <v>20</v>
      </c>
      <c r="C47" s="257">
        <f>B47</f>
        <v>20</v>
      </c>
      <c r="D47" s="811">
        <f>D49/3</f>
        <v>69314</v>
      </c>
      <c r="E47" s="257">
        <f>D47</f>
        <v>69314</v>
      </c>
      <c r="F47" s="418">
        <f t="shared" si="0"/>
        <v>0.28854199728770524</v>
      </c>
      <c r="G47" s="418">
        <v>0.32</v>
      </c>
      <c r="H47" s="418">
        <f t="shared" si="8"/>
        <v>21.833333333333332</v>
      </c>
      <c r="I47" s="144"/>
      <c r="J47" s="144"/>
      <c r="K47" s="144"/>
      <c r="L47" s="144"/>
      <c r="M47" s="144">
        <f t="shared" si="9"/>
        <v>21</v>
      </c>
      <c r="N47" s="144"/>
      <c r="O47" s="144"/>
      <c r="P47" s="107"/>
    </row>
    <row r="48" spans="1:16" x14ac:dyDescent="0.2">
      <c r="A48" s="809">
        <v>42491</v>
      </c>
      <c r="B48" s="812">
        <v>28</v>
      </c>
      <c r="C48" s="257">
        <f t="shared" ref="C48:C58" si="10">C47+B48</f>
        <v>48</v>
      </c>
      <c r="D48" s="811">
        <f>D49/3*2</f>
        <v>138628</v>
      </c>
      <c r="E48" s="811">
        <f>D48</f>
        <v>138628</v>
      </c>
      <c r="F48" s="418">
        <f t="shared" si="0"/>
        <v>0.34625039674524627</v>
      </c>
      <c r="G48" s="418">
        <v>0.32</v>
      </c>
      <c r="H48" s="418">
        <f t="shared" si="8"/>
        <v>21.833333333333332</v>
      </c>
      <c r="I48" s="144"/>
      <c r="J48" s="144"/>
      <c r="K48" s="144"/>
      <c r="L48" s="144"/>
      <c r="M48" s="144">
        <f t="shared" si="9"/>
        <v>21</v>
      </c>
      <c r="N48" s="144"/>
      <c r="O48" s="144"/>
      <c r="P48" s="107"/>
    </row>
    <row r="49" spans="1:16" x14ac:dyDescent="0.2">
      <c r="A49" s="809">
        <v>42522</v>
      </c>
      <c r="B49" s="812">
        <v>25</v>
      </c>
      <c r="C49" s="257">
        <f t="shared" si="10"/>
        <v>73</v>
      </c>
      <c r="D49" s="257">
        <v>207942</v>
      </c>
      <c r="E49" s="257">
        <f>D49</f>
        <v>207942</v>
      </c>
      <c r="F49" s="418">
        <f t="shared" si="0"/>
        <v>0.3510594300333747</v>
      </c>
      <c r="G49" s="418">
        <v>0.32</v>
      </c>
      <c r="H49" s="418">
        <f t="shared" si="8"/>
        <v>21.833333333333332</v>
      </c>
      <c r="I49" s="144"/>
      <c r="J49" s="144"/>
      <c r="K49" s="144"/>
      <c r="L49" s="144"/>
      <c r="M49" s="144">
        <f t="shared" si="9"/>
        <v>21</v>
      </c>
      <c r="N49" s="144"/>
      <c r="O49" s="144"/>
      <c r="P49" s="107"/>
    </row>
    <row r="50" spans="1:16" x14ac:dyDescent="0.2">
      <c r="A50" s="809">
        <v>42552</v>
      </c>
      <c r="B50" s="812">
        <v>21</v>
      </c>
      <c r="C50" s="257">
        <f t="shared" si="10"/>
        <v>94</v>
      </c>
      <c r="D50" s="811">
        <f>D52/3</f>
        <v>67944.666666666672</v>
      </c>
      <c r="E50" s="811">
        <f>E49+D50</f>
        <v>275886.66666666669</v>
      </c>
      <c r="F50" s="418">
        <f t="shared" si="0"/>
        <v>0.34071961916729093</v>
      </c>
      <c r="G50" s="418">
        <v>0.32</v>
      </c>
      <c r="H50" s="418">
        <f t="shared" si="8"/>
        <v>21.833333333333332</v>
      </c>
      <c r="I50" s="144"/>
      <c r="J50" s="144"/>
      <c r="K50" s="144"/>
      <c r="L50" s="144"/>
      <c r="M50" s="144">
        <f t="shared" si="9"/>
        <v>21</v>
      </c>
      <c r="N50" s="144"/>
      <c r="O50" s="144"/>
      <c r="P50" s="107"/>
    </row>
    <row r="51" spans="1:16" x14ac:dyDescent="0.2">
      <c r="A51" s="809">
        <v>42584</v>
      </c>
      <c r="B51" s="812">
        <v>17</v>
      </c>
      <c r="C51" s="257">
        <f t="shared" si="10"/>
        <v>111</v>
      </c>
      <c r="D51" s="811">
        <f>D52/3*2</f>
        <v>135889.33333333334</v>
      </c>
      <c r="E51" s="811">
        <f>E49+D51</f>
        <v>343831.33333333337</v>
      </c>
      <c r="F51" s="418">
        <f t="shared" si="0"/>
        <v>0.32283270673411574</v>
      </c>
      <c r="G51" s="418">
        <v>0.32</v>
      </c>
      <c r="H51" s="418">
        <f t="shared" si="8"/>
        <v>21.833333333333332</v>
      </c>
      <c r="I51" s="144"/>
      <c r="J51" s="144"/>
      <c r="K51" s="144"/>
      <c r="L51" s="144"/>
      <c r="M51" s="144">
        <f t="shared" si="9"/>
        <v>21</v>
      </c>
      <c r="N51" s="144"/>
      <c r="O51" s="144"/>
      <c r="P51" s="107"/>
    </row>
    <row r="52" spans="1:16" x14ac:dyDescent="0.2">
      <c r="A52" s="809">
        <v>42616</v>
      </c>
      <c r="B52" s="812">
        <v>14</v>
      </c>
      <c r="C52" s="257">
        <f t="shared" si="10"/>
        <v>125</v>
      </c>
      <c r="D52" s="257">
        <v>203834</v>
      </c>
      <c r="E52" s="257">
        <f>E49+D52</f>
        <v>411776</v>
      </c>
      <c r="F52" s="418">
        <f t="shared" si="0"/>
        <v>0.30356310226919492</v>
      </c>
      <c r="G52" s="418">
        <v>0.32</v>
      </c>
      <c r="H52" s="418">
        <f t="shared" si="8"/>
        <v>21.833333333333332</v>
      </c>
      <c r="I52" s="144"/>
      <c r="J52" s="144"/>
      <c r="K52" s="144"/>
      <c r="L52" s="144"/>
      <c r="M52" s="144">
        <f t="shared" si="9"/>
        <v>21</v>
      </c>
      <c r="N52" s="144"/>
      <c r="O52" s="144"/>
      <c r="P52" s="107"/>
    </row>
    <row r="53" spans="1:16" x14ac:dyDescent="0.2">
      <c r="A53" s="809">
        <v>42648</v>
      </c>
      <c r="B53" s="812">
        <v>15</v>
      </c>
      <c r="C53" s="257">
        <f t="shared" si="10"/>
        <v>140</v>
      </c>
      <c r="D53" s="811">
        <f>D55/3</f>
        <v>66170.666666666672</v>
      </c>
      <c r="E53" s="811">
        <f>E52+D53</f>
        <v>477946.66666666669</v>
      </c>
      <c r="F53" s="418">
        <f t="shared" ref="F53:F64" si="11">C53/E53*1000</f>
        <v>0.29291971210176865</v>
      </c>
      <c r="G53" s="418">
        <v>0.32</v>
      </c>
      <c r="H53" s="418">
        <f t="shared" si="8"/>
        <v>21.833333333333332</v>
      </c>
      <c r="I53" s="144"/>
      <c r="J53" s="144"/>
      <c r="K53" s="144"/>
      <c r="L53" s="144"/>
      <c r="M53" s="144">
        <f>MEDIAN($B$42:$B$53)</f>
        <v>21</v>
      </c>
      <c r="N53" s="144"/>
      <c r="O53" s="144"/>
      <c r="P53" s="107"/>
    </row>
    <row r="54" spans="1:16" x14ac:dyDescent="0.2">
      <c r="A54" s="809">
        <v>42675</v>
      </c>
      <c r="B54" s="812">
        <v>18</v>
      </c>
      <c r="C54" s="257">
        <f t="shared" si="10"/>
        <v>158</v>
      </c>
      <c r="D54" s="811">
        <f>D55/3*2</f>
        <v>132341.33333333334</v>
      </c>
      <c r="E54" s="811">
        <f>E52+D54</f>
        <v>544117.33333333337</v>
      </c>
      <c r="F54" s="418">
        <f t="shared" si="11"/>
        <v>0.29037854580384626</v>
      </c>
      <c r="G54" s="418">
        <v>0.32</v>
      </c>
      <c r="H54" s="418">
        <f t="shared" si="8"/>
        <v>21.833333333333332</v>
      </c>
      <c r="I54" s="144"/>
      <c r="J54" s="144"/>
      <c r="K54" s="144"/>
      <c r="L54" s="144"/>
      <c r="M54" s="181"/>
      <c r="N54" s="144">
        <f>MEDIAN($B$54:$B$65)</f>
        <v>16.5</v>
      </c>
      <c r="O54" s="144"/>
      <c r="P54" s="107"/>
    </row>
    <row r="55" spans="1:16" x14ac:dyDescent="0.2">
      <c r="A55" s="809">
        <v>42705</v>
      </c>
      <c r="B55" s="812">
        <v>7</v>
      </c>
      <c r="C55" s="257">
        <f t="shared" si="10"/>
        <v>165</v>
      </c>
      <c r="D55" s="257">
        <v>198512</v>
      </c>
      <c r="E55" s="257">
        <f>E52+D55</f>
        <v>610288</v>
      </c>
      <c r="F55" s="418">
        <f t="shared" si="11"/>
        <v>0.27036415593949087</v>
      </c>
      <c r="G55" s="418">
        <v>0.32</v>
      </c>
      <c r="H55" s="418">
        <f t="shared" si="8"/>
        <v>21.833333333333332</v>
      </c>
      <c r="I55" s="144"/>
      <c r="J55" s="144"/>
      <c r="K55" s="144"/>
      <c r="L55" s="144"/>
      <c r="M55" s="181"/>
      <c r="N55" s="144">
        <f t="shared" ref="N55:O70" si="12">MEDIAN($B$54:$B$65)</f>
        <v>16.5</v>
      </c>
      <c r="O55" s="144"/>
      <c r="P55" s="107"/>
    </row>
    <row r="56" spans="1:16" x14ac:dyDescent="0.2">
      <c r="A56" s="809">
        <v>42736</v>
      </c>
      <c r="B56" s="812">
        <v>17</v>
      </c>
      <c r="C56" s="257">
        <f t="shared" si="10"/>
        <v>182</v>
      </c>
      <c r="D56" s="811">
        <f>D58/3</f>
        <v>66800</v>
      </c>
      <c r="E56" s="811">
        <f>E55+D56</f>
        <v>677088</v>
      </c>
      <c r="F56" s="418">
        <f t="shared" si="11"/>
        <v>0.26879814736046126</v>
      </c>
      <c r="G56" s="418">
        <v>0.32</v>
      </c>
      <c r="H56" s="418">
        <f t="shared" si="8"/>
        <v>21.833333333333332</v>
      </c>
      <c r="I56" s="144"/>
      <c r="J56" s="144"/>
      <c r="K56" s="144"/>
      <c r="L56" s="144"/>
      <c r="M56" s="181"/>
      <c r="N56" s="144">
        <f t="shared" si="12"/>
        <v>16.5</v>
      </c>
      <c r="O56" s="144"/>
      <c r="P56" s="107"/>
    </row>
    <row r="57" spans="1:16" x14ac:dyDescent="0.2">
      <c r="A57" s="809">
        <v>42767</v>
      </c>
      <c r="B57" s="812">
        <v>19</v>
      </c>
      <c r="C57" s="257">
        <f t="shared" si="10"/>
        <v>201</v>
      </c>
      <c r="D57" s="811">
        <f>D58/3*2</f>
        <v>133600</v>
      </c>
      <c r="E57" s="811">
        <f>E55+D57</f>
        <v>743888</v>
      </c>
      <c r="F57" s="418">
        <f t="shared" si="11"/>
        <v>0.27020196588733786</v>
      </c>
      <c r="G57" s="418">
        <v>0.32</v>
      </c>
      <c r="H57" s="418">
        <f t="shared" si="8"/>
        <v>21.833333333333332</v>
      </c>
      <c r="I57" s="144"/>
      <c r="J57" s="144"/>
      <c r="K57" s="144"/>
      <c r="L57" s="144"/>
      <c r="M57" s="181"/>
      <c r="N57" s="144">
        <f t="shared" si="12"/>
        <v>16.5</v>
      </c>
      <c r="O57" s="144"/>
      <c r="P57" s="107"/>
    </row>
    <row r="58" spans="1:16" x14ac:dyDescent="0.2">
      <c r="A58" s="809">
        <v>42795</v>
      </c>
      <c r="B58" s="812">
        <v>21</v>
      </c>
      <c r="C58" s="257">
        <f t="shared" si="10"/>
        <v>222</v>
      </c>
      <c r="D58" s="257">
        <v>200400</v>
      </c>
      <c r="E58" s="257">
        <f>E55+D58</f>
        <v>810688</v>
      </c>
      <c r="F58" s="418">
        <f t="shared" si="11"/>
        <v>0.27384147785584589</v>
      </c>
      <c r="G58" s="418">
        <v>0.32</v>
      </c>
      <c r="H58" s="418">
        <f t="shared" si="8"/>
        <v>21.833333333333332</v>
      </c>
      <c r="I58" s="144"/>
      <c r="J58" s="144"/>
      <c r="K58" s="144"/>
      <c r="L58" s="144"/>
      <c r="M58" s="181"/>
      <c r="N58" s="144">
        <f t="shared" si="12"/>
        <v>16.5</v>
      </c>
      <c r="O58" s="144"/>
      <c r="P58" s="107"/>
    </row>
    <row r="59" spans="1:16" x14ac:dyDescent="0.2">
      <c r="A59" s="809">
        <v>42826</v>
      </c>
      <c r="B59" s="810">
        <v>17</v>
      </c>
      <c r="C59" s="257">
        <f>B59</f>
        <v>17</v>
      </c>
      <c r="D59" s="811">
        <f>D61/3</f>
        <v>68538</v>
      </c>
      <c r="E59" s="257">
        <f>D59</f>
        <v>68538</v>
      </c>
      <c r="F59" s="418">
        <f t="shared" si="11"/>
        <v>0.24803758498934894</v>
      </c>
      <c r="G59" s="418">
        <v>0.32</v>
      </c>
      <c r="H59" s="418">
        <f t="shared" si="8"/>
        <v>21.833333333333332</v>
      </c>
      <c r="I59" s="144"/>
      <c r="J59" s="144"/>
      <c r="K59" s="144"/>
      <c r="L59" s="144"/>
      <c r="M59" s="181"/>
      <c r="N59" s="144">
        <f t="shared" si="12"/>
        <v>16.5</v>
      </c>
      <c r="O59" s="144"/>
      <c r="P59" s="107"/>
    </row>
    <row r="60" spans="1:16" x14ac:dyDescent="0.2">
      <c r="A60" s="809">
        <v>42856</v>
      </c>
      <c r="B60" s="810">
        <v>11</v>
      </c>
      <c r="C60" s="257">
        <f t="shared" ref="C60:C70" si="13">C59+B60</f>
        <v>28</v>
      </c>
      <c r="D60" s="811">
        <f>D61/3*2</f>
        <v>137076</v>
      </c>
      <c r="E60" s="811">
        <f>D60</f>
        <v>137076</v>
      </c>
      <c r="F60" s="418">
        <f t="shared" si="11"/>
        <v>0.20426624646181682</v>
      </c>
      <c r="G60" s="418">
        <v>0.32</v>
      </c>
      <c r="H60" s="418">
        <f t="shared" si="8"/>
        <v>21.833333333333332</v>
      </c>
      <c r="I60" s="144"/>
      <c r="J60" s="144"/>
      <c r="K60" s="144"/>
      <c r="L60" s="144"/>
      <c r="M60" s="144"/>
      <c r="N60" s="144">
        <f t="shared" si="12"/>
        <v>16.5</v>
      </c>
      <c r="O60" s="144"/>
      <c r="P60" s="107"/>
    </row>
    <row r="61" spans="1:16" x14ac:dyDescent="0.2">
      <c r="A61" s="809">
        <v>42887</v>
      </c>
      <c r="B61" s="810">
        <v>15</v>
      </c>
      <c r="C61" s="257">
        <f t="shared" si="13"/>
        <v>43</v>
      </c>
      <c r="D61" s="257">
        <v>205614</v>
      </c>
      <c r="E61" s="257">
        <f>D61</f>
        <v>205614</v>
      </c>
      <c r="F61" s="418">
        <f t="shared" si="11"/>
        <v>0.20912972852043149</v>
      </c>
      <c r="G61" s="418">
        <v>0.32</v>
      </c>
      <c r="H61" s="418">
        <f t="shared" si="8"/>
        <v>21.833333333333332</v>
      </c>
      <c r="I61" s="144"/>
      <c r="J61" s="144"/>
      <c r="K61" s="144"/>
      <c r="L61" s="144"/>
      <c r="M61" s="144"/>
      <c r="N61" s="144">
        <f t="shared" si="12"/>
        <v>16.5</v>
      </c>
      <c r="O61" s="144"/>
      <c r="P61" s="107"/>
    </row>
    <row r="62" spans="1:16" x14ac:dyDescent="0.2">
      <c r="A62" s="809">
        <v>42917</v>
      </c>
      <c r="B62" s="810">
        <v>9</v>
      </c>
      <c r="C62" s="257">
        <f t="shared" si="13"/>
        <v>52</v>
      </c>
      <c r="D62" s="811">
        <f>D64/3</f>
        <v>67631.666666666672</v>
      </c>
      <c r="E62" s="811">
        <f>E61+D62</f>
        <v>273245.66666666669</v>
      </c>
      <c r="F62" s="418">
        <f t="shared" si="11"/>
        <v>0.1903049392671064</v>
      </c>
      <c r="G62" s="418">
        <v>0.32</v>
      </c>
      <c r="H62" s="418">
        <f t="shared" si="8"/>
        <v>21.833333333333332</v>
      </c>
      <c r="I62" s="144"/>
      <c r="J62" s="144"/>
      <c r="K62" s="144"/>
      <c r="L62" s="144"/>
      <c r="M62" s="144"/>
      <c r="N62" s="144">
        <f t="shared" si="12"/>
        <v>16.5</v>
      </c>
      <c r="O62" s="144"/>
      <c r="P62" s="107"/>
    </row>
    <row r="63" spans="1:16" x14ac:dyDescent="0.2">
      <c r="A63" s="809">
        <v>42948</v>
      </c>
      <c r="B63" s="810">
        <v>15</v>
      </c>
      <c r="C63" s="257">
        <f t="shared" si="13"/>
        <v>67</v>
      </c>
      <c r="D63" s="811">
        <f>D64/3*2</f>
        <v>135263.33333333334</v>
      </c>
      <c r="E63" s="811">
        <f>E61+D63</f>
        <v>340877.33333333337</v>
      </c>
      <c r="F63" s="418">
        <f t="shared" si="11"/>
        <v>0.19655164321085197</v>
      </c>
      <c r="G63" s="418">
        <v>0.32</v>
      </c>
      <c r="H63" s="418">
        <f t="shared" si="8"/>
        <v>21.833333333333332</v>
      </c>
      <c r="I63" s="144"/>
      <c r="J63" s="144"/>
      <c r="K63" s="144"/>
      <c r="L63" s="144"/>
      <c r="M63" s="144"/>
      <c r="N63" s="144">
        <f t="shared" si="12"/>
        <v>16.5</v>
      </c>
      <c r="O63" s="144"/>
      <c r="P63" s="107"/>
    </row>
    <row r="64" spans="1:16" x14ac:dyDescent="0.2">
      <c r="A64" s="809">
        <v>42979</v>
      </c>
      <c r="B64" s="810">
        <v>16</v>
      </c>
      <c r="C64" s="257">
        <f t="shared" si="13"/>
        <v>83</v>
      </c>
      <c r="D64" s="257">
        <v>202895</v>
      </c>
      <c r="E64" s="257">
        <f>E61+D64</f>
        <v>408509</v>
      </c>
      <c r="F64" s="418">
        <f t="shared" si="11"/>
        <v>0.20317789816136242</v>
      </c>
      <c r="G64" s="418">
        <v>0.32</v>
      </c>
      <c r="H64" s="418">
        <f t="shared" si="8"/>
        <v>21.833333333333332</v>
      </c>
      <c r="I64" s="144"/>
      <c r="J64" s="144"/>
      <c r="K64" s="144"/>
      <c r="L64" s="144"/>
      <c r="M64" s="144"/>
      <c r="N64" s="144">
        <f t="shared" si="12"/>
        <v>16.5</v>
      </c>
      <c r="O64" s="144"/>
      <c r="P64" s="107"/>
    </row>
    <row r="65" spans="1:16" x14ac:dyDescent="0.2">
      <c r="A65" s="809">
        <v>43009</v>
      </c>
      <c r="B65" s="812">
        <v>20</v>
      </c>
      <c r="C65" s="257">
        <f t="shared" si="13"/>
        <v>103</v>
      </c>
      <c r="D65" s="811">
        <f>D67/3</f>
        <v>62579.333333333336</v>
      </c>
      <c r="E65" s="811">
        <f>E64+D65</f>
        <v>471088.33333333331</v>
      </c>
      <c r="F65" s="418">
        <f t="shared" ref="F65:F76" si="14">C65/E65*1000</f>
        <v>0.21864264663739638</v>
      </c>
      <c r="G65" s="418">
        <v>0.32</v>
      </c>
      <c r="H65" s="418">
        <f t="shared" si="8"/>
        <v>21.833333333333332</v>
      </c>
      <c r="I65" s="144"/>
      <c r="J65" s="144"/>
      <c r="K65" s="144"/>
      <c r="L65" s="144"/>
      <c r="M65" s="144"/>
      <c r="N65" s="144">
        <f t="shared" si="12"/>
        <v>16.5</v>
      </c>
      <c r="O65" s="144">
        <f t="shared" si="12"/>
        <v>16.5</v>
      </c>
      <c r="P65" s="107"/>
    </row>
    <row r="66" spans="1:16" x14ac:dyDescent="0.2">
      <c r="A66" s="809">
        <v>43040</v>
      </c>
      <c r="B66" s="812">
        <v>14</v>
      </c>
      <c r="C66" s="257">
        <f t="shared" si="13"/>
        <v>117</v>
      </c>
      <c r="D66" s="811">
        <f>D67/3*2</f>
        <v>125158.66666666667</v>
      </c>
      <c r="E66" s="811">
        <f>E64+D66</f>
        <v>533667.66666666663</v>
      </c>
      <c r="F66" s="418">
        <f t="shared" si="14"/>
        <v>0.21923756545115783</v>
      </c>
      <c r="G66" s="418">
        <v>0.32</v>
      </c>
      <c r="H66" s="418">
        <f t="shared" si="8"/>
        <v>21.833333333333332</v>
      </c>
      <c r="I66" s="144"/>
      <c r="J66" s="144"/>
      <c r="K66" s="144"/>
      <c r="L66" s="144"/>
      <c r="M66" s="144"/>
      <c r="N66" s="144"/>
      <c r="O66" s="144">
        <f t="shared" si="12"/>
        <v>16.5</v>
      </c>
      <c r="P66" s="107"/>
    </row>
    <row r="67" spans="1:16" x14ac:dyDescent="0.2">
      <c r="A67" s="809">
        <v>43070</v>
      </c>
      <c r="B67" s="812">
        <v>15</v>
      </c>
      <c r="C67" s="257">
        <f t="shared" si="13"/>
        <v>132</v>
      </c>
      <c r="D67" s="257">
        <v>187738</v>
      </c>
      <c r="E67" s="257">
        <f>E64+D67</f>
        <v>596247</v>
      </c>
      <c r="F67" s="418">
        <f t="shared" si="14"/>
        <v>0.22138476168433552</v>
      </c>
      <c r="G67" s="418">
        <v>0.32</v>
      </c>
      <c r="H67" s="418">
        <f t="shared" si="8"/>
        <v>21.833333333333332</v>
      </c>
      <c r="I67" s="144"/>
      <c r="J67" s="144"/>
      <c r="K67" s="144"/>
      <c r="L67" s="144"/>
      <c r="M67" s="144"/>
      <c r="N67" s="144"/>
      <c r="O67" s="144">
        <f t="shared" si="12"/>
        <v>16.5</v>
      </c>
      <c r="P67" s="107"/>
    </row>
    <row r="68" spans="1:16" x14ac:dyDescent="0.2">
      <c r="A68" s="809"/>
      <c r="B68" s="812"/>
      <c r="C68" s="257">
        <f t="shared" si="13"/>
        <v>132</v>
      </c>
      <c r="D68" s="811">
        <f>D70/3</f>
        <v>63902.333333333336</v>
      </c>
      <c r="E68" s="811">
        <f>E67+D68</f>
        <v>660149.33333333337</v>
      </c>
      <c r="F68" s="418">
        <f t="shared" si="14"/>
        <v>0.19995475771138649</v>
      </c>
      <c r="G68" s="418">
        <v>0.32</v>
      </c>
      <c r="H68" s="418">
        <f t="shared" si="8"/>
        <v>21.833333333333332</v>
      </c>
      <c r="I68" s="144"/>
      <c r="J68" s="144"/>
      <c r="K68" s="144"/>
      <c r="L68" s="144"/>
      <c r="M68" s="144"/>
      <c r="N68" s="144"/>
      <c r="O68" s="144">
        <f t="shared" si="12"/>
        <v>16.5</v>
      </c>
      <c r="P68" s="107"/>
    </row>
    <row r="69" spans="1:16" x14ac:dyDescent="0.2">
      <c r="A69" s="809"/>
      <c r="B69" s="812"/>
      <c r="C69" s="257">
        <f t="shared" si="13"/>
        <v>132</v>
      </c>
      <c r="D69" s="811">
        <f>D70/3*2</f>
        <v>127804.66666666667</v>
      </c>
      <c r="E69" s="811">
        <f>E67+D69</f>
        <v>724051.66666666663</v>
      </c>
      <c r="F69" s="418">
        <f t="shared" si="14"/>
        <v>0.1823074320202748</v>
      </c>
      <c r="G69" s="418">
        <v>0.32</v>
      </c>
      <c r="H69" s="418">
        <f t="shared" si="8"/>
        <v>21.833333333333332</v>
      </c>
      <c r="I69" s="144"/>
      <c r="J69" s="144"/>
      <c r="K69" s="144"/>
      <c r="L69" s="144"/>
      <c r="M69" s="144"/>
      <c r="N69" s="144"/>
      <c r="O69" s="144">
        <f t="shared" si="12"/>
        <v>16.5</v>
      </c>
      <c r="P69" s="107"/>
    </row>
    <row r="70" spans="1:16" x14ac:dyDescent="0.2">
      <c r="A70" s="809"/>
      <c r="B70" s="812"/>
      <c r="C70" s="257">
        <f t="shared" si="13"/>
        <v>132</v>
      </c>
      <c r="D70" s="257">
        <v>191707</v>
      </c>
      <c r="E70" s="257">
        <f>E67+D70</f>
        <v>787954</v>
      </c>
      <c r="F70" s="418">
        <f t="shared" si="14"/>
        <v>0.16752246958578801</v>
      </c>
      <c r="G70" s="418">
        <v>0.32</v>
      </c>
      <c r="H70" s="418">
        <f t="shared" si="8"/>
        <v>21.833333333333332</v>
      </c>
      <c r="I70" s="144"/>
      <c r="J70" s="144"/>
      <c r="K70" s="144"/>
      <c r="L70" s="144"/>
      <c r="M70" s="144"/>
      <c r="N70" s="144"/>
      <c r="O70" s="144">
        <f t="shared" si="12"/>
        <v>16.5</v>
      </c>
      <c r="P70" s="107"/>
    </row>
    <row r="71" spans="1:16" x14ac:dyDescent="0.2">
      <c r="A71" s="809"/>
      <c r="B71" s="812"/>
      <c r="C71" s="257">
        <f>B71</f>
        <v>0</v>
      </c>
      <c r="D71" s="811">
        <f>D73/3</f>
        <v>64476.666666666664</v>
      </c>
      <c r="E71" s="811">
        <f>D71</f>
        <v>64476.666666666664</v>
      </c>
      <c r="F71" s="418">
        <f t="shared" si="14"/>
        <v>0</v>
      </c>
      <c r="G71" s="418">
        <v>0.32</v>
      </c>
      <c r="H71" s="418" t="s">
        <v>368</v>
      </c>
      <c r="I71" s="144"/>
      <c r="J71" s="144"/>
      <c r="K71" s="144"/>
      <c r="L71" s="144"/>
      <c r="M71" s="144"/>
      <c r="N71" s="144"/>
      <c r="O71" s="144">
        <f t="shared" ref="O71:O82" si="15">MEDIAN($B$54:$B$65)</f>
        <v>16.5</v>
      </c>
      <c r="P71" s="107"/>
    </row>
    <row r="72" spans="1:16" x14ac:dyDescent="0.2">
      <c r="A72" s="809"/>
      <c r="B72" s="812"/>
      <c r="C72" s="257">
        <f t="shared" ref="C72:C82" si="16">C71+B72</f>
        <v>0</v>
      </c>
      <c r="D72" s="811">
        <f>D73/3*2</f>
        <v>128953.33333333333</v>
      </c>
      <c r="E72" s="811">
        <f>D72</f>
        <v>128953.33333333333</v>
      </c>
      <c r="F72" s="418">
        <f t="shared" si="14"/>
        <v>0</v>
      </c>
      <c r="G72" s="418">
        <v>0.32</v>
      </c>
      <c r="H72" s="418" t="s">
        <v>368</v>
      </c>
      <c r="I72" s="144"/>
      <c r="J72" s="144"/>
      <c r="K72" s="144"/>
      <c r="L72" s="144"/>
      <c r="M72" s="144"/>
      <c r="N72" s="144"/>
      <c r="O72" s="144">
        <f t="shared" si="15"/>
        <v>16.5</v>
      </c>
      <c r="P72" s="107"/>
    </row>
    <row r="73" spans="1:16" x14ac:dyDescent="0.2">
      <c r="A73" s="809"/>
      <c r="B73" s="812"/>
      <c r="C73" s="257">
        <f t="shared" si="16"/>
        <v>0</v>
      </c>
      <c r="D73" s="257">
        <v>193430</v>
      </c>
      <c r="E73" s="257">
        <f>D73</f>
        <v>193430</v>
      </c>
      <c r="F73" s="418">
        <f t="shared" si="14"/>
        <v>0</v>
      </c>
      <c r="G73" s="418">
        <v>0.32</v>
      </c>
      <c r="H73" s="418" t="s">
        <v>368</v>
      </c>
      <c r="I73" s="144"/>
      <c r="J73" s="144"/>
      <c r="K73" s="144"/>
      <c r="L73" s="144"/>
      <c r="M73" s="144"/>
      <c r="N73" s="144"/>
      <c r="O73" s="144">
        <f t="shared" si="15"/>
        <v>16.5</v>
      </c>
      <c r="P73" s="107"/>
    </row>
    <row r="74" spans="1:16" x14ac:dyDescent="0.2">
      <c r="A74" s="809"/>
      <c r="B74" s="812"/>
      <c r="C74" s="257">
        <f t="shared" si="16"/>
        <v>0</v>
      </c>
      <c r="D74" s="811">
        <f>D76/3</f>
        <v>0</v>
      </c>
      <c r="E74" s="811">
        <f>E73+D74</f>
        <v>193430</v>
      </c>
      <c r="F74" s="418">
        <f t="shared" si="14"/>
        <v>0</v>
      </c>
      <c r="G74" s="418">
        <v>0.32</v>
      </c>
      <c r="H74" s="418" t="s">
        <v>368</v>
      </c>
      <c r="I74" s="144"/>
      <c r="J74" s="144"/>
      <c r="K74" s="144"/>
      <c r="L74" s="144"/>
      <c r="M74" s="144"/>
      <c r="N74" s="144"/>
      <c r="O74" s="144">
        <f t="shared" si="15"/>
        <v>16.5</v>
      </c>
      <c r="P74" s="107"/>
    </row>
    <row r="75" spans="1:16" x14ac:dyDescent="0.2">
      <c r="A75" s="809"/>
      <c r="B75" s="812"/>
      <c r="C75" s="257">
        <f t="shared" si="16"/>
        <v>0</v>
      </c>
      <c r="D75" s="811">
        <f>D76/3*2</f>
        <v>0</v>
      </c>
      <c r="E75" s="811">
        <f>E73+D75</f>
        <v>193430</v>
      </c>
      <c r="F75" s="418">
        <f t="shared" si="14"/>
        <v>0</v>
      </c>
      <c r="G75" s="418">
        <v>0.32</v>
      </c>
      <c r="H75" s="418" t="s">
        <v>368</v>
      </c>
      <c r="I75" s="144"/>
      <c r="J75" s="144"/>
      <c r="K75" s="144"/>
      <c r="L75" s="144"/>
      <c r="M75" s="144"/>
      <c r="N75" s="144"/>
      <c r="O75" s="144">
        <f t="shared" si="15"/>
        <v>16.5</v>
      </c>
      <c r="P75" s="107"/>
    </row>
    <row r="76" spans="1:16" x14ac:dyDescent="0.2">
      <c r="A76" s="809"/>
      <c r="B76" s="812"/>
      <c r="C76" s="257">
        <f t="shared" si="16"/>
        <v>0</v>
      </c>
      <c r="D76" s="257"/>
      <c r="E76" s="257">
        <f>E73+D76</f>
        <v>193430</v>
      </c>
      <c r="F76" s="418">
        <f t="shared" si="14"/>
        <v>0</v>
      </c>
      <c r="G76" s="418">
        <v>0.32</v>
      </c>
      <c r="H76" s="418" t="s">
        <v>368</v>
      </c>
      <c r="I76" s="144"/>
      <c r="J76" s="144"/>
      <c r="K76" s="144"/>
      <c r="L76" s="144"/>
      <c r="M76" s="144"/>
      <c r="N76" s="144"/>
      <c r="O76" s="144">
        <f t="shared" si="15"/>
        <v>16.5</v>
      </c>
      <c r="P76" s="107"/>
    </row>
    <row r="77" spans="1:16" x14ac:dyDescent="0.2">
      <c r="A77" s="809"/>
      <c r="B77" s="812"/>
      <c r="C77" s="257">
        <f t="shared" si="16"/>
        <v>0</v>
      </c>
      <c r="D77" s="811">
        <f>D79/3</f>
        <v>0</v>
      </c>
      <c r="E77" s="811">
        <f>E76+D77</f>
        <v>193430</v>
      </c>
      <c r="F77" s="418">
        <f t="shared" ref="F77:F82" si="17">C77/E77*1000</f>
        <v>0</v>
      </c>
      <c r="G77" s="418">
        <v>0.32</v>
      </c>
      <c r="H77" s="418" t="s">
        <v>368</v>
      </c>
      <c r="I77" s="144"/>
      <c r="J77" s="144"/>
      <c r="K77" s="144"/>
      <c r="L77" s="144"/>
      <c r="M77" s="144"/>
      <c r="N77" s="144"/>
      <c r="O77" s="144">
        <f t="shared" si="15"/>
        <v>16.5</v>
      </c>
      <c r="P77" s="107"/>
    </row>
    <row r="78" spans="1:16" x14ac:dyDescent="0.2">
      <c r="A78" s="809"/>
      <c r="B78" s="812"/>
      <c r="C78" s="257">
        <f t="shared" si="16"/>
        <v>0</v>
      </c>
      <c r="D78" s="811">
        <f>D79/3*2</f>
        <v>0</v>
      </c>
      <c r="E78" s="811">
        <f>E76+D78</f>
        <v>193430</v>
      </c>
      <c r="F78" s="418">
        <f t="shared" si="17"/>
        <v>0</v>
      </c>
      <c r="G78" s="418">
        <v>0.32</v>
      </c>
      <c r="H78" s="418" t="s">
        <v>368</v>
      </c>
      <c r="I78" s="144"/>
      <c r="J78" s="144"/>
      <c r="K78" s="144"/>
      <c r="L78" s="144"/>
      <c r="M78" s="144"/>
      <c r="N78" s="144"/>
      <c r="O78" s="144">
        <f t="shared" si="15"/>
        <v>16.5</v>
      </c>
      <c r="P78" s="107"/>
    </row>
    <row r="79" spans="1:16" x14ac:dyDescent="0.2">
      <c r="A79" s="809"/>
      <c r="B79" s="812"/>
      <c r="C79" s="257">
        <f t="shared" si="16"/>
        <v>0</v>
      </c>
      <c r="D79" s="257"/>
      <c r="E79" s="257">
        <f>E76+D79</f>
        <v>193430</v>
      </c>
      <c r="F79" s="418">
        <f t="shared" si="17"/>
        <v>0</v>
      </c>
      <c r="G79" s="418">
        <v>0.32</v>
      </c>
      <c r="H79" s="418" t="s">
        <v>368</v>
      </c>
      <c r="I79" s="144"/>
      <c r="J79" s="144"/>
      <c r="K79" s="144"/>
      <c r="L79" s="144"/>
      <c r="M79" s="144"/>
      <c r="N79" s="144"/>
      <c r="O79" s="144">
        <f t="shared" si="15"/>
        <v>16.5</v>
      </c>
      <c r="P79" s="107"/>
    </row>
    <row r="80" spans="1:16" x14ac:dyDescent="0.2">
      <c r="A80" s="809"/>
      <c r="B80" s="812"/>
      <c r="C80" s="257">
        <f t="shared" si="16"/>
        <v>0</v>
      </c>
      <c r="D80" s="811">
        <f>D82/3</f>
        <v>0</v>
      </c>
      <c r="E80" s="811">
        <f>E79+D80</f>
        <v>193430</v>
      </c>
      <c r="F80" s="418">
        <f t="shared" si="17"/>
        <v>0</v>
      </c>
      <c r="G80" s="418">
        <v>0.32</v>
      </c>
      <c r="H80" s="418" t="s">
        <v>368</v>
      </c>
      <c r="I80" s="144"/>
      <c r="J80" s="144"/>
      <c r="K80" s="144"/>
      <c r="L80" s="144"/>
      <c r="M80" s="144"/>
      <c r="N80" s="144"/>
      <c r="O80" s="144">
        <f t="shared" si="15"/>
        <v>16.5</v>
      </c>
      <c r="P80" s="107"/>
    </row>
    <row r="81" spans="1:16" x14ac:dyDescent="0.2">
      <c r="A81" s="809"/>
      <c r="B81" s="812"/>
      <c r="C81" s="257">
        <f t="shared" si="16"/>
        <v>0</v>
      </c>
      <c r="D81" s="811">
        <f>D82/3*2</f>
        <v>0</v>
      </c>
      <c r="E81" s="811">
        <f>E79+D81</f>
        <v>193430</v>
      </c>
      <c r="F81" s="418">
        <f t="shared" si="17"/>
        <v>0</v>
      </c>
      <c r="G81" s="418">
        <v>0.32</v>
      </c>
      <c r="H81" s="418" t="s">
        <v>368</v>
      </c>
      <c r="I81" s="144"/>
      <c r="J81" s="144"/>
      <c r="K81" s="144"/>
      <c r="L81" s="144"/>
      <c r="M81" s="144"/>
      <c r="N81" s="144"/>
      <c r="O81" s="144">
        <f t="shared" si="15"/>
        <v>16.5</v>
      </c>
      <c r="P81" s="107"/>
    </row>
    <row r="82" spans="1:16" x14ac:dyDescent="0.2">
      <c r="A82" s="809"/>
      <c r="B82" s="812"/>
      <c r="C82" s="257">
        <f t="shared" si="16"/>
        <v>0</v>
      </c>
      <c r="D82" s="257"/>
      <c r="E82" s="257">
        <f>E79+D82</f>
        <v>193430</v>
      </c>
      <c r="F82" s="418">
        <f t="shared" si="17"/>
        <v>0</v>
      </c>
      <c r="G82" s="418">
        <v>0.32</v>
      </c>
      <c r="H82" s="418" t="s">
        <v>368</v>
      </c>
      <c r="I82" s="144"/>
      <c r="J82" s="144"/>
      <c r="K82" s="144"/>
      <c r="L82" s="144"/>
      <c r="M82" s="144"/>
      <c r="N82" s="144"/>
      <c r="O82" s="144">
        <f t="shared" si="15"/>
        <v>16.5</v>
      </c>
      <c r="P82" s="107"/>
    </row>
    <row r="84" spans="1:16" x14ac:dyDescent="0.2">
      <c r="A84" s="127" t="s">
        <v>576</v>
      </c>
      <c r="N84" s="127"/>
      <c r="O84" s="127" t="s">
        <v>577</v>
      </c>
      <c r="P84" s="127"/>
    </row>
    <row r="109" spans="14:16" x14ac:dyDescent="0.2">
      <c r="N109" s="644"/>
      <c r="O109" s="644"/>
      <c r="P109" s="644"/>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S109"/>
  <sheetViews>
    <sheetView workbookViewId="0"/>
  </sheetViews>
  <sheetFormatPr defaultColWidth="9.140625" defaultRowHeight="12.75" x14ac:dyDescent="0.2"/>
  <cols>
    <col min="1" max="1" width="24.42578125" style="107" bestFit="1" customWidth="1"/>
    <col min="2" max="2" width="9.5703125" style="107" customWidth="1"/>
    <col min="3" max="3" width="11.28515625" style="107" bestFit="1" customWidth="1"/>
    <col min="4" max="5" width="11.28515625" style="107" customWidth="1"/>
    <col min="6" max="6" width="5.140625" style="107" bestFit="1" customWidth="1"/>
    <col min="7" max="7" width="6.85546875" style="107" bestFit="1" customWidth="1"/>
    <col min="8" max="8" width="9.85546875" style="107" bestFit="1" customWidth="1"/>
    <col min="9" max="9" width="8.85546875" style="107" bestFit="1" customWidth="1"/>
    <col min="10" max="10" width="9.5703125" style="107" bestFit="1" customWidth="1"/>
    <col min="11" max="11" width="9.140625" style="107"/>
    <col min="12" max="12" width="9.5703125" style="107" bestFit="1" customWidth="1"/>
    <col min="13" max="13" width="9.140625" style="107"/>
    <col min="14" max="14" width="9.140625" style="107" customWidth="1"/>
    <col min="15" max="15" width="9.42578125" style="107" customWidth="1"/>
    <col min="16" max="16384" width="9.140625" style="107"/>
  </cols>
  <sheetData>
    <row r="1" spans="1:10" x14ac:dyDescent="0.2">
      <c r="A1" s="106" t="s">
        <v>345</v>
      </c>
    </row>
    <row r="2" spans="1:10" x14ac:dyDescent="0.2">
      <c r="A2" s="106"/>
    </row>
    <row r="3" spans="1:10" x14ac:dyDescent="0.2">
      <c r="A3" s="108" t="s">
        <v>436</v>
      </c>
      <c r="B3" s="107" t="s">
        <v>52</v>
      </c>
    </row>
    <row r="4" spans="1:10" x14ac:dyDescent="0.2">
      <c r="A4" s="108" t="s">
        <v>149</v>
      </c>
      <c r="B4" s="258">
        <f>VLOOKUP(MAX(A11:A82),A11:F82,3,0)</f>
        <v>158</v>
      </c>
    </row>
    <row r="5" spans="1:10" x14ac:dyDescent="0.2">
      <c r="A5" s="108" t="s">
        <v>150</v>
      </c>
      <c r="B5" s="175">
        <f>VLOOKUP(MAX(A11:A82),A11:F82,6,0)</f>
        <v>0.27088887555399344</v>
      </c>
    </row>
    <row r="6" spans="1:10" x14ac:dyDescent="0.2">
      <c r="A6" s="108" t="s">
        <v>118</v>
      </c>
      <c r="B6" s="128">
        <f>MAX(A11:A82)</f>
        <v>43070</v>
      </c>
      <c r="C6" s="128"/>
      <c r="D6" s="128"/>
      <c r="E6" s="128"/>
      <c r="F6" s="128"/>
      <c r="G6" s="128"/>
      <c r="H6" s="128"/>
    </row>
    <row r="7" spans="1:10" x14ac:dyDescent="0.2">
      <c r="A7" s="108" t="s">
        <v>195</v>
      </c>
      <c r="B7" s="409" t="s">
        <v>180</v>
      </c>
      <c r="C7" s="128"/>
      <c r="D7" s="128"/>
      <c r="E7" s="128"/>
      <c r="F7" s="128"/>
      <c r="G7" s="128"/>
      <c r="H7" s="128"/>
    </row>
    <row r="8" spans="1:10" x14ac:dyDescent="0.2">
      <c r="A8" s="108" t="s">
        <v>438</v>
      </c>
      <c r="B8" s="162" t="s">
        <v>138</v>
      </c>
      <c r="C8" s="162"/>
      <c r="D8" s="162"/>
      <c r="E8" s="162"/>
      <c r="F8" s="162"/>
      <c r="G8" s="162"/>
      <c r="H8" s="162"/>
    </row>
    <row r="9" spans="1:10" x14ac:dyDescent="0.2">
      <c r="I9" s="1084"/>
      <c r="J9" s="1084"/>
    </row>
    <row r="10" spans="1:10" ht="38.25" x14ac:dyDescent="0.2">
      <c r="A10" s="3" t="s">
        <v>432</v>
      </c>
      <c r="B10" s="4" t="s">
        <v>433</v>
      </c>
      <c r="C10" s="4" t="s">
        <v>147</v>
      </c>
      <c r="D10" s="4" t="s">
        <v>185</v>
      </c>
      <c r="E10" s="4" t="s">
        <v>186</v>
      </c>
      <c r="F10" s="254" t="s">
        <v>148</v>
      </c>
      <c r="G10" s="185" t="s">
        <v>513</v>
      </c>
      <c r="H10" s="645" t="s">
        <v>578</v>
      </c>
      <c r="I10" s="185" t="s">
        <v>130</v>
      </c>
      <c r="J10" s="185" t="s">
        <v>178</v>
      </c>
    </row>
    <row r="11" spans="1:10" x14ac:dyDescent="0.2">
      <c r="A11" s="809">
        <v>41365</v>
      </c>
      <c r="B11" s="810">
        <v>19</v>
      </c>
      <c r="C11" s="257">
        <f>B11</f>
        <v>19</v>
      </c>
      <c r="D11" s="811">
        <f>D13/3</f>
        <v>67256.333333333328</v>
      </c>
      <c r="E11" s="811">
        <f>D11</f>
        <v>67256.333333333328</v>
      </c>
      <c r="F11" s="418">
        <f>C11/E11*1000</f>
        <v>0.28250127621190574</v>
      </c>
      <c r="G11" s="418">
        <v>0.24</v>
      </c>
      <c r="H11" s="418">
        <f>(219/12)</f>
        <v>18.25</v>
      </c>
      <c r="I11" s="144">
        <f>MEDIAN($B$11:$B$22)</f>
        <v>20.5</v>
      </c>
      <c r="J11" s="144"/>
    </row>
    <row r="12" spans="1:10" x14ac:dyDescent="0.2">
      <c r="A12" s="809">
        <v>41395</v>
      </c>
      <c r="B12" s="810">
        <v>18</v>
      </c>
      <c r="C12" s="257">
        <f t="shared" ref="C12:C22" si="0">C11+B12</f>
        <v>37</v>
      </c>
      <c r="D12" s="811">
        <f>D13/3*2</f>
        <v>134512.66666666666</v>
      </c>
      <c r="E12" s="811">
        <f>D12</f>
        <v>134512.66666666666</v>
      </c>
      <c r="F12" s="418">
        <f t="shared" ref="F12:F70" si="1">C12/E12*1000</f>
        <v>0.27506703210106609</v>
      </c>
      <c r="G12" s="418">
        <v>0.24</v>
      </c>
      <c r="H12" s="418">
        <f t="shared" ref="H12:H22" si="2">(219/12)</f>
        <v>18.25</v>
      </c>
      <c r="I12" s="144">
        <f t="shared" ref="I12:J27" si="3">MEDIAN($B$11:$B$22)</f>
        <v>20.5</v>
      </c>
      <c r="J12" s="144"/>
    </row>
    <row r="13" spans="1:10" x14ac:dyDescent="0.2">
      <c r="A13" s="809">
        <v>41426</v>
      </c>
      <c r="B13" s="810">
        <v>17</v>
      </c>
      <c r="C13" s="257">
        <f t="shared" si="0"/>
        <v>54</v>
      </c>
      <c r="D13" s="257">
        <v>201769</v>
      </c>
      <c r="E13" s="811">
        <f>D13</f>
        <v>201769</v>
      </c>
      <c r="F13" s="418">
        <f t="shared" si="1"/>
        <v>0.2676327879902265</v>
      </c>
      <c r="G13" s="418">
        <v>0.24</v>
      </c>
      <c r="H13" s="418">
        <f t="shared" si="2"/>
        <v>18.25</v>
      </c>
      <c r="I13" s="144">
        <f t="shared" si="3"/>
        <v>20.5</v>
      </c>
      <c r="J13" s="144"/>
    </row>
    <row r="14" spans="1:10" x14ac:dyDescent="0.2">
      <c r="A14" s="809">
        <v>41456</v>
      </c>
      <c r="B14" s="810">
        <v>21</v>
      </c>
      <c r="C14" s="257">
        <f t="shared" si="0"/>
        <v>75</v>
      </c>
      <c r="D14" s="257">
        <f>D16/3</f>
        <v>65527</v>
      </c>
      <c r="E14" s="811">
        <f>E13+D14</f>
        <v>267296</v>
      </c>
      <c r="F14" s="418">
        <f t="shared" si="1"/>
        <v>0.28058781276188194</v>
      </c>
      <c r="G14" s="418">
        <v>0.24</v>
      </c>
      <c r="H14" s="418">
        <f t="shared" si="2"/>
        <v>18.25</v>
      </c>
      <c r="I14" s="144">
        <f t="shared" si="3"/>
        <v>20.5</v>
      </c>
      <c r="J14" s="144"/>
    </row>
    <row r="15" spans="1:10" x14ac:dyDescent="0.2">
      <c r="A15" s="809">
        <v>41487</v>
      </c>
      <c r="B15" s="810">
        <v>18</v>
      </c>
      <c r="C15" s="257">
        <f t="shared" si="0"/>
        <v>93</v>
      </c>
      <c r="D15" s="257">
        <f>D16/3*2</f>
        <v>131054</v>
      </c>
      <c r="E15" s="811">
        <f>E13+D15</f>
        <v>332823</v>
      </c>
      <c r="F15" s="418">
        <f t="shared" si="1"/>
        <v>0.27942780396787481</v>
      </c>
      <c r="G15" s="418">
        <v>0.24</v>
      </c>
      <c r="H15" s="418">
        <f t="shared" si="2"/>
        <v>18.25</v>
      </c>
      <c r="I15" s="144">
        <f t="shared" si="3"/>
        <v>20.5</v>
      </c>
      <c r="J15" s="257"/>
    </row>
    <row r="16" spans="1:10" x14ac:dyDescent="0.2">
      <c r="A16" s="809">
        <v>41518</v>
      </c>
      <c r="B16" s="810">
        <v>20</v>
      </c>
      <c r="C16" s="257">
        <f t="shared" si="0"/>
        <v>113</v>
      </c>
      <c r="D16" s="257">
        <v>196581</v>
      </c>
      <c r="E16" s="811">
        <f>E13+D16</f>
        <v>398350</v>
      </c>
      <c r="F16" s="418">
        <f t="shared" si="1"/>
        <v>0.28367013932471447</v>
      </c>
      <c r="G16" s="418">
        <v>0.24</v>
      </c>
      <c r="H16" s="418">
        <f t="shared" si="2"/>
        <v>18.25</v>
      </c>
      <c r="I16" s="144">
        <f t="shared" si="3"/>
        <v>20.5</v>
      </c>
      <c r="J16" s="257"/>
    </row>
    <row r="17" spans="1:19" x14ac:dyDescent="0.2">
      <c r="A17" s="809">
        <v>41548</v>
      </c>
      <c r="B17" s="810">
        <v>25</v>
      </c>
      <c r="C17" s="257">
        <f t="shared" si="0"/>
        <v>138</v>
      </c>
      <c r="D17" s="257">
        <f>D19/3</f>
        <v>66633</v>
      </c>
      <c r="E17" s="811">
        <f>E16+D17</f>
        <v>464983</v>
      </c>
      <c r="F17" s="418">
        <f t="shared" si="1"/>
        <v>0.29678504375428777</v>
      </c>
      <c r="G17" s="418">
        <v>0.24</v>
      </c>
      <c r="H17" s="418">
        <f t="shared" si="2"/>
        <v>18.25</v>
      </c>
      <c r="I17" s="144">
        <f t="shared" si="3"/>
        <v>20.5</v>
      </c>
      <c r="J17" s="144"/>
    </row>
    <row r="18" spans="1:19" x14ac:dyDescent="0.2">
      <c r="A18" s="809">
        <v>41579</v>
      </c>
      <c r="B18" s="810">
        <v>24</v>
      </c>
      <c r="C18" s="257">
        <f t="shared" si="0"/>
        <v>162</v>
      </c>
      <c r="D18" s="257">
        <f>D19/3*2</f>
        <v>133266</v>
      </c>
      <c r="E18" s="811">
        <f>E16+D18</f>
        <v>531616</v>
      </c>
      <c r="F18" s="418">
        <f t="shared" si="1"/>
        <v>0.30473123457533258</v>
      </c>
      <c r="G18" s="418">
        <v>0.24</v>
      </c>
      <c r="H18" s="418">
        <f t="shared" si="2"/>
        <v>18.25</v>
      </c>
      <c r="I18" s="144">
        <f t="shared" si="3"/>
        <v>20.5</v>
      </c>
      <c r="J18" s="144"/>
    </row>
    <row r="19" spans="1:19" x14ac:dyDescent="0.2">
      <c r="A19" s="809">
        <v>41609</v>
      </c>
      <c r="B19" s="810">
        <v>21</v>
      </c>
      <c r="C19" s="257">
        <f t="shared" si="0"/>
        <v>183</v>
      </c>
      <c r="D19" s="257">
        <v>199899</v>
      </c>
      <c r="E19" s="811">
        <f>E16+D19</f>
        <v>598249</v>
      </c>
      <c r="F19" s="418">
        <f t="shared" si="1"/>
        <v>0.30589269685365122</v>
      </c>
      <c r="G19" s="418">
        <v>0.24</v>
      </c>
      <c r="H19" s="418">
        <f t="shared" si="2"/>
        <v>18.25</v>
      </c>
      <c r="I19" s="144">
        <f t="shared" si="3"/>
        <v>20.5</v>
      </c>
      <c r="J19" s="144"/>
    </row>
    <row r="20" spans="1:19" x14ac:dyDescent="0.2">
      <c r="A20" s="809">
        <v>41640</v>
      </c>
      <c r="B20" s="810">
        <v>16</v>
      </c>
      <c r="C20" s="257">
        <f t="shared" si="0"/>
        <v>199</v>
      </c>
      <c r="D20" s="811">
        <f>D22/3</f>
        <v>68692.666666666672</v>
      </c>
      <c r="E20" s="811">
        <f>E19+D20</f>
        <v>666941.66666666663</v>
      </c>
      <c r="F20" s="418">
        <f t="shared" si="1"/>
        <v>0.29837691952069773</v>
      </c>
      <c r="G20" s="418">
        <v>0.24</v>
      </c>
      <c r="H20" s="418">
        <f t="shared" si="2"/>
        <v>18.25</v>
      </c>
      <c r="I20" s="144">
        <f t="shared" si="3"/>
        <v>20.5</v>
      </c>
      <c r="J20" s="144"/>
    </row>
    <row r="21" spans="1:19" x14ac:dyDescent="0.2">
      <c r="A21" s="809">
        <v>41671</v>
      </c>
      <c r="B21" s="810">
        <v>21</v>
      </c>
      <c r="C21" s="257">
        <f t="shared" si="0"/>
        <v>220</v>
      </c>
      <c r="D21" s="811">
        <f>D22/3*2</f>
        <v>137385.33333333334</v>
      </c>
      <c r="E21" s="811">
        <f>E19+D21</f>
        <v>735634.33333333337</v>
      </c>
      <c r="F21" s="418">
        <f t="shared" si="1"/>
        <v>0.29906162617931098</v>
      </c>
      <c r="G21" s="418">
        <v>0.24</v>
      </c>
      <c r="H21" s="418">
        <f t="shared" si="2"/>
        <v>18.25</v>
      </c>
      <c r="I21" s="144">
        <f t="shared" si="3"/>
        <v>20.5</v>
      </c>
      <c r="J21" s="144"/>
    </row>
    <row r="22" spans="1:19" x14ac:dyDescent="0.2">
      <c r="A22" s="809">
        <v>41699</v>
      </c>
      <c r="B22" s="810">
        <v>23</v>
      </c>
      <c r="C22" s="257">
        <f t="shared" si="0"/>
        <v>243</v>
      </c>
      <c r="D22" s="257">
        <v>206078</v>
      </c>
      <c r="E22" s="811">
        <f>E19+D22</f>
        <v>804327</v>
      </c>
      <c r="F22" s="418">
        <f t="shared" si="1"/>
        <v>0.3021159304611184</v>
      </c>
      <c r="G22" s="418">
        <v>0.24</v>
      </c>
      <c r="H22" s="418">
        <f t="shared" si="2"/>
        <v>18.25</v>
      </c>
      <c r="I22" s="144">
        <f t="shared" si="3"/>
        <v>20.5</v>
      </c>
      <c r="J22" s="144">
        <f t="shared" si="3"/>
        <v>20.5</v>
      </c>
    </row>
    <row r="23" spans="1:19" x14ac:dyDescent="0.2">
      <c r="A23" s="809">
        <v>41730</v>
      </c>
      <c r="B23" s="810">
        <v>17</v>
      </c>
      <c r="C23" s="257">
        <f>B23</f>
        <v>17</v>
      </c>
      <c r="D23" s="257">
        <f>D25/3</f>
        <v>67084</v>
      </c>
      <c r="E23" s="811">
        <f>D23</f>
        <v>67084</v>
      </c>
      <c r="F23" s="418">
        <f t="shared" si="1"/>
        <v>0.25341363067199335</v>
      </c>
      <c r="G23" s="418">
        <v>0.24</v>
      </c>
      <c r="H23" s="418">
        <f>(184/12)</f>
        <v>15.333333333333334</v>
      </c>
      <c r="I23" s="136"/>
      <c r="J23" s="144">
        <f t="shared" si="3"/>
        <v>20.5</v>
      </c>
      <c r="K23" s="186"/>
      <c r="L23" s="186"/>
      <c r="M23" s="186"/>
      <c r="N23" s="186"/>
      <c r="O23" s="186"/>
      <c r="S23" s="442"/>
    </row>
    <row r="24" spans="1:19" x14ac:dyDescent="0.2">
      <c r="A24" s="809">
        <v>41760</v>
      </c>
      <c r="B24" s="810">
        <v>10</v>
      </c>
      <c r="C24" s="257">
        <f t="shared" ref="C24:C34" si="4">C23+B24</f>
        <v>27</v>
      </c>
      <c r="D24" s="257">
        <f>D25/3*2</f>
        <v>134168</v>
      </c>
      <c r="E24" s="811">
        <f>D24</f>
        <v>134168</v>
      </c>
      <c r="F24" s="418">
        <f t="shared" si="1"/>
        <v>0.20124023612187705</v>
      </c>
      <c r="G24" s="418">
        <v>0.24</v>
      </c>
      <c r="H24" s="418">
        <f t="shared" ref="H24:H34" si="5">(184/12)</f>
        <v>15.333333333333334</v>
      </c>
      <c r="I24" s="136"/>
      <c r="J24" s="144">
        <f t="shared" si="3"/>
        <v>20.5</v>
      </c>
      <c r="K24" s="186"/>
      <c r="L24" s="186"/>
      <c r="M24" s="186"/>
      <c r="N24" s="186"/>
      <c r="O24" s="186"/>
    </row>
    <row r="25" spans="1:19" x14ac:dyDescent="0.2">
      <c r="A25" s="809">
        <v>41791</v>
      </c>
      <c r="B25" s="810">
        <v>24</v>
      </c>
      <c r="C25" s="257">
        <f t="shared" si="4"/>
        <v>51</v>
      </c>
      <c r="D25" s="257">
        <v>201252</v>
      </c>
      <c r="E25" s="811">
        <f>D25</f>
        <v>201252</v>
      </c>
      <c r="F25" s="418">
        <f t="shared" si="1"/>
        <v>0.25341363067199335</v>
      </c>
      <c r="G25" s="418">
        <v>0.24</v>
      </c>
      <c r="H25" s="418">
        <f t="shared" si="5"/>
        <v>15.333333333333334</v>
      </c>
      <c r="I25" s="136"/>
      <c r="J25" s="144">
        <f t="shared" si="3"/>
        <v>20.5</v>
      </c>
      <c r="K25" s="186"/>
      <c r="L25" s="186"/>
      <c r="M25" s="186"/>
      <c r="N25" s="186"/>
      <c r="O25" s="186"/>
    </row>
    <row r="26" spans="1:19" x14ac:dyDescent="0.2">
      <c r="A26" s="809">
        <v>41821</v>
      </c>
      <c r="B26" s="810">
        <v>22</v>
      </c>
      <c r="C26" s="257">
        <f t="shared" si="4"/>
        <v>73</v>
      </c>
      <c r="D26" s="257">
        <f>D28/3</f>
        <v>65941</v>
      </c>
      <c r="E26" s="811">
        <f>E25+D26</f>
        <v>267193</v>
      </c>
      <c r="F26" s="418">
        <f t="shared" si="1"/>
        <v>0.27321075028163161</v>
      </c>
      <c r="G26" s="418">
        <v>0.24</v>
      </c>
      <c r="H26" s="418">
        <f t="shared" si="5"/>
        <v>15.333333333333334</v>
      </c>
      <c r="I26" s="136"/>
      <c r="J26" s="144">
        <f t="shared" si="3"/>
        <v>20.5</v>
      </c>
      <c r="K26" s="186"/>
      <c r="L26" s="186"/>
      <c r="M26" s="186"/>
      <c r="N26" s="186"/>
      <c r="O26" s="186"/>
    </row>
    <row r="27" spans="1:19" x14ac:dyDescent="0.2">
      <c r="A27" s="809">
        <v>41852</v>
      </c>
      <c r="B27" s="810">
        <v>26</v>
      </c>
      <c r="C27" s="257">
        <f t="shared" si="4"/>
        <v>99</v>
      </c>
      <c r="D27" s="257">
        <f>D28/3*2</f>
        <v>131882</v>
      </c>
      <c r="E27" s="811">
        <f>E25+D27</f>
        <v>333134</v>
      </c>
      <c r="F27" s="418">
        <f t="shared" si="1"/>
        <v>0.29717771227193862</v>
      </c>
      <c r="G27" s="418">
        <v>0.24</v>
      </c>
      <c r="H27" s="418">
        <f t="shared" si="5"/>
        <v>15.333333333333334</v>
      </c>
      <c r="I27" s="136"/>
      <c r="J27" s="144">
        <f t="shared" si="3"/>
        <v>20.5</v>
      </c>
      <c r="K27" s="186"/>
      <c r="L27" s="186"/>
      <c r="M27" s="186"/>
      <c r="N27" s="186"/>
      <c r="O27" s="186"/>
    </row>
    <row r="28" spans="1:19" x14ac:dyDescent="0.2">
      <c r="A28" s="809">
        <v>41883</v>
      </c>
      <c r="B28" s="810">
        <v>24</v>
      </c>
      <c r="C28" s="257">
        <f t="shared" si="4"/>
        <v>123</v>
      </c>
      <c r="D28" s="257">
        <v>197823</v>
      </c>
      <c r="E28" s="811">
        <f>E25+D28</f>
        <v>399075</v>
      </c>
      <c r="F28" s="418">
        <f t="shared" si="1"/>
        <v>0.3082127419657959</v>
      </c>
      <c r="G28" s="418">
        <v>0.24</v>
      </c>
      <c r="H28" s="418">
        <f t="shared" si="5"/>
        <v>15.333333333333334</v>
      </c>
      <c r="I28" s="136"/>
      <c r="J28" s="144">
        <f t="shared" ref="J28:J70" si="6">MEDIAN($B$11:$B$22)</f>
        <v>20.5</v>
      </c>
      <c r="K28" s="186"/>
      <c r="L28" s="186"/>
      <c r="M28" s="186"/>
      <c r="N28" s="186"/>
      <c r="O28" s="186"/>
    </row>
    <row r="29" spans="1:19" x14ac:dyDescent="0.2">
      <c r="A29" s="809">
        <v>41913</v>
      </c>
      <c r="B29" s="810">
        <v>29</v>
      </c>
      <c r="C29" s="257">
        <f t="shared" si="4"/>
        <v>152</v>
      </c>
      <c r="D29" s="811">
        <f>D31/3</f>
        <v>67080.666666666672</v>
      </c>
      <c r="E29" s="811">
        <f>E28+D29</f>
        <v>466155.66666666669</v>
      </c>
      <c r="F29" s="418">
        <f t="shared" si="1"/>
        <v>0.32607133382482389</v>
      </c>
      <c r="G29" s="418">
        <v>0.24</v>
      </c>
      <c r="H29" s="418">
        <f t="shared" si="5"/>
        <v>15.333333333333334</v>
      </c>
      <c r="I29" s="136"/>
      <c r="J29" s="144">
        <f t="shared" si="6"/>
        <v>20.5</v>
      </c>
      <c r="K29" s="186"/>
      <c r="L29" s="186"/>
      <c r="M29" s="186"/>
      <c r="N29" s="186"/>
      <c r="O29" s="186"/>
    </row>
    <row r="30" spans="1:19" x14ac:dyDescent="0.2">
      <c r="A30" s="809">
        <v>41944</v>
      </c>
      <c r="B30" s="810">
        <v>27</v>
      </c>
      <c r="C30" s="257">
        <f t="shared" si="4"/>
        <v>179</v>
      </c>
      <c r="D30" s="811">
        <f>D31/3*2</f>
        <v>134161.33333333334</v>
      </c>
      <c r="E30" s="811">
        <f>E28+D30</f>
        <v>533236.33333333337</v>
      </c>
      <c r="F30" s="418">
        <f t="shared" si="1"/>
        <v>0.33568605290087133</v>
      </c>
      <c r="G30" s="418">
        <v>0.24</v>
      </c>
      <c r="H30" s="418">
        <f t="shared" si="5"/>
        <v>15.333333333333334</v>
      </c>
      <c r="I30" s="136"/>
      <c r="J30" s="144">
        <f t="shared" si="6"/>
        <v>20.5</v>
      </c>
      <c r="K30" s="186"/>
      <c r="L30" s="186"/>
      <c r="M30" s="186"/>
      <c r="N30" s="186"/>
      <c r="O30" s="186"/>
    </row>
    <row r="31" spans="1:19" x14ac:dyDescent="0.2">
      <c r="A31" s="809">
        <v>41974</v>
      </c>
      <c r="B31" s="810">
        <v>19</v>
      </c>
      <c r="C31" s="257">
        <f t="shared" si="4"/>
        <v>198</v>
      </c>
      <c r="D31" s="257">
        <v>201242</v>
      </c>
      <c r="E31" s="811">
        <f>E28+D31</f>
        <v>600317</v>
      </c>
      <c r="F31" s="418">
        <f t="shared" si="1"/>
        <v>0.32982574206627496</v>
      </c>
      <c r="G31" s="418">
        <v>0.24</v>
      </c>
      <c r="H31" s="418">
        <f t="shared" si="5"/>
        <v>15.333333333333334</v>
      </c>
      <c r="I31" s="136"/>
      <c r="J31" s="144">
        <f t="shared" si="6"/>
        <v>20.5</v>
      </c>
      <c r="K31" s="186"/>
      <c r="L31" s="186"/>
      <c r="M31" s="186"/>
      <c r="N31" s="186"/>
      <c r="O31" s="186"/>
    </row>
    <row r="32" spans="1:19" x14ac:dyDescent="0.2">
      <c r="A32" s="809">
        <v>42005</v>
      </c>
      <c r="B32" s="810">
        <v>28</v>
      </c>
      <c r="C32" s="257">
        <f t="shared" si="4"/>
        <v>226</v>
      </c>
      <c r="D32" s="811">
        <f>D34/3</f>
        <v>69846.666666666672</v>
      </c>
      <c r="E32" s="811">
        <f>E31+D32</f>
        <v>670163.66666666663</v>
      </c>
      <c r="F32" s="418">
        <f t="shared" si="1"/>
        <v>0.33723105450360141</v>
      </c>
      <c r="G32" s="418">
        <v>0.24</v>
      </c>
      <c r="H32" s="418">
        <f t="shared" si="5"/>
        <v>15.333333333333334</v>
      </c>
      <c r="I32" s="136"/>
      <c r="J32" s="144">
        <f t="shared" si="6"/>
        <v>20.5</v>
      </c>
      <c r="K32" s="186"/>
      <c r="L32" s="186"/>
      <c r="M32" s="186"/>
      <c r="N32" s="186"/>
      <c r="O32" s="186"/>
    </row>
    <row r="33" spans="1:15" x14ac:dyDescent="0.2">
      <c r="A33" s="809">
        <v>42036</v>
      </c>
      <c r="B33" s="810">
        <v>27</v>
      </c>
      <c r="C33" s="257">
        <f t="shared" si="4"/>
        <v>253</v>
      </c>
      <c r="D33" s="811">
        <f>D34/3*2</f>
        <v>139693.33333333334</v>
      </c>
      <c r="E33" s="811">
        <f>E31+D33</f>
        <v>740010.33333333337</v>
      </c>
      <c r="F33" s="418">
        <f t="shared" si="1"/>
        <v>0.34188711779249925</v>
      </c>
      <c r="G33" s="418">
        <v>0.24</v>
      </c>
      <c r="H33" s="418">
        <f t="shared" si="5"/>
        <v>15.333333333333334</v>
      </c>
      <c r="I33" s="136"/>
      <c r="J33" s="144">
        <f t="shared" si="6"/>
        <v>20.5</v>
      </c>
      <c r="K33" s="186"/>
      <c r="L33" s="186"/>
      <c r="M33" s="186"/>
      <c r="N33" s="186"/>
      <c r="O33" s="186"/>
    </row>
    <row r="34" spans="1:15" x14ac:dyDescent="0.2">
      <c r="A34" s="809">
        <v>42064</v>
      </c>
      <c r="B34" s="810">
        <v>29</v>
      </c>
      <c r="C34" s="257">
        <f t="shared" si="4"/>
        <v>282</v>
      </c>
      <c r="D34" s="257">
        <v>209540</v>
      </c>
      <c r="E34" s="811">
        <f>E31+D34</f>
        <v>809857</v>
      </c>
      <c r="F34" s="418">
        <f t="shared" si="1"/>
        <v>0.34820962219255996</v>
      </c>
      <c r="G34" s="418">
        <v>0.24</v>
      </c>
      <c r="H34" s="418">
        <f t="shared" si="5"/>
        <v>15.333333333333334</v>
      </c>
      <c r="I34" s="136"/>
      <c r="J34" s="144">
        <f t="shared" si="6"/>
        <v>20.5</v>
      </c>
      <c r="K34" s="186"/>
      <c r="L34" s="186"/>
      <c r="M34" s="186"/>
      <c r="N34" s="186"/>
      <c r="O34" s="186"/>
    </row>
    <row r="35" spans="1:15" x14ac:dyDescent="0.2">
      <c r="A35" s="809">
        <v>42095</v>
      </c>
      <c r="B35" s="810">
        <v>35</v>
      </c>
      <c r="C35" s="257">
        <f>B35</f>
        <v>35</v>
      </c>
      <c r="D35" s="811">
        <f>D37/3</f>
        <v>68542.333333333328</v>
      </c>
      <c r="E35" s="811">
        <f>D35</f>
        <v>68542.333333333328</v>
      </c>
      <c r="F35" s="418">
        <f t="shared" si="1"/>
        <v>0.51063333122595767</v>
      </c>
      <c r="G35" s="418">
        <v>0.24</v>
      </c>
      <c r="H35" s="418">
        <f>(184/12)</f>
        <v>15.333333333333334</v>
      </c>
      <c r="I35" s="136"/>
      <c r="J35" s="144">
        <f t="shared" si="6"/>
        <v>20.5</v>
      </c>
      <c r="K35" s="186"/>
      <c r="L35" s="186"/>
      <c r="M35" s="186"/>
      <c r="N35" s="186"/>
      <c r="O35" s="186"/>
    </row>
    <row r="36" spans="1:15" x14ac:dyDescent="0.2">
      <c r="A36" s="809">
        <v>42125</v>
      </c>
      <c r="B36" s="810">
        <v>22</v>
      </c>
      <c r="C36" s="257">
        <f t="shared" ref="C36:C46" si="7">C35+B36</f>
        <v>57</v>
      </c>
      <c r="D36" s="811">
        <f>D37/3*2</f>
        <v>137084.66666666666</v>
      </c>
      <c r="E36" s="811">
        <f>D36</f>
        <v>137084.66666666666</v>
      </c>
      <c r="F36" s="418">
        <f t="shared" si="1"/>
        <v>0.41580142685542276</v>
      </c>
      <c r="G36" s="418">
        <v>0.24</v>
      </c>
      <c r="H36" s="418">
        <f t="shared" ref="H36:H70" si="8">(184/12)</f>
        <v>15.333333333333334</v>
      </c>
      <c r="I36" s="136"/>
      <c r="J36" s="144">
        <f t="shared" si="6"/>
        <v>20.5</v>
      </c>
      <c r="K36" s="186"/>
      <c r="L36" s="186"/>
      <c r="M36" s="186"/>
      <c r="N36" s="186"/>
      <c r="O36" s="186"/>
    </row>
    <row r="37" spans="1:15" x14ac:dyDescent="0.2">
      <c r="A37" s="809">
        <v>42156</v>
      </c>
      <c r="B37" s="810">
        <v>23</v>
      </c>
      <c r="C37" s="257">
        <f t="shared" si="7"/>
        <v>80</v>
      </c>
      <c r="D37" s="257">
        <v>205627</v>
      </c>
      <c r="E37" s="811">
        <f>D37</f>
        <v>205627</v>
      </c>
      <c r="F37" s="418">
        <f t="shared" si="1"/>
        <v>0.38905396664834868</v>
      </c>
      <c r="G37" s="418">
        <v>0.24</v>
      </c>
      <c r="H37" s="418">
        <f t="shared" si="8"/>
        <v>15.333333333333334</v>
      </c>
      <c r="I37" s="136"/>
      <c r="J37" s="144">
        <f t="shared" si="6"/>
        <v>20.5</v>
      </c>
      <c r="K37" s="186"/>
      <c r="L37" s="186"/>
      <c r="M37" s="186"/>
      <c r="N37" s="186"/>
      <c r="O37" s="186"/>
    </row>
    <row r="38" spans="1:15" x14ac:dyDescent="0.2">
      <c r="A38" s="809">
        <v>42186</v>
      </c>
      <c r="B38" s="810">
        <v>17</v>
      </c>
      <c r="C38" s="257">
        <f t="shared" si="7"/>
        <v>97</v>
      </c>
      <c r="D38" s="811">
        <f>D40/3</f>
        <v>68557.666666666672</v>
      </c>
      <c r="E38" s="811">
        <f>E37+D38</f>
        <v>274184.66666666669</v>
      </c>
      <c r="F38" s="418">
        <f t="shared" si="1"/>
        <v>0.35377616545539864</v>
      </c>
      <c r="G38" s="418">
        <v>0.24</v>
      </c>
      <c r="H38" s="418">
        <f t="shared" si="8"/>
        <v>15.333333333333334</v>
      </c>
      <c r="I38" s="136"/>
      <c r="J38" s="144">
        <f t="shared" si="6"/>
        <v>20.5</v>
      </c>
      <c r="K38" s="186"/>
      <c r="L38" s="186"/>
      <c r="M38" s="186"/>
      <c r="N38" s="186"/>
      <c r="O38" s="186"/>
    </row>
    <row r="39" spans="1:15" x14ac:dyDescent="0.2">
      <c r="A39" s="809">
        <v>42217</v>
      </c>
      <c r="B39" s="810">
        <v>16</v>
      </c>
      <c r="C39" s="257">
        <f t="shared" si="7"/>
        <v>113</v>
      </c>
      <c r="D39" s="811">
        <f>D40/3*2</f>
        <v>137115.33333333334</v>
      </c>
      <c r="E39" s="811">
        <f>E37+D39</f>
        <v>342742.33333333337</v>
      </c>
      <c r="F39" s="418">
        <f t="shared" si="1"/>
        <v>0.32969373494374293</v>
      </c>
      <c r="G39" s="418">
        <v>0.24</v>
      </c>
      <c r="H39" s="418">
        <f t="shared" si="8"/>
        <v>15.333333333333334</v>
      </c>
      <c r="I39" s="136"/>
      <c r="J39" s="144">
        <f t="shared" si="6"/>
        <v>20.5</v>
      </c>
      <c r="K39" s="186"/>
      <c r="L39" s="186"/>
      <c r="M39" s="186"/>
      <c r="N39" s="186"/>
      <c r="O39" s="186"/>
    </row>
    <row r="40" spans="1:15" x14ac:dyDescent="0.2">
      <c r="A40" s="809">
        <v>42248</v>
      </c>
      <c r="B40" s="810">
        <v>18</v>
      </c>
      <c r="C40" s="257">
        <f t="shared" si="7"/>
        <v>131</v>
      </c>
      <c r="D40" s="257">
        <v>205673</v>
      </c>
      <c r="E40" s="811">
        <f>E37+D40</f>
        <v>411300</v>
      </c>
      <c r="F40" s="418">
        <f t="shared" si="1"/>
        <v>0.31850230974957455</v>
      </c>
      <c r="G40" s="418">
        <v>0.24</v>
      </c>
      <c r="H40" s="418">
        <f t="shared" si="8"/>
        <v>15.333333333333334</v>
      </c>
      <c r="I40" s="136"/>
      <c r="J40" s="144">
        <f t="shared" si="6"/>
        <v>20.5</v>
      </c>
      <c r="K40" s="186"/>
      <c r="L40" s="186"/>
      <c r="M40" s="186"/>
      <c r="N40" s="186"/>
      <c r="O40" s="186"/>
    </row>
    <row r="41" spans="1:15" x14ac:dyDescent="0.2">
      <c r="A41" s="809">
        <v>42278</v>
      </c>
      <c r="B41" s="812">
        <v>8</v>
      </c>
      <c r="C41" s="257">
        <f t="shared" si="7"/>
        <v>139</v>
      </c>
      <c r="D41" s="811">
        <f>D43/3</f>
        <v>69669</v>
      </c>
      <c r="E41" s="811">
        <f>E40+D41</f>
        <v>480969</v>
      </c>
      <c r="F41" s="418">
        <f t="shared" si="1"/>
        <v>0.28899991475542086</v>
      </c>
      <c r="G41" s="418">
        <v>0.24</v>
      </c>
      <c r="H41" s="418">
        <f t="shared" si="8"/>
        <v>15.333333333333334</v>
      </c>
      <c r="I41" s="136"/>
      <c r="J41" s="144">
        <f t="shared" si="6"/>
        <v>20.5</v>
      </c>
      <c r="K41" s="186"/>
      <c r="L41" s="186"/>
      <c r="M41" s="186"/>
      <c r="N41" s="186"/>
      <c r="O41" s="186"/>
    </row>
    <row r="42" spans="1:15" x14ac:dyDescent="0.2">
      <c r="A42" s="809">
        <v>42309</v>
      </c>
      <c r="B42" s="812">
        <v>16</v>
      </c>
      <c r="C42" s="257">
        <f t="shared" si="7"/>
        <v>155</v>
      </c>
      <c r="D42" s="811">
        <f>D43/3*2</f>
        <v>139338</v>
      </c>
      <c r="E42" s="811">
        <f>E40+D42</f>
        <v>550638</v>
      </c>
      <c r="F42" s="418">
        <f t="shared" si="1"/>
        <v>0.28149165150243899</v>
      </c>
      <c r="G42" s="418">
        <v>0.24</v>
      </c>
      <c r="H42" s="418">
        <f t="shared" si="8"/>
        <v>15.333333333333334</v>
      </c>
      <c r="I42" s="136"/>
      <c r="J42" s="144">
        <f t="shared" si="6"/>
        <v>20.5</v>
      </c>
      <c r="K42" s="186"/>
      <c r="L42" s="186"/>
      <c r="M42" s="186"/>
      <c r="N42" s="186"/>
      <c r="O42" s="186"/>
    </row>
    <row r="43" spans="1:15" x14ac:dyDescent="0.2">
      <c r="A43" s="809">
        <v>42339</v>
      </c>
      <c r="B43" s="812">
        <v>20</v>
      </c>
      <c r="C43" s="257">
        <f t="shared" si="7"/>
        <v>175</v>
      </c>
      <c r="D43" s="257">
        <v>209007</v>
      </c>
      <c r="E43" s="811">
        <f>E40+D43</f>
        <v>620307</v>
      </c>
      <c r="F43" s="418">
        <f>C43/E43*1000</f>
        <v>0.28211837041980825</v>
      </c>
      <c r="G43" s="418">
        <v>0.24</v>
      </c>
      <c r="H43" s="418">
        <f t="shared" si="8"/>
        <v>15.333333333333334</v>
      </c>
      <c r="I43" s="136"/>
      <c r="J43" s="144">
        <f t="shared" si="6"/>
        <v>20.5</v>
      </c>
      <c r="K43" s="186"/>
      <c r="L43" s="186"/>
      <c r="M43" s="186"/>
      <c r="N43" s="186"/>
      <c r="O43" s="186"/>
    </row>
    <row r="44" spans="1:15" x14ac:dyDescent="0.2">
      <c r="A44" s="809">
        <v>42370</v>
      </c>
      <c r="B44" s="812">
        <v>20</v>
      </c>
      <c r="C44" s="257">
        <f t="shared" si="7"/>
        <v>195</v>
      </c>
      <c r="D44" s="811">
        <f>D46/3</f>
        <v>69776</v>
      </c>
      <c r="E44" s="811">
        <f>E43+D44</f>
        <v>690083</v>
      </c>
      <c r="F44" s="418">
        <f t="shared" si="1"/>
        <v>0.28257470478188856</v>
      </c>
      <c r="G44" s="418">
        <v>0.24</v>
      </c>
      <c r="H44" s="418">
        <f t="shared" si="8"/>
        <v>15.333333333333334</v>
      </c>
      <c r="I44" s="136"/>
      <c r="J44" s="144">
        <f t="shared" si="6"/>
        <v>20.5</v>
      </c>
      <c r="K44" s="186"/>
      <c r="L44" s="186"/>
      <c r="M44" s="186"/>
      <c r="N44" s="186"/>
      <c r="O44" s="186"/>
    </row>
    <row r="45" spans="1:15" x14ac:dyDescent="0.2">
      <c r="A45" s="809">
        <v>42401</v>
      </c>
      <c r="B45" s="812">
        <v>23</v>
      </c>
      <c r="C45" s="257">
        <f t="shared" si="7"/>
        <v>218</v>
      </c>
      <c r="D45" s="811">
        <f>D46/3*2</f>
        <v>139552</v>
      </c>
      <c r="E45" s="811">
        <f>E43+D45</f>
        <v>759859</v>
      </c>
      <c r="F45" s="418">
        <f t="shared" si="1"/>
        <v>0.28689533189710198</v>
      </c>
      <c r="G45" s="418">
        <v>0.24</v>
      </c>
      <c r="H45" s="418">
        <f t="shared" si="8"/>
        <v>15.333333333333334</v>
      </c>
      <c r="I45" s="136"/>
      <c r="J45" s="144">
        <f t="shared" si="6"/>
        <v>20.5</v>
      </c>
      <c r="K45" s="186"/>
      <c r="L45" s="186"/>
      <c r="M45" s="186"/>
      <c r="N45" s="186"/>
      <c r="O45" s="186"/>
    </row>
    <row r="46" spans="1:15" x14ac:dyDescent="0.2">
      <c r="A46" s="809">
        <v>42430</v>
      </c>
      <c r="B46" s="812">
        <v>25</v>
      </c>
      <c r="C46" s="257">
        <f t="shared" si="7"/>
        <v>243</v>
      </c>
      <c r="D46" s="257">
        <v>209328</v>
      </c>
      <c r="E46" s="811">
        <f>E43+D46</f>
        <v>829635</v>
      </c>
      <c r="F46" s="418">
        <f t="shared" si="1"/>
        <v>0.29289988971053532</v>
      </c>
      <c r="G46" s="418">
        <v>0.24</v>
      </c>
      <c r="H46" s="418">
        <f t="shared" si="8"/>
        <v>15.333333333333334</v>
      </c>
      <c r="I46" s="136"/>
      <c r="J46" s="144">
        <f t="shared" si="6"/>
        <v>20.5</v>
      </c>
      <c r="K46" s="186"/>
      <c r="L46" s="186"/>
      <c r="M46" s="186"/>
      <c r="N46" s="186"/>
      <c r="O46" s="186"/>
    </row>
    <row r="47" spans="1:15" x14ac:dyDescent="0.2">
      <c r="A47" s="809">
        <v>42461</v>
      </c>
      <c r="B47" s="812">
        <v>13</v>
      </c>
      <c r="C47" s="257">
        <f>B47</f>
        <v>13</v>
      </c>
      <c r="D47" s="811">
        <f>D49/3</f>
        <v>66399</v>
      </c>
      <c r="E47" s="811">
        <f>D47</f>
        <v>66399</v>
      </c>
      <c r="F47" s="418">
        <f t="shared" si="1"/>
        <v>0.19578608111567944</v>
      </c>
      <c r="G47" s="418">
        <v>0.24</v>
      </c>
      <c r="H47" s="418">
        <f t="shared" si="8"/>
        <v>15.333333333333334</v>
      </c>
      <c r="I47" s="136"/>
      <c r="J47" s="144">
        <f t="shared" si="6"/>
        <v>20.5</v>
      </c>
      <c r="K47" s="186"/>
      <c r="L47" s="186"/>
      <c r="M47" s="186"/>
      <c r="N47" s="186"/>
      <c r="O47" s="186"/>
    </row>
    <row r="48" spans="1:15" x14ac:dyDescent="0.2">
      <c r="A48" s="809">
        <v>42491</v>
      </c>
      <c r="B48" s="812">
        <v>22</v>
      </c>
      <c r="C48" s="257">
        <f t="shared" ref="C48:C58" si="9">C47+B48</f>
        <v>35</v>
      </c>
      <c r="D48" s="811">
        <f>D49/3*2</f>
        <v>132798</v>
      </c>
      <c r="E48" s="811">
        <f>D48</f>
        <v>132798</v>
      </c>
      <c r="F48" s="418">
        <f t="shared" si="1"/>
        <v>0.26355818611726084</v>
      </c>
      <c r="G48" s="418">
        <v>0.24</v>
      </c>
      <c r="H48" s="418">
        <f t="shared" si="8"/>
        <v>15.333333333333334</v>
      </c>
      <c r="I48" s="136"/>
      <c r="J48" s="144">
        <f t="shared" si="6"/>
        <v>20.5</v>
      </c>
      <c r="K48" s="186"/>
      <c r="L48" s="186"/>
      <c r="M48" s="186"/>
      <c r="N48" s="186"/>
      <c r="O48" s="186"/>
    </row>
    <row r="49" spans="1:10" x14ac:dyDescent="0.2">
      <c r="A49" s="809">
        <v>42522</v>
      </c>
      <c r="B49" s="812">
        <v>26</v>
      </c>
      <c r="C49" s="257">
        <f t="shared" si="9"/>
        <v>61</v>
      </c>
      <c r="D49" s="257">
        <v>199197</v>
      </c>
      <c r="E49" s="811">
        <f>D49</f>
        <v>199197</v>
      </c>
      <c r="F49" s="418">
        <f t="shared" si="1"/>
        <v>0.30622951148862682</v>
      </c>
      <c r="G49" s="418">
        <v>0.24</v>
      </c>
      <c r="H49" s="418">
        <f t="shared" si="8"/>
        <v>15.333333333333334</v>
      </c>
      <c r="I49" s="136"/>
      <c r="J49" s="144">
        <f t="shared" si="6"/>
        <v>20.5</v>
      </c>
    </row>
    <row r="50" spans="1:10" x14ac:dyDescent="0.2">
      <c r="A50" s="809">
        <v>42552</v>
      </c>
      <c r="B50" s="812">
        <v>20</v>
      </c>
      <c r="C50" s="257">
        <f t="shared" si="9"/>
        <v>81</v>
      </c>
      <c r="D50" s="811">
        <f>D52/3</f>
        <v>64644</v>
      </c>
      <c r="E50" s="811">
        <f>E49+D50</f>
        <v>263841</v>
      </c>
      <c r="F50" s="418">
        <f t="shared" si="1"/>
        <v>0.30700308140129851</v>
      </c>
      <c r="G50" s="418">
        <v>0.24</v>
      </c>
      <c r="H50" s="418">
        <f t="shared" si="8"/>
        <v>15.333333333333334</v>
      </c>
      <c r="I50" s="136"/>
      <c r="J50" s="144">
        <f t="shared" si="6"/>
        <v>20.5</v>
      </c>
    </row>
    <row r="51" spans="1:10" x14ac:dyDescent="0.2">
      <c r="A51" s="809">
        <v>42583</v>
      </c>
      <c r="B51" s="812">
        <v>30</v>
      </c>
      <c r="C51" s="257">
        <f t="shared" si="9"/>
        <v>111</v>
      </c>
      <c r="D51" s="811">
        <f>D52/3*2</f>
        <v>129288</v>
      </c>
      <c r="E51" s="811">
        <f>E49+D51</f>
        <v>328485</v>
      </c>
      <c r="F51" s="418">
        <f>C51/E51*1000</f>
        <v>0.33791497328645143</v>
      </c>
      <c r="G51" s="418">
        <v>0.24</v>
      </c>
      <c r="H51" s="418">
        <f t="shared" si="8"/>
        <v>15.333333333333334</v>
      </c>
      <c r="I51" s="136"/>
      <c r="J51" s="144">
        <f t="shared" si="6"/>
        <v>20.5</v>
      </c>
    </row>
    <row r="52" spans="1:10" x14ac:dyDescent="0.2">
      <c r="A52" s="809">
        <v>42614</v>
      </c>
      <c r="B52" s="812">
        <v>13</v>
      </c>
      <c r="C52" s="257">
        <f t="shared" si="9"/>
        <v>124</v>
      </c>
      <c r="D52" s="257">
        <v>193932</v>
      </c>
      <c r="E52" s="811">
        <f>E49+D52</f>
        <v>393129</v>
      </c>
      <c r="F52" s="418">
        <f>C52/E52*1000</f>
        <v>0.3154180943150976</v>
      </c>
      <c r="G52" s="418">
        <v>0.24</v>
      </c>
      <c r="H52" s="418">
        <f t="shared" si="8"/>
        <v>15.333333333333334</v>
      </c>
      <c r="I52" s="136"/>
      <c r="J52" s="144">
        <f t="shared" si="6"/>
        <v>20.5</v>
      </c>
    </row>
    <row r="53" spans="1:10" ht="12" customHeight="1" x14ac:dyDescent="0.2">
      <c r="A53" s="809">
        <v>42644</v>
      </c>
      <c r="B53" s="812">
        <v>23</v>
      </c>
      <c r="C53" s="257">
        <f t="shared" si="9"/>
        <v>147</v>
      </c>
      <c r="D53" s="811">
        <f>D55/3</f>
        <v>65358.666666666664</v>
      </c>
      <c r="E53" s="811">
        <f>E52+D53</f>
        <v>458487.66666666669</v>
      </c>
      <c r="F53" s="418">
        <f t="shared" si="1"/>
        <v>0.32061931146094075</v>
      </c>
      <c r="G53" s="418">
        <v>0.24</v>
      </c>
      <c r="H53" s="418">
        <f t="shared" si="8"/>
        <v>15.333333333333334</v>
      </c>
      <c r="I53" s="136"/>
      <c r="J53" s="144">
        <f t="shared" si="6"/>
        <v>20.5</v>
      </c>
    </row>
    <row r="54" spans="1:10" x14ac:dyDescent="0.2">
      <c r="A54" s="809">
        <v>42675</v>
      </c>
      <c r="B54" s="812">
        <v>14</v>
      </c>
      <c r="C54" s="257">
        <f t="shared" si="9"/>
        <v>161</v>
      </c>
      <c r="D54" s="811">
        <f>D55/3*2</f>
        <v>130717.33333333333</v>
      </c>
      <c r="E54" s="811">
        <f>E52+D54</f>
        <v>523846.33333333331</v>
      </c>
      <c r="F54" s="418">
        <f t="shared" si="1"/>
        <v>0.3073420386003784</v>
      </c>
      <c r="G54" s="418">
        <v>0.24</v>
      </c>
      <c r="H54" s="418">
        <f t="shared" si="8"/>
        <v>15.333333333333334</v>
      </c>
      <c r="I54" s="136"/>
      <c r="J54" s="144">
        <f t="shared" si="6"/>
        <v>20.5</v>
      </c>
    </row>
    <row r="55" spans="1:10" x14ac:dyDescent="0.2">
      <c r="A55" s="809">
        <v>42705</v>
      </c>
      <c r="B55" s="812">
        <v>22</v>
      </c>
      <c r="C55" s="257">
        <f t="shared" si="9"/>
        <v>183</v>
      </c>
      <c r="D55" s="257">
        <v>196076</v>
      </c>
      <c r="E55" s="811">
        <f>E52+D55</f>
        <v>589205</v>
      </c>
      <c r="F55" s="418">
        <f t="shared" si="1"/>
        <v>0.3105879956891065</v>
      </c>
      <c r="G55" s="418">
        <v>0.24</v>
      </c>
      <c r="H55" s="418">
        <f t="shared" si="8"/>
        <v>15.333333333333334</v>
      </c>
      <c r="I55" s="136"/>
      <c r="J55" s="144">
        <f t="shared" si="6"/>
        <v>20.5</v>
      </c>
    </row>
    <row r="56" spans="1:10" x14ac:dyDescent="0.2">
      <c r="A56" s="809">
        <v>42736</v>
      </c>
      <c r="B56" s="812">
        <v>18</v>
      </c>
      <c r="C56" s="257">
        <f t="shared" si="9"/>
        <v>201</v>
      </c>
      <c r="D56" s="811">
        <f>D58/3</f>
        <v>67118.666666666672</v>
      </c>
      <c r="E56" s="811">
        <f>E55+D56</f>
        <v>656323.66666666663</v>
      </c>
      <c r="F56" s="418">
        <f t="shared" si="1"/>
        <v>0.30625133635792501</v>
      </c>
      <c r="G56" s="418">
        <v>0.24</v>
      </c>
      <c r="H56" s="418">
        <f t="shared" si="8"/>
        <v>15.333333333333334</v>
      </c>
      <c r="I56" s="136"/>
      <c r="J56" s="144">
        <f t="shared" si="6"/>
        <v>20.5</v>
      </c>
    </row>
    <row r="57" spans="1:10" x14ac:dyDescent="0.2">
      <c r="A57" s="809">
        <v>42767</v>
      </c>
      <c r="B57" s="812">
        <v>19</v>
      </c>
      <c r="C57" s="257">
        <f t="shared" si="9"/>
        <v>220</v>
      </c>
      <c r="D57" s="811">
        <f>D58/3*2</f>
        <v>134237.33333333334</v>
      </c>
      <c r="E57" s="811">
        <f>E55+D57</f>
        <v>723442.33333333337</v>
      </c>
      <c r="F57" s="418">
        <f t="shared" si="1"/>
        <v>0.30410163998328366</v>
      </c>
      <c r="G57" s="418">
        <v>0.24</v>
      </c>
      <c r="H57" s="418">
        <f t="shared" si="8"/>
        <v>15.333333333333334</v>
      </c>
      <c r="I57" s="136"/>
      <c r="J57" s="144">
        <f t="shared" si="6"/>
        <v>20.5</v>
      </c>
    </row>
    <row r="58" spans="1:10" x14ac:dyDescent="0.2">
      <c r="A58" s="809">
        <v>42795</v>
      </c>
      <c r="B58" s="812">
        <v>20</v>
      </c>
      <c r="C58" s="257">
        <f t="shared" si="9"/>
        <v>240</v>
      </c>
      <c r="D58" s="257">
        <v>201356</v>
      </c>
      <c r="E58" s="811">
        <f>E55+D58</f>
        <v>790561</v>
      </c>
      <c r="F58" s="418">
        <f t="shared" si="1"/>
        <v>0.30358188678672487</v>
      </c>
      <c r="G58" s="418">
        <v>0.24</v>
      </c>
      <c r="H58" s="418">
        <f t="shared" si="8"/>
        <v>15.333333333333334</v>
      </c>
      <c r="I58" s="136"/>
      <c r="J58" s="144">
        <f t="shared" si="6"/>
        <v>20.5</v>
      </c>
    </row>
    <row r="59" spans="1:10" x14ac:dyDescent="0.2">
      <c r="A59" s="809">
        <v>42826</v>
      </c>
      <c r="B59" s="810">
        <v>23</v>
      </c>
      <c r="C59" s="257">
        <f>B59</f>
        <v>23</v>
      </c>
      <c r="D59" s="811">
        <f>D61/3</f>
        <v>64692</v>
      </c>
      <c r="E59" s="811">
        <f>D59</f>
        <v>64692</v>
      </c>
      <c r="F59" s="418">
        <f t="shared" si="1"/>
        <v>0.35553082297656585</v>
      </c>
      <c r="G59" s="418">
        <v>0.24</v>
      </c>
      <c r="H59" s="418">
        <f t="shared" si="8"/>
        <v>15.333333333333334</v>
      </c>
      <c r="I59" s="136"/>
      <c r="J59" s="144">
        <f t="shared" si="6"/>
        <v>20.5</v>
      </c>
    </row>
    <row r="60" spans="1:10" x14ac:dyDescent="0.2">
      <c r="A60" s="809">
        <v>42856</v>
      </c>
      <c r="B60" s="810">
        <v>11</v>
      </c>
      <c r="C60" s="257">
        <f t="shared" ref="C60:C66" si="10">C59+B60</f>
        <v>34</v>
      </c>
      <c r="D60" s="811">
        <f>D61/3*2</f>
        <v>129384</v>
      </c>
      <c r="E60" s="811">
        <f>D60</f>
        <v>129384</v>
      </c>
      <c r="F60" s="418">
        <f t="shared" si="1"/>
        <v>0.26278365176528784</v>
      </c>
      <c r="G60" s="418">
        <v>0.24</v>
      </c>
      <c r="H60" s="418">
        <f t="shared" si="8"/>
        <v>15.333333333333334</v>
      </c>
      <c r="I60" s="136"/>
      <c r="J60" s="144">
        <f t="shared" si="6"/>
        <v>20.5</v>
      </c>
    </row>
    <row r="61" spans="1:10" x14ac:dyDescent="0.2">
      <c r="A61" s="809">
        <v>42887</v>
      </c>
      <c r="B61" s="810">
        <v>15</v>
      </c>
      <c r="C61" s="257">
        <f t="shared" si="10"/>
        <v>49</v>
      </c>
      <c r="D61" s="257">
        <v>194076</v>
      </c>
      <c r="E61" s="811">
        <f>D61</f>
        <v>194076</v>
      </c>
      <c r="F61" s="418">
        <f t="shared" si="1"/>
        <v>0.25247841051959025</v>
      </c>
      <c r="G61" s="418">
        <v>0.24</v>
      </c>
      <c r="H61" s="418">
        <f t="shared" si="8"/>
        <v>15.333333333333334</v>
      </c>
      <c r="I61" s="136"/>
      <c r="J61" s="144">
        <f t="shared" si="6"/>
        <v>20.5</v>
      </c>
    </row>
    <row r="62" spans="1:10" x14ac:dyDescent="0.2">
      <c r="A62" s="809">
        <v>42917</v>
      </c>
      <c r="B62" s="810">
        <v>9</v>
      </c>
      <c r="C62" s="257">
        <f t="shared" si="10"/>
        <v>58</v>
      </c>
      <c r="D62" s="811">
        <f>D64/3</f>
        <v>64318.666666666664</v>
      </c>
      <c r="E62" s="811">
        <f>E61+D62</f>
        <v>258394.66666666666</v>
      </c>
      <c r="F62" s="418">
        <f t="shared" si="1"/>
        <v>0.22446283721026236</v>
      </c>
      <c r="G62" s="418">
        <v>0.24</v>
      </c>
      <c r="H62" s="418">
        <f t="shared" si="8"/>
        <v>15.333333333333334</v>
      </c>
      <c r="I62" s="136"/>
      <c r="J62" s="144">
        <f t="shared" si="6"/>
        <v>20.5</v>
      </c>
    </row>
    <row r="63" spans="1:10" x14ac:dyDescent="0.2">
      <c r="A63" s="809">
        <v>42948</v>
      </c>
      <c r="B63" s="810">
        <v>25</v>
      </c>
      <c r="C63" s="257">
        <f t="shared" si="10"/>
        <v>83</v>
      </c>
      <c r="D63" s="811">
        <f>D64/3*2</f>
        <v>128637.33333333333</v>
      </c>
      <c r="E63" s="811">
        <f>E61+D63</f>
        <v>322713.33333333331</v>
      </c>
      <c r="F63" s="418">
        <f t="shared" si="1"/>
        <v>0.25719420744933585</v>
      </c>
      <c r="G63" s="418">
        <v>0.24</v>
      </c>
      <c r="H63" s="418">
        <f t="shared" si="8"/>
        <v>15.333333333333334</v>
      </c>
      <c r="I63" s="136"/>
      <c r="J63" s="144">
        <f t="shared" si="6"/>
        <v>20.5</v>
      </c>
    </row>
    <row r="64" spans="1:10" x14ac:dyDescent="0.2">
      <c r="A64" s="809">
        <v>42979</v>
      </c>
      <c r="B64" s="810">
        <v>18</v>
      </c>
      <c r="C64" s="257">
        <f t="shared" si="10"/>
        <v>101</v>
      </c>
      <c r="D64" s="257">
        <v>192956</v>
      </c>
      <c r="E64" s="811">
        <f>E61+D64</f>
        <v>387032</v>
      </c>
      <c r="F64" s="418">
        <f t="shared" si="1"/>
        <v>0.26096033402922753</v>
      </c>
      <c r="G64" s="418">
        <v>0.24</v>
      </c>
      <c r="H64" s="418">
        <f t="shared" si="8"/>
        <v>15.333333333333334</v>
      </c>
      <c r="I64" s="136"/>
      <c r="J64" s="144">
        <f t="shared" si="6"/>
        <v>20.5</v>
      </c>
    </row>
    <row r="65" spans="1:10" x14ac:dyDescent="0.2">
      <c r="A65" s="809">
        <v>43009</v>
      </c>
      <c r="B65" s="812">
        <v>24</v>
      </c>
      <c r="C65" s="257">
        <f t="shared" si="10"/>
        <v>125</v>
      </c>
      <c r="D65" s="811">
        <f>D67/3</f>
        <v>65411</v>
      </c>
      <c r="E65" s="811">
        <f>E64+D65</f>
        <v>452443</v>
      </c>
      <c r="F65" s="418">
        <f t="shared" si="1"/>
        <v>0.27627789577913681</v>
      </c>
      <c r="G65" s="418">
        <v>0.24</v>
      </c>
      <c r="H65" s="418">
        <f t="shared" si="8"/>
        <v>15.333333333333334</v>
      </c>
      <c r="I65" s="136"/>
      <c r="J65" s="144">
        <f t="shared" si="6"/>
        <v>20.5</v>
      </c>
    </row>
    <row r="66" spans="1:10" x14ac:dyDescent="0.2">
      <c r="A66" s="809">
        <v>43040</v>
      </c>
      <c r="B66" s="812">
        <v>15</v>
      </c>
      <c r="C66" s="257">
        <f t="shared" si="10"/>
        <v>140</v>
      </c>
      <c r="D66" s="811">
        <f>D67/3*2</f>
        <v>130822</v>
      </c>
      <c r="E66" s="811">
        <f>E64+D66</f>
        <v>517854</v>
      </c>
      <c r="F66" s="418">
        <f t="shared" si="1"/>
        <v>0.27034646830960074</v>
      </c>
      <c r="G66" s="418">
        <v>0.24</v>
      </c>
      <c r="H66" s="418">
        <f t="shared" si="8"/>
        <v>15.333333333333334</v>
      </c>
      <c r="I66" s="136"/>
      <c r="J66" s="144">
        <f t="shared" si="6"/>
        <v>20.5</v>
      </c>
    </row>
    <row r="67" spans="1:10" x14ac:dyDescent="0.2">
      <c r="A67" s="809">
        <v>43070</v>
      </c>
      <c r="B67" s="812">
        <v>18</v>
      </c>
      <c r="C67" s="257">
        <f>C66+B67</f>
        <v>158</v>
      </c>
      <c r="D67" s="257">
        <v>196233</v>
      </c>
      <c r="E67" s="811">
        <f>E64+D67</f>
        <v>583265</v>
      </c>
      <c r="F67" s="418">
        <f t="shared" si="1"/>
        <v>0.27088887555399344</v>
      </c>
      <c r="G67" s="418">
        <v>0.24</v>
      </c>
      <c r="H67" s="418">
        <f t="shared" si="8"/>
        <v>15.333333333333334</v>
      </c>
      <c r="I67" s="136"/>
      <c r="J67" s="144">
        <f t="shared" si="6"/>
        <v>20.5</v>
      </c>
    </row>
    <row r="68" spans="1:10" x14ac:dyDescent="0.2">
      <c r="A68" s="809"/>
      <c r="B68" s="812"/>
      <c r="C68" s="257">
        <f>C67+B68</f>
        <v>158</v>
      </c>
      <c r="D68" s="811">
        <f>D70/3</f>
        <v>64697.666666666664</v>
      </c>
      <c r="E68" s="811">
        <f>E67+D68</f>
        <v>647962.66666666663</v>
      </c>
      <c r="F68" s="418">
        <f t="shared" si="1"/>
        <v>0.24384120895854083</v>
      </c>
      <c r="G68" s="418">
        <v>0.24</v>
      </c>
      <c r="H68" s="418">
        <f t="shared" si="8"/>
        <v>15.333333333333334</v>
      </c>
      <c r="I68" s="136"/>
      <c r="J68" s="144">
        <f t="shared" si="6"/>
        <v>20.5</v>
      </c>
    </row>
    <row r="69" spans="1:10" x14ac:dyDescent="0.2">
      <c r="A69" s="809"/>
      <c r="B69" s="812"/>
      <c r="C69" s="257">
        <f>C68+B69</f>
        <v>158</v>
      </c>
      <c r="D69" s="811">
        <f>D70/3*2</f>
        <v>129395.33333333333</v>
      </c>
      <c r="E69" s="811">
        <f>E67+D69</f>
        <v>712660.33333333337</v>
      </c>
      <c r="F69" s="418">
        <f t="shared" si="1"/>
        <v>0.22170449597073125</v>
      </c>
      <c r="G69" s="418">
        <v>0.24</v>
      </c>
      <c r="H69" s="418">
        <f t="shared" si="8"/>
        <v>15.333333333333334</v>
      </c>
      <c r="I69" s="136"/>
      <c r="J69" s="144">
        <f t="shared" si="6"/>
        <v>20.5</v>
      </c>
    </row>
    <row r="70" spans="1:10" x14ac:dyDescent="0.2">
      <c r="A70" s="809"/>
      <c r="B70" s="812"/>
      <c r="C70" s="257">
        <f>C69+B70</f>
        <v>158</v>
      </c>
      <c r="D70" s="257">
        <v>194093</v>
      </c>
      <c r="E70" s="811">
        <f>E67+D70</f>
        <v>777358</v>
      </c>
      <c r="F70" s="418">
        <f t="shared" si="1"/>
        <v>0.2032525554506418</v>
      </c>
      <c r="G70" s="418">
        <v>0.24</v>
      </c>
      <c r="H70" s="418">
        <f t="shared" si="8"/>
        <v>15.333333333333334</v>
      </c>
      <c r="I70" s="136"/>
      <c r="J70" s="144">
        <f t="shared" si="6"/>
        <v>20.5</v>
      </c>
    </row>
    <row r="71" spans="1:10" x14ac:dyDescent="0.2">
      <c r="A71" s="809"/>
      <c r="B71" s="812"/>
      <c r="C71" s="257">
        <f>B71</f>
        <v>0</v>
      </c>
      <c r="D71" s="811">
        <f>D73/3</f>
        <v>62967.666666666664</v>
      </c>
      <c r="E71" s="811">
        <f>D71</f>
        <v>62967.666666666664</v>
      </c>
      <c r="F71" s="418">
        <f t="shared" ref="F71:F82" si="11">C71/E71*1000</f>
        <v>0</v>
      </c>
      <c r="G71" s="418">
        <v>0.24</v>
      </c>
      <c r="H71" s="418"/>
      <c r="I71" s="144"/>
      <c r="J71" s="144"/>
    </row>
    <row r="72" spans="1:10" x14ac:dyDescent="0.2">
      <c r="A72" s="809"/>
      <c r="B72" s="812"/>
      <c r="C72" s="257">
        <f t="shared" ref="C72:C82" si="12">C71+B72</f>
        <v>0</v>
      </c>
      <c r="D72" s="811">
        <f>D73/3*2</f>
        <v>125935.33333333333</v>
      </c>
      <c r="E72" s="811">
        <f>D72</f>
        <v>125935.33333333333</v>
      </c>
      <c r="F72" s="418">
        <f t="shared" si="11"/>
        <v>0</v>
      </c>
      <c r="G72" s="418">
        <v>0.24</v>
      </c>
      <c r="H72" s="418"/>
      <c r="I72" s="144"/>
      <c r="J72" s="144"/>
    </row>
    <row r="73" spans="1:10" x14ac:dyDescent="0.2">
      <c r="A73" s="809"/>
      <c r="B73" s="812"/>
      <c r="C73" s="257">
        <f t="shared" si="12"/>
        <v>0</v>
      </c>
      <c r="D73" s="257">
        <v>188903</v>
      </c>
      <c r="E73" s="811">
        <f>D73</f>
        <v>188903</v>
      </c>
      <c r="F73" s="418">
        <f t="shared" si="11"/>
        <v>0</v>
      </c>
      <c r="G73" s="418">
        <v>0.24</v>
      </c>
      <c r="H73" s="418"/>
      <c r="I73" s="144"/>
      <c r="J73" s="144"/>
    </row>
    <row r="74" spans="1:10" x14ac:dyDescent="0.2">
      <c r="A74" s="809"/>
      <c r="B74" s="812"/>
      <c r="C74" s="257">
        <f t="shared" si="12"/>
        <v>0</v>
      </c>
      <c r="D74" s="811">
        <f>D76/3</f>
        <v>0</v>
      </c>
      <c r="E74" s="811">
        <f>E73+D74</f>
        <v>188903</v>
      </c>
      <c r="F74" s="418">
        <f t="shared" si="11"/>
        <v>0</v>
      </c>
      <c r="G74" s="418">
        <v>0.24</v>
      </c>
      <c r="H74" s="418"/>
      <c r="I74" s="144"/>
      <c r="J74" s="144"/>
    </row>
    <row r="75" spans="1:10" x14ac:dyDescent="0.2">
      <c r="A75" s="809"/>
      <c r="B75" s="812"/>
      <c r="C75" s="257">
        <f t="shared" si="12"/>
        <v>0</v>
      </c>
      <c r="D75" s="811">
        <f>D76/3*2</f>
        <v>0</v>
      </c>
      <c r="E75" s="811">
        <f>E73+D75</f>
        <v>188903</v>
      </c>
      <c r="F75" s="418">
        <f t="shared" si="11"/>
        <v>0</v>
      </c>
      <c r="G75" s="418">
        <v>0.24</v>
      </c>
      <c r="H75" s="418"/>
      <c r="I75" s="144"/>
      <c r="J75" s="144"/>
    </row>
    <row r="76" spans="1:10" x14ac:dyDescent="0.2">
      <c r="A76" s="809"/>
      <c r="B76" s="812"/>
      <c r="C76" s="257">
        <f t="shared" si="12"/>
        <v>0</v>
      </c>
      <c r="D76" s="257"/>
      <c r="E76" s="811">
        <f>E73+D76</f>
        <v>188903</v>
      </c>
      <c r="F76" s="418">
        <f t="shared" si="11"/>
        <v>0</v>
      </c>
      <c r="G76" s="418">
        <v>0.24</v>
      </c>
      <c r="H76" s="418"/>
      <c r="I76" s="144"/>
      <c r="J76" s="144"/>
    </row>
    <row r="77" spans="1:10" x14ac:dyDescent="0.2">
      <c r="A77" s="809"/>
      <c r="B77" s="812"/>
      <c r="C77" s="257">
        <f t="shared" si="12"/>
        <v>0</v>
      </c>
      <c r="D77" s="811">
        <f>D79/3</f>
        <v>0</v>
      </c>
      <c r="E77" s="811">
        <f>E76+D77</f>
        <v>188903</v>
      </c>
      <c r="F77" s="418">
        <f t="shared" si="11"/>
        <v>0</v>
      </c>
      <c r="G77" s="418">
        <v>0.24</v>
      </c>
      <c r="H77" s="418"/>
      <c r="I77" s="144"/>
      <c r="J77" s="144"/>
    </row>
    <row r="78" spans="1:10" x14ac:dyDescent="0.2">
      <c r="A78" s="809"/>
      <c r="B78" s="812"/>
      <c r="C78" s="257">
        <f t="shared" si="12"/>
        <v>0</v>
      </c>
      <c r="D78" s="811">
        <f>D79/3*2</f>
        <v>0</v>
      </c>
      <c r="E78" s="811">
        <f>E76+D78</f>
        <v>188903</v>
      </c>
      <c r="F78" s="418">
        <f t="shared" si="11"/>
        <v>0</v>
      </c>
      <c r="G78" s="418">
        <v>0.24</v>
      </c>
      <c r="H78" s="418"/>
      <c r="I78" s="144"/>
      <c r="J78" s="144"/>
    </row>
    <row r="79" spans="1:10" x14ac:dyDescent="0.2">
      <c r="A79" s="809"/>
      <c r="B79" s="812"/>
      <c r="C79" s="257">
        <f t="shared" si="12"/>
        <v>0</v>
      </c>
      <c r="D79" s="257"/>
      <c r="E79" s="811">
        <f>E76+D79</f>
        <v>188903</v>
      </c>
      <c r="F79" s="418">
        <f t="shared" si="11"/>
        <v>0</v>
      </c>
      <c r="G79" s="418">
        <v>0.24</v>
      </c>
      <c r="H79" s="418"/>
      <c r="I79" s="144"/>
      <c r="J79" s="144"/>
    </row>
    <row r="80" spans="1:10" x14ac:dyDescent="0.2">
      <c r="A80" s="809"/>
      <c r="B80" s="812"/>
      <c r="C80" s="257">
        <f t="shared" si="12"/>
        <v>0</v>
      </c>
      <c r="D80" s="811">
        <f>D82/3</f>
        <v>0</v>
      </c>
      <c r="E80" s="811">
        <f>E79+D80</f>
        <v>188903</v>
      </c>
      <c r="F80" s="418">
        <f t="shared" si="11"/>
        <v>0</v>
      </c>
      <c r="G80" s="418">
        <v>0.24</v>
      </c>
      <c r="H80" s="418"/>
      <c r="I80" s="144"/>
      <c r="J80" s="144"/>
    </row>
    <row r="81" spans="1:14" x14ac:dyDescent="0.2">
      <c r="A81" s="809"/>
      <c r="B81" s="812"/>
      <c r="C81" s="257">
        <f t="shared" si="12"/>
        <v>0</v>
      </c>
      <c r="D81" s="811">
        <f>D82/3*2</f>
        <v>0</v>
      </c>
      <c r="E81" s="811">
        <f>E79+D81</f>
        <v>188903</v>
      </c>
      <c r="F81" s="418">
        <f t="shared" si="11"/>
        <v>0</v>
      </c>
      <c r="G81" s="418">
        <v>0.24</v>
      </c>
      <c r="H81" s="418"/>
      <c r="I81" s="144"/>
      <c r="J81" s="144"/>
    </row>
    <row r="82" spans="1:14" x14ac:dyDescent="0.2">
      <c r="A82" s="809"/>
      <c r="B82" s="812"/>
      <c r="C82" s="257">
        <f t="shared" si="12"/>
        <v>0</v>
      </c>
      <c r="D82" s="257"/>
      <c r="E82" s="811">
        <f>E79+D82</f>
        <v>188903</v>
      </c>
      <c r="F82" s="418">
        <f t="shared" si="11"/>
        <v>0</v>
      </c>
      <c r="G82" s="418">
        <v>0.24</v>
      </c>
      <c r="H82" s="418"/>
      <c r="I82" s="144"/>
      <c r="J82" s="144"/>
    </row>
    <row r="84" spans="1:14" x14ac:dyDescent="0.2">
      <c r="A84" s="127" t="s">
        <v>579</v>
      </c>
      <c r="I84" s="256"/>
      <c r="N84" s="127" t="s">
        <v>580</v>
      </c>
    </row>
    <row r="109" spans="9:14" x14ac:dyDescent="0.2">
      <c r="I109" s="256"/>
      <c r="N109" s="644"/>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Q33"/>
  <sheetViews>
    <sheetView workbookViewId="0"/>
  </sheetViews>
  <sheetFormatPr defaultColWidth="9.140625" defaultRowHeight="12.75" x14ac:dyDescent="0.2"/>
  <cols>
    <col min="1" max="1" width="25.7109375" style="107" bestFit="1" customWidth="1"/>
    <col min="2" max="2" width="9.85546875" style="107" bestFit="1" customWidth="1"/>
    <col min="3" max="16384" width="9.140625" style="107"/>
  </cols>
  <sheetData>
    <row r="1" spans="1:17" x14ac:dyDescent="0.2">
      <c r="A1" s="106" t="s">
        <v>345</v>
      </c>
    </row>
    <row r="2" spans="1:17" x14ac:dyDescent="0.2">
      <c r="A2" s="106"/>
    </row>
    <row r="3" spans="1:17" x14ac:dyDescent="0.2">
      <c r="A3" s="127" t="s">
        <v>719</v>
      </c>
      <c r="B3" s="129" t="str">
        <f>IF(HLOOKUP(MAX(B9:Q9),A9:Q11,3,0)&lt;HLOOKUP(MAX(B9:Q9),A9:Q11,2,0),"Better", "Worse")</f>
        <v>Better</v>
      </c>
      <c r="C3" s="112" t="b">
        <f>IF(HLOOKUP(MAX(B9:Q9),A9:Q11,3,0)=HLOOKUP(MAX(B9:Q9),A9:Q11,2,0),"Equal")</f>
        <v>0</v>
      </c>
    </row>
    <row r="4" spans="1:17" x14ac:dyDescent="0.2">
      <c r="A4" s="127" t="s">
        <v>720</v>
      </c>
      <c r="B4" s="129" t="str">
        <f>IF(HLOOKUP(MAX(B14:Q14),A14:Q16,3,0)&lt;HLOOKUP(MAX(B14:Q14),A14:Q16,2,0),"Better", "Worse")</f>
        <v>Better</v>
      </c>
      <c r="C4" s="112" t="b">
        <f>IF(HLOOKUP(MAX(B14:Q14),A14:Q16,3,0)=HLOOKUP(MAX(B14:Q14),A14:Q16,2,0),"Equal")</f>
        <v>0</v>
      </c>
    </row>
    <row r="5" spans="1:17" x14ac:dyDescent="0.2">
      <c r="A5" s="127" t="s">
        <v>144</v>
      </c>
      <c r="B5" s="128">
        <f>MAX(B9:Q9)</f>
        <v>42979</v>
      </c>
    </row>
    <row r="6" spans="1:17" x14ac:dyDescent="0.2">
      <c r="A6" s="127" t="s">
        <v>206</v>
      </c>
      <c r="B6" s="128" t="s">
        <v>225</v>
      </c>
    </row>
    <row r="7" spans="1:17" x14ac:dyDescent="0.2">
      <c r="A7" s="127"/>
      <c r="B7" s="128"/>
    </row>
    <row r="8" spans="1:17" x14ac:dyDescent="0.2">
      <c r="A8" s="127"/>
    </row>
    <row r="9" spans="1:17" x14ac:dyDescent="0.2">
      <c r="A9" s="134" t="s">
        <v>226</v>
      </c>
      <c r="B9" s="157">
        <v>42156</v>
      </c>
      <c r="C9" s="157">
        <v>42248</v>
      </c>
      <c r="D9" s="157">
        <v>42339</v>
      </c>
      <c r="E9" s="157">
        <v>42430</v>
      </c>
      <c r="F9" s="157">
        <v>42522</v>
      </c>
      <c r="G9" s="157">
        <v>42614</v>
      </c>
      <c r="H9" s="157">
        <v>42705</v>
      </c>
      <c r="I9" s="597">
        <v>42795</v>
      </c>
      <c r="J9" s="597">
        <v>42887</v>
      </c>
      <c r="K9" s="597">
        <v>42979</v>
      </c>
      <c r="L9" s="157"/>
      <c r="M9" s="157"/>
      <c r="N9" s="157"/>
      <c r="O9" s="157"/>
      <c r="P9" s="157"/>
      <c r="Q9" s="157"/>
    </row>
    <row r="10" spans="1:17" x14ac:dyDescent="0.2">
      <c r="A10" s="158" t="s">
        <v>369</v>
      </c>
      <c r="B10" s="259">
        <v>0.32</v>
      </c>
      <c r="C10" s="259">
        <v>0.36</v>
      </c>
      <c r="D10" s="259">
        <v>0.38</v>
      </c>
      <c r="E10" s="260">
        <v>0.27</v>
      </c>
      <c r="F10" s="182">
        <v>0.27</v>
      </c>
      <c r="G10" s="259">
        <v>0.32</v>
      </c>
      <c r="H10" s="259">
        <v>0.27</v>
      </c>
      <c r="I10" s="259">
        <v>0.27</v>
      </c>
      <c r="J10" s="259">
        <v>0.27</v>
      </c>
      <c r="K10" s="259">
        <v>0.32</v>
      </c>
      <c r="L10" s="259"/>
      <c r="M10" s="260"/>
      <c r="N10" s="182"/>
      <c r="O10" s="259"/>
      <c r="P10" s="259"/>
      <c r="Q10" s="259"/>
    </row>
    <row r="11" spans="1:17" x14ac:dyDescent="0.2">
      <c r="A11" s="158" t="s">
        <v>370</v>
      </c>
      <c r="B11" s="259">
        <v>0.36</v>
      </c>
      <c r="C11" s="259">
        <v>0.47</v>
      </c>
      <c r="D11" s="259">
        <v>0.4</v>
      </c>
      <c r="E11" s="259">
        <v>0.3</v>
      </c>
      <c r="F11" s="259">
        <v>0.36</v>
      </c>
      <c r="G11" s="259">
        <v>0.26</v>
      </c>
      <c r="H11" s="259">
        <v>0.22</v>
      </c>
      <c r="I11" s="259">
        <v>0.3</v>
      </c>
      <c r="J11" s="259">
        <v>0.22</v>
      </c>
      <c r="K11" s="259">
        <v>0.21</v>
      </c>
      <c r="L11" s="259"/>
      <c r="M11" s="259"/>
      <c r="N11" s="259"/>
      <c r="O11" s="259"/>
      <c r="P11" s="259"/>
      <c r="Q11" s="259"/>
    </row>
    <row r="14" spans="1:17" x14ac:dyDescent="0.2">
      <c r="A14" s="134" t="s">
        <v>227</v>
      </c>
      <c r="B14" s="157">
        <v>42156</v>
      </c>
      <c r="C14" s="157">
        <v>42248</v>
      </c>
      <c r="D14" s="157">
        <v>42339</v>
      </c>
      <c r="E14" s="157">
        <v>42430</v>
      </c>
      <c r="F14" s="157">
        <v>42522</v>
      </c>
      <c r="G14" s="157">
        <v>42614</v>
      </c>
      <c r="H14" s="157">
        <v>42705</v>
      </c>
      <c r="I14" s="597">
        <v>42795</v>
      </c>
      <c r="J14" s="597">
        <v>42887</v>
      </c>
      <c r="K14" s="597">
        <v>42979</v>
      </c>
      <c r="L14" s="157"/>
      <c r="M14" s="157"/>
      <c r="N14" s="157"/>
      <c r="O14" s="157"/>
      <c r="P14" s="157"/>
      <c r="Q14" s="157"/>
    </row>
    <row r="15" spans="1:17" x14ac:dyDescent="0.2">
      <c r="A15" s="158" t="s">
        <v>369</v>
      </c>
      <c r="B15" s="259">
        <v>0.33</v>
      </c>
      <c r="C15" s="259">
        <v>0.32</v>
      </c>
      <c r="D15" s="259">
        <v>0.32</v>
      </c>
      <c r="E15" s="260">
        <v>0.32</v>
      </c>
      <c r="F15" s="182">
        <v>0.31</v>
      </c>
      <c r="G15" s="259">
        <v>0.33</v>
      </c>
      <c r="H15" s="259">
        <v>0.33</v>
      </c>
      <c r="I15" s="259">
        <v>0.33</v>
      </c>
      <c r="J15" s="259">
        <v>0.31</v>
      </c>
      <c r="K15" s="259">
        <v>0.34</v>
      </c>
      <c r="L15" s="259"/>
      <c r="M15" s="260"/>
      <c r="N15" s="182"/>
      <c r="O15" s="259"/>
      <c r="P15" s="259"/>
      <c r="Q15" s="259"/>
    </row>
    <row r="16" spans="1:17" x14ac:dyDescent="0.2">
      <c r="A16" s="158" t="s">
        <v>370</v>
      </c>
      <c r="B16" s="259">
        <v>0.4</v>
      </c>
      <c r="C16" s="259">
        <v>0.25</v>
      </c>
      <c r="D16" s="259">
        <v>0.23</v>
      </c>
      <c r="E16" s="259">
        <v>0.32</v>
      </c>
      <c r="F16" s="259">
        <v>0.3</v>
      </c>
      <c r="G16" s="259">
        <v>0.33</v>
      </c>
      <c r="H16" s="259">
        <v>0.3</v>
      </c>
      <c r="I16" s="259">
        <v>0.3</v>
      </c>
      <c r="J16" s="259">
        <v>0.26</v>
      </c>
      <c r="K16" s="259">
        <v>0.28000000000000003</v>
      </c>
      <c r="L16" s="259"/>
      <c r="M16" s="259"/>
      <c r="N16" s="259"/>
      <c r="O16" s="259"/>
      <c r="P16" s="259"/>
      <c r="Q16" s="259"/>
    </row>
    <row r="33" spans="15:15" x14ac:dyDescent="0.2">
      <c r="O33"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120"/>
  <sheetViews>
    <sheetView zoomScaleNormal="100" workbookViewId="0">
      <pane xSplit="1" topLeftCell="B1" activePane="topRight" state="frozen"/>
      <selection pane="topRight"/>
    </sheetView>
  </sheetViews>
  <sheetFormatPr defaultColWidth="9.140625" defaultRowHeight="12.75" x14ac:dyDescent="0.2"/>
  <cols>
    <col min="1" max="1" width="26.28515625" style="141" customWidth="1"/>
    <col min="2" max="2" width="9.140625" style="141" customWidth="1"/>
    <col min="3" max="5" width="9.140625" style="141"/>
    <col min="6" max="8" width="9.140625" style="141" customWidth="1"/>
    <col min="9" max="16384" width="9.140625" style="141"/>
  </cols>
  <sheetData>
    <row r="1" spans="1:49" x14ac:dyDescent="0.2">
      <c r="A1" s="283" t="s">
        <v>345</v>
      </c>
      <c r="B1" s="145"/>
      <c r="C1" s="441"/>
      <c r="D1" s="145"/>
      <c r="E1" s="145"/>
      <c r="F1" s="145"/>
      <c r="G1" s="145"/>
      <c r="H1" s="145"/>
    </row>
    <row r="2" spans="1:49" x14ac:dyDescent="0.2">
      <c r="A2" s="283"/>
      <c r="B2" s="145"/>
      <c r="C2" s="145"/>
      <c r="D2" s="145"/>
      <c r="E2" s="145"/>
      <c r="F2" s="145"/>
      <c r="G2" s="145"/>
      <c r="H2" s="145"/>
    </row>
    <row r="3" spans="1:49" x14ac:dyDescent="0.2">
      <c r="A3" s="108" t="s">
        <v>436</v>
      </c>
      <c r="B3" s="145" t="s">
        <v>437</v>
      </c>
      <c r="C3" s="145"/>
      <c r="D3" s="145"/>
      <c r="E3" s="145"/>
      <c r="F3" s="145"/>
      <c r="G3" s="145"/>
      <c r="H3" s="145"/>
    </row>
    <row r="4" spans="1:49" x14ac:dyDescent="0.2">
      <c r="A4" s="108" t="s">
        <v>143</v>
      </c>
      <c r="B4" s="427">
        <f>HLOOKUP(MAX(A9:AW9),A9:AW29,17,0)</f>
        <v>0.75900000000000001</v>
      </c>
      <c r="C4" s="145"/>
      <c r="D4" s="127"/>
      <c r="E4" s="145"/>
      <c r="F4" s="145"/>
      <c r="G4" s="145"/>
      <c r="H4" s="145"/>
    </row>
    <row r="5" spans="1:49" x14ac:dyDescent="0.2">
      <c r="A5" s="108" t="s">
        <v>118</v>
      </c>
      <c r="B5" s="409">
        <f>MAX(B9:AW9)</f>
        <v>43070</v>
      </c>
      <c r="C5" s="145"/>
      <c r="D5" s="145"/>
      <c r="E5" s="145"/>
      <c r="F5" s="145"/>
      <c r="G5" s="145"/>
      <c r="H5" s="145"/>
    </row>
    <row r="6" spans="1:49" x14ac:dyDescent="0.2">
      <c r="A6" s="108" t="s">
        <v>195</v>
      </c>
      <c r="B6" s="409" t="s">
        <v>176</v>
      </c>
      <c r="C6" s="145"/>
      <c r="D6" s="145"/>
      <c r="E6" s="145"/>
      <c r="F6" s="145"/>
      <c r="G6" s="145"/>
      <c r="H6" s="145"/>
    </row>
    <row r="7" spans="1:49" x14ac:dyDescent="0.2">
      <c r="A7" s="108" t="s">
        <v>438</v>
      </c>
      <c r="B7" s="428" t="s">
        <v>132</v>
      </c>
      <c r="C7" s="145"/>
      <c r="D7" s="145"/>
      <c r="E7" s="145"/>
      <c r="F7" s="145"/>
      <c r="G7" s="145"/>
      <c r="H7" s="145"/>
    </row>
    <row r="8" spans="1:49" x14ac:dyDescent="0.2">
      <c r="A8" s="89"/>
      <c r="B8" s="145"/>
      <c r="C8" s="145"/>
      <c r="D8" s="145"/>
      <c r="E8" s="145"/>
      <c r="F8" s="429"/>
      <c r="G8" s="145"/>
      <c r="H8" s="145"/>
    </row>
    <row r="9" spans="1:49" x14ac:dyDescent="0.2">
      <c r="A9" s="244"/>
      <c r="B9" s="114">
        <v>42095</v>
      </c>
      <c r="C9" s="114">
        <v>42125</v>
      </c>
      <c r="D9" s="114">
        <v>42156</v>
      </c>
      <c r="E9" s="114">
        <v>42186</v>
      </c>
      <c r="F9" s="114">
        <v>42217</v>
      </c>
      <c r="G9" s="114">
        <v>42248</v>
      </c>
      <c r="H9" s="114">
        <v>42278</v>
      </c>
      <c r="I9" s="114">
        <v>42309</v>
      </c>
      <c r="J9" s="114">
        <v>42339</v>
      </c>
      <c r="K9" s="114">
        <v>42370</v>
      </c>
      <c r="L9" s="114">
        <v>42401</v>
      </c>
      <c r="M9" s="114">
        <v>42430</v>
      </c>
      <c r="N9" s="114">
        <v>42461</v>
      </c>
      <c r="O9" s="114">
        <v>42491</v>
      </c>
      <c r="P9" s="114">
        <v>42522</v>
      </c>
      <c r="Q9" s="114">
        <v>42552</v>
      </c>
      <c r="R9" s="114">
        <v>42583</v>
      </c>
      <c r="S9" s="114">
        <v>42614</v>
      </c>
      <c r="T9" s="114">
        <v>42644</v>
      </c>
      <c r="U9" s="114">
        <v>42675</v>
      </c>
      <c r="V9" s="114">
        <v>42705</v>
      </c>
      <c r="W9" s="114">
        <v>42736</v>
      </c>
      <c r="X9" s="114">
        <v>42767</v>
      </c>
      <c r="Y9" s="114">
        <v>42795</v>
      </c>
      <c r="Z9" s="114">
        <v>42826</v>
      </c>
      <c r="AA9" s="114">
        <v>42856</v>
      </c>
      <c r="AB9" s="114">
        <v>42887</v>
      </c>
      <c r="AC9" s="114">
        <v>42917</v>
      </c>
      <c r="AD9" s="114">
        <v>42948</v>
      </c>
      <c r="AE9" s="114">
        <v>42979</v>
      </c>
      <c r="AF9" s="114">
        <v>43009</v>
      </c>
      <c r="AG9" s="114">
        <v>43040</v>
      </c>
      <c r="AH9" s="114">
        <v>43070</v>
      </c>
      <c r="AI9" s="114"/>
      <c r="AJ9" s="114"/>
      <c r="AK9" s="114"/>
      <c r="AL9" s="114"/>
      <c r="AM9" s="114"/>
      <c r="AN9" s="114"/>
      <c r="AO9" s="114"/>
      <c r="AP9" s="114"/>
      <c r="AQ9" s="114"/>
      <c r="AR9" s="114"/>
      <c r="AS9" s="114"/>
      <c r="AT9" s="114"/>
      <c r="AU9" s="114"/>
      <c r="AV9" s="114"/>
      <c r="AW9" s="114"/>
    </row>
    <row r="10" spans="1:49" x14ac:dyDescent="0.2">
      <c r="A10" s="244" t="s">
        <v>312</v>
      </c>
      <c r="B10" s="87">
        <v>0.93634823130692646</v>
      </c>
      <c r="C10" s="87">
        <v>0.947903694479037</v>
      </c>
      <c r="D10" s="87">
        <v>0.94420918907474061</v>
      </c>
      <c r="E10" s="87">
        <v>0.94160432252701576</v>
      </c>
      <c r="F10" s="87">
        <v>0.93950211366838887</v>
      </c>
      <c r="G10" s="87">
        <v>0.94714714714714709</v>
      </c>
      <c r="H10" s="87">
        <v>0.95478537994223678</v>
      </c>
      <c r="I10" s="87">
        <v>0.94</v>
      </c>
      <c r="J10" s="87">
        <v>0.91494154242196712</v>
      </c>
      <c r="K10" s="87">
        <v>0.8672001620745543</v>
      </c>
      <c r="L10" s="87">
        <v>0.84599999999999997</v>
      </c>
      <c r="M10" s="87">
        <v>0.92656461925983336</v>
      </c>
      <c r="N10" s="87">
        <v>0.9433237271853987</v>
      </c>
      <c r="O10" s="87">
        <v>0.91297695323706607</v>
      </c>
      <c r="P10" s="87">
        <v>0.94420000000000004</v>
      </c>
      <c r="Q10" s="87">
        <v>0.97212366953877349</v>
      </c>
      <c r="R10" s="87">
        <v>0.94399999999999995</v>
      </c>
      <c r="S10" s="87">
        <v>0.92100000000000004</v>
      </c>
      <c r="T10" s="87">
        <v>0.9226454089164452</v>
      </c>
      <c r="U10" s="87">
        <v>0.94399999999999995</v>
      </c>
      <c r="V10" s="87">
        <v>0.91400000000000003</v>
      </c>
      <c r="W10" s="87">
        <v>0.93200000000000005</v>
      </c>
      <c r="X10" s="87">
        <v>0.94230000000000003</v>
      </c>
      <c r="Y10" s="87">
        <v>0.95899999999999996</v>
      </c>
      <c r="Z10" s="87">
        <v>0.94599999999999995</v>
      </c>
      <c r="AA10" s="87">
        <v>0.94199999999999995</v>
      </c>
      <c r="AB10" s="87">
        <v>0.96099999999999997</v>
      </c>
      <c r="AC10" s="87">
        <v>0.95299999999999996</v>
      </c>
      <c r="AD10" s="87">
        <v>0.93600000000000005</v>
      </c>
      <c r="AE10" s="87">
        <v>0.93400000000000005</v>
      </c>
      <c r="AF10" s="87">
        <v>0.91600000000000004</v>
      </c>
      <c r="AG10" s="87">
        <v>0.83899999999999997</v>
      </c>
      <c r="AH10" s="87">
        <v>0.63900000000000001</v>
      </c>
      <c r="AI10" s="87"/>
      <c r="AJ10" s="87"/>
      <c r="AK10" s="87"/>
      <c r="AL10" s="87"/>
      <c r="AM10" s="87"/>
      <c r="AN10" s="87"/>
      <c r="AO10" s="87"/>
      <c r="AP10" s="87"/>
      <c r="AQ10" s="87"/>
      <c r="AR10" s="87"/>
      <c r="AS10" s="87"/>
      <c r="AT10" s="87"/>
      <c r="AU10" s="87"/>
      <c r="AV10" s="87"/>
      <c r="AW10" s="87"/>
    </row>
    <row r="11" spans="1:49" x14ac:dyDescent="0.2">
      <c r="A11" s="786" t="s">
        <v>130</v>
      </c>
      <c r="B11" s="87">
        <f>MEDIAN($B$10:$G$10)</f>
        <v>0.94290675580087813</v>
      </c>
      <c r="C11" s="87">
        <f t="shared" ref="C11:R12" si="0">MEDIAN($B$10:$G$10)</f>
        <v>0.94290675580087813</v>
      </c>
      <c r="D11" s="87">
        <f>MEDIAN($B$10:$G$10)</f>
        <v>0.94290675580087813</v>
      </c>
      <c r="E11" s="87">
        <f t="shared" si="0"/>
        <v>0.94290675580087813</v>
      </c>
      <c r="F11" s="87">
        <f t="shared" si="0"/>
        <v>0.94290675580087813</v>
      </c>
      <c r="G11" s="87">
        <f t="shared" si="0"/>
        <v>0.94290675580087813</v>
      </c>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row>
    <row r="12" spans="1:49" x14ac:dyDescent="0.2">
      <c r="A12" s="786" t="s">
        <v>178</v>
      </c>
      <c r="B12" s="785"/>
      <c r="C12" s="785"/>
      <c r="D12" s="785"/>
      <c r="E12" s="785"/>
      <c r="F12" s="785"/>
      <c r="G12" s="87">
        <f t="shared" si="0"/>
        <v>0.94290675580087813</v>
      </c>
      <c r="H12" s="87">
        <f t="shared" si="0"/>
        <v>0.94290675580087813</v>
      </c>
      <c r="I12" s="87">
        <f t="shared" si="0"/>
        <v>0.94290675580087813</v>
      </c>
      <c r="J12" s="87">
        <f t="shared" si="0"/>
        <v>0.94290675580087813</v>
      </c>
      <c r="K12" s="87">
        <f t="shared" si="0"/>
        <v>0.94290675580087813</v>
      </c>
      <c r="L12" s="87">
        <f t="shared" si="0"/>
        <v>0.94290675580087813</v>
      </c>
      <c r="M12" s="87">
        <f t="shared" si="0"/>
        <v>0.94290675580087813</v>
      </c>
      <c r="N12" s="87">
        <f t="shared" si="0"/>
        <v>0.94290675580087813</v>
      </c>
      <c r="O12" s="87">
        <f t="shared" si="0"/>
        <v>0.94290675580087813</v>
      </c>
      <c r="P12" s="87">
        <f t="shared" si="0"/>
        <v>0.94290675580087813</v>
      </c>
      <c r="Q12" s="87">
        <f t="shared" si="0"/>
        <v>0.94290675580087813</v>
      </c>
      <c r="R12" s="87">
        <f t="shared" si="0"/>
        <v>0.94290675580087813</v>
      </c>
      <c r="S12" s="87">
        <f t="shared" ref="S12:AW12" si="1">MEDIAN($B$10:$G$10)</f>
        <v>0.94290675580087813</v>
      </c>
      <c r="T12" s="87">
        <f t="shared" si="1"/>
        <v>0.94290675580087813</v>
      </c>
      <c r="U12" s="87">
        <f t="shared" si="1"/>
        <v>0.94290675580087813</v>
      </c>
      <c r="V12" s="87">
        <f t="shared" si="1"/>
        <v>0.94290675580087813</v>
      </c>
      <c r="W12" s="87">
        <f t="shared" si="1"/>
        <v>0.94290675580087813</v>
      </c>
      <c r="X12" s="87">
        <f t="shared" si="1"/>
        <v>0.94290675580087813</v>
      </c>
      <c r="Y12" s="87">
        <f t="shared" si="1"/>
        <v>0.94290675580087813</v>
      </c>
      <c r="Z12" s="87">
        <f t="shared" si="1"/>
        <v>0.94290675580087813</v>
      </c>
      <c r="AA12" s="87">
        <f t="shared" si="1"/>
        <v>0.94290675580087813</v>
      </c>
      <c r="AB12" s="87">
        <f t="shared" si="1"/>
        <v>0.94290675580087813</v>
      </c>
      <c r="AC12" s="87">
        <f t="shared" si="1"/>
        <v>0.94290675580087813</v>
      </c>
      <c r="AD12" s="87">
        <f t="shared" si="1"/>
        <v>0.94290675580087813</v>
      </c>
      <c r="AE12" s="87">
        <f t="shared" si="1"/>
        <v>0.94290675580087813</v>
      </c>
      <c r="AF12" s="87">
        <f t="shared" si="1"/>
        <v>0.94290675580087813</v>
      </c>
      <c r="AG12" s="87">
        <f t="shared" si="1"/>
        <v>0.94290675580087813</v>
      </c>
      <c r="AH12" s="87">
        <f t="shared" si="1"/>
        <v>0.94290675580087813</v>
      </c>
      <c r="AI12" s="87">
        <f t="shared" si="1"/>
        <v>0.94290675580087813</v>
      </c>
      <c r="AJ12" s="87">
        <f t="shared" si="1"/>
        <v>0.94290675580087813</v>
      </c>
      <c r="AK12" s="87">
        <f t="shared" si="1"/>
        <v>0.94290675580087813</v>
      </c>
      <c r="AL12" s="87">
        <f t="shared" si="1"/>
        <v>0.94290675580087813</v>
      </c>
      <c r="AM12" s="87">
        <f t="shared" si="1"/>
        <v>0.94290675580087813</v>
      </c>
      <c r="AN12" s="87">
        <f t="shared" si="1"/>
        <v>0.94290675580087813</v>
      </c>
      <c r="AO12" s="87">
        <f t="shared" si="1"/>
        <v>0.94290675580087813</v>
      </c>
      <c r="AP12" s="87">
        <f t="shared" si="1"/>
        <v>0.94290675580087813</v>
      </c>
      <c r="AQ12" s="87">
        <f t="shared" si="1"/>
        <v>0.94290675580087813</v>
      </c>
      <c r="AR12" s="87">
        <f t="shared" si="1"/>
        <v>0.94290675580087813</v>
      </c>
      <c r="AS12" s="87">
        <f t="shared" si="1"/>
        <v>0.94290675580087813</v>
      </c>
      <c r="AT12" s="87">
        <f t="shared" si="1"/>
        <v>0.94290675580087813</v>
      </c>
      <c r="AU12" s="87">
        <f t="shared" si="1"/>
        <v>0.94290675580087813</v>
      </c>
      <c r="AV12" s="87">
        <f t="shared" si="1"/>
        <v>0.94290675580087813</v>
      </c>
      <c r="AW12" s="87">
        <f t="shared" si="1"/>
        <v>0.94290675580087813</v>
      </c>
    </row>
    <row r="13" spans="1:49" x14ac:dyDescent="0.2">
      <c r="A13" s="244" t="s">
        <v>313</v>
      </c>
      <c r="B13" s="87">
        <v>0.88209479227618492</v>
      </c>
      <c r="C13" s="87">
        <v>0.87503550127804597</v>
      </c>
      <c r="D13" s="87">
        <v>0.90618818875388529</v>
      </c>
      <c r="E13" s="87">
        <v>0.8809861150467555</v>
      </c>
      <c r="F13" s="87">
        <v>0.90554089709762531</v>
      </c>
      <c r="G13" s="87">
        <v>0.83632050606220343</v>
      </c>
      <c r="H13" s="87">
        <v>0.86456605859590929</v>
      </c>
      <c r="I13" s="87">
        <v>0.84860788863109049</v>
      </c>
      <c r="J13" s="87">
        <v>0.83577981651376143</v>
      </c>
      <c r="K13" s="87">
        <v>0.80123526108927567</v>
      </c>
      <c r="L13" s="87">
        <v>0.86211699164345401</v>
      </c>
      <c r="M13" s="87">
        <v>0.82601797990481229</v>
      </c>
      <c r="N13" s="87">
        <v>0.8392857142857143</v>
      </c>
      <c r="O13" s="87">
        <v>0.9071556809438317</v>
      </c>
      <c r="P13" s="87">
        <v>0.93100000000000005</v>
      </c>
      <c r="Q13" s="87">
        <v>0.95439377085650723</v>
      </c>
      <c r="R13" s="87">
        <v>0.88100000000000001</v>
      </c>
      <c r="S13" s="87">
        <v>0.871</v>
      </c>
      <c r="T13" s="87">
        <v>0.89069942341438957</v>
      </c>
      <c r="U13" s="87">
        <v>0.874</v>
      </c>
      <c r="V13" s="87">
        <v>0.86499999999999999</v>
      </c>
      <c r="W13" s="87">
        <v>0.84799999999999998</v>
      </c>
      <c r="X13" s="87">
        <v>0.83479999999999999</v>
      </c>
      <c r="Y13" s="87">
        <v>0.93200000000000005</v>
      </c>
      <c r="Z13" s="87">
        <v>0.91500000000000004</v>
      </c>
      <c r="AA13" s="87">
        <v>0.91600000000000004</v>
      </c>
      <c r="AB13" s="87">
        <v>0.90600000000000003</v>
      </c>
      <c r="AC13" s="87">
        <v>0.93500000000000005</v>
      </c>
      <c r="AD13" s="87">
        <v>0.95</v>
      </c>
      <c r="AE13" s="87">
        <v>0.90200000000000002</v>
      </c>
      <c r="AF13" s="87">
        <v>0.92800000000000005</v>
      </c>
      <c r="AG13" s="87">
        <v>0.873</v>
      </c>
      <c r="AH13" s="87">
        <v>0.78500000000000003</v>
      </c>
      <c r="AI13" s="87"/>
      <c r="AJ13" s="87"/>
      <c r="AK13" s="87"/>
      <c r="AL13" s="87"/>
      <c r="AM13" s="87"/>
      <c r="AN13" s="87"/>
      <c r="AO13" s="87"/>
      <c r="AP13" s="87"/>
      <c r="AQ13" s="87"/>
      <c r="AR13" s="87"/>
      <c r="AS13" s="87"/>
      <c r="AT13" s="87"/>
      <c r="AU13" s="87"/>
      <c r="AV13" s="87"/>
      <c r="AW13" s="87"/>
    </row>
    <row r="14" spans="1:49" x14ac:dyDescent="0.2">
      <c r="A14" s="786" t="s">
        <v>130</v>
      </c>
      <c r="B14" s="87">
        <f>MEDIAN($B$13:$G$13)</f>
        <v>0.88154045366147016</v>
      </c>
      <c r="C14" s="87">
        <f t="shared" ref="C14:R15" si="2">MEDIAN($B$13:$G$13)</f>
        <v>0.88154045366147016</v>
      </c>
      <c r="D14" s="87">
        <f t="shared" si="2"/>
        <v>0.88154045366147016</v>
      </c>
      <c r="E14" s="87">
        <f t="shared" si="2"/>
        <v>0.88154045366147016</v>
      </c>
      <c r="F14" s="87">
        <f t="shared" si="2"/>
        <v>0.88154045366147016</v>
      </c>
      <c r="G14" s="87">
        <f t="shared" si="2"/>
        <v>0.88154045366147016</v>
      </c>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row>
    <row r="15" spans="1:49" x14ac:dyDescent="0.2">
      <c r="A15" s="786" t="s">
        <v>178</v>
      </c>
      <c r="B15" s="87"/>
      <c r="C15" s="87"/>
      <c r="D15" s="87"/>
      <c r="E15" s="87"/>
      <c r="F15" s="87"/>
      <c r="G15" s="87">
        <f t="shared" si="2"/>
        <v>0.88154045366147016</v>
      </c>
      <c r="H15" s="87">
        <f t="shared" si="2"/>
        <v>0.88154045366147016</v>
      </c>
      <c r="I15" s="87">
        <f t="shared" si="2"/>
        <v>0.88154045366147016</v>
      </c>
      <c r="J15" s="87">
        <f t="shared" si="2"/>
        <v>0.88154045366147016</v>
      </c>
      <c r="K15" s="87">
        <f t="shared" si="2"/>
        <v>0.88154045366147016</v>
      </c>
      <c r="L15" s="87">
        <f t="shared" si="2"/>
        <v>0.88154045366147016</v>
      </c>
      <c r="M15" s="87">
        <f t="shared" si="2"/>
        <v>0.88154045366147016</v>
      </c>
      <c r="N15" s="87">
        <f t="shared" si="2"/>
        <v>0.88154045366147016</v>
      </c>
      <c r="O15" s="87">
        <f t="shared" si="2"/>
        <v>0.88154045366147016</v>
      </c>
      <c r="P15" s="87">
        <f t="shared" si="2"/>
        <v>0.88154045366147016</v>
      </c>
      <c r="Q15" s="87">
        <f t="shared" si="2"/>
        <v>0.88154045366147016</v>
      </c>
      <c r="R15" s="87">
        <f t="shared" si="2"/>
        <v>0.88154045366147016</v>
      </c>
      <c r="S15" s="87">
        <f t="shared" ref="S15:AW15" si="3">MEDIAN($B$13:$G$13)</f>
        <v>0.88154045366147016</v>
      </c>
      <c r="T15" s="87">
        <f t="shared" si="3"/>
        <v>0.88154045366147016</v>
      </c>
      <c r="U15" s="87">
        <f t="shared" si="3"/>
        <v>0.88154045366147016</v>
      </c>
      <c r="V15" s="87">
        <f t="shared" si="3"/>
        <v>0.88154045366147016</v>
      </c>
      <c r="W15" s="87">
        <f t="shared" si="3"/>
        <v>0.88154045366147016</v>
      </c>
      <c r="X15" s="87">
        <f t="shared" si="3"/>
        <v>0.88154045366147016</v>
      </c>
      <c r="Y15" s="87">
        <f t="shared" si="3"/>
        <v>0.88154045366147016</v>
      </c>
      <c r="Z15" s="87">
        <f t="shared" si="3"/>
        <v>0.88154045366147016</v>
      </c>
      <c r="AA15" s="87">
        <f t="shared" si="3"/>
        <v>0.88154045366147016</v>
      </c>
      <c r="AB15" s="87">
        <f t="shared" si="3"/>
        <v>0.88154045366147016</v>
      </c>
      <c r="AC15" s="87">
        <f t="shared" si="3"/>
        <v>0.88154045366147016</v>
      </c>
      <c r="AD15" s="87">
        <f t="shared" si="3"/>
        <v>0.88154045366147016</v>
      </c>
      <c r="AE15" s="87">
        <f t="shared" si="3"/>
        <v>0.88154045366147016</v>
      </c>
      <c r="AF15" s="87">
        <f t="shared" si="3"/>
        <v>0.88154045366147016</v>
      </c>
      <c r="AG15" s="87">
        <f t="shared" si="3"/>
        <v>0.88154045366147016</v>
      </c>
      <c r="AH15" s="87">
        <f t="shared" si="3"/>
        <v>0.88154045366147016</v>
      </c>
      <c r="AI15" s="87">
        <f t="shared" si="3"/>
        <v>0.88154045366147016</v>
      </c>
      <c r="AJ15" s="87">
        <f t="shared" si="3"/>
        <v>0.88154045366147016</v>
      </c>
      <c r="AK15" s="87">
        <f t="shared" si="3"/>
        <v>0.88154045366147016</v>
      </c>
      <c r="AL15" s="87">
        <f t="shared" si="3"/>
        <v>0.88154045366147016</v>
      </c>
      <c r="AM15" s="87">
        <f t="shared" si="3"/>
        <v>0.88154045366147016</v>
      </c>
      <c r="AN15" s="87">
        <f t="shared" si="3"/>
        <v>0.88154045366147016</v>
      </c>
      <c r="AO15" s="87">
        <f t="shared" si="3"/>
        <v>0.88154045366147016</v>
      </c>
      <c r="AP15" s="87">
        <f t="shared" si="3"/>
        <v>0.88154045366147016</v>
      </c>
      <c r="AQ15" s="87">
        <f t="shared" si="3"/>
        <v>0.88154045366147016</v>
      </c>
      <c r="AR15" s="87">
        <f t="shared" si="3"/>
        <v>0.88154045366147016</v>
      </c>
      <c r="AS15" s="87">
        <f t="shared" si="3"/>
        <v>0.88154045366147016</v>
      </c>
      <c r="AT15" s="87">
        <f t="shared" si="3"/>
        <v>0.88154045366147016</v>
      </c>
      <c r="AU15" s="87">
        <f t="shared" si="3"/>
        <v>0.88154045366147016</v>
      </c>
      <c r="AV15" s="87">
        <f t="shared" si="3"/>
        <v>0.88154045366147016</v>
      </c>
      <c r="AW15" s="87">
        <f t="shared" si="3"/>
        <v>0.88154045366147016</v>
      </c>
    </row>
    <row r="16" spans="1:49" x14ac:dyDescent="0.2">
      <c r="A16" s="244" t="s">
        <v>314</v>
      </c>
      <c r="B16" s="88">
        <v>0.98481675392670154</v>
      </c>
      <c r="C16" s="88">
        <v>0.98650752464971458</v>
      </c>
      <c r="D16" s="88">
        <v>0.99079673941625035</v>
      </c>
      <c r="E16" s="88">
        <v>0.98656859609849701</v>
      </c>
      <c r="F16" s="88">
        <v>0.99011857707509876</v>
      </c>
      <c r="G16" s="88">
        <v>0.98873377418564778</v>
      </c>
      <c r="H16" s="88">
        <v>0.98581377353623934</v>
      </c>
      <c r="I16" s="88">
        <v>0.97422680412371132</v>
      </c>
      <c r="J16" s="88">
        <v>0.98346225660176045</v>
      </c>
      <c r="K16" s="88">
        <v>0.97980871413390014</v>
      </c>
      <c r="L16" s="88">
        <v>0.97550505050505054</v>
      </c>
      <c r="M16" s="88">
        <v>0.97885970531710442</v>
      </c>
      <c r="N16" s="88">
        <v>0.98250000000000004</v>
      </c>
      <c r="O16" s="88">
        <v>0.98713195201744819</v>
      </c>
      <c r="P16" s="88">
        <v>0.98203592814371254</v>
      </c>
      <c r="Q16" s="88">
        <v>0.99043919928294</v>
      </c>
      <c r="R16" s="88">
        <v>0.98699999999999999</v>
      </c>
      <c r="S16" s="88">
        <v>0.98599999999999999</v>
      </c>
      <c r="T16" s="88">
        <v>0.9820100743583593</v>
      </c>
      <c r="U16" s="88">
        <v>0.97199999999999998</v>
      </c>
      <c r="V16" s="87">
        <v>0.97599999999999998</v>
      </c>
      <c r="W16" s="87">
        <v>0.98199999999999998</v>
      </c>
      <c r="X16" s="87">
        <v>0.97709999999999997</v>
      </c>
      <c r="Y16" s="87">
        <v>0.97699999999999998</v>
      </c>
      <c r="Z16" s="87">
        <v>0.98299999999999998</v>
      </c>
      <c r="AA16" s="87">
        <v>0.97799999999999998</v>
      </c>
      <c r="AB16" s="87">
        <v>0.98199999999999998</v>
      </c>
      <c r="AC16" s="87">
        <v>0.99</v>
      </c>
      <c r="AD16" s="87">
        <v>0.97899999999999998</v>
      </c>
      <c r="AE16" s="87">
        <v>0.98199999999999998</v>
      </c>
      <c r="AF16" s="87">
        <v>0.97799999999999998</v>
      </c>
      <c r="AG16" s="87">
        <v>0.96499999999999997</v>
      </c>
      <c r="AH16" s="87">
        <v>0.95599999999999996</v>
      </c>
      <c r="AI16" s="87"/>
      <c r="AJ16" s="87"/>
      <c r="AK16" s="87"/>
      <c r="AL16" s="87"/>
      <c r="AM16" s="87"/>
      <c r="AN16" s="87"/>
      <c r="AO16" s="87"/>
      <c r="AP16" s="87"/>
      <c r="AQ16" s="87"/>
      <c r="AR16" s="87"/>
      <c r="AS16" s="87"/>
      <c r="AT16" s="87"/>
      <c r="AU16" s="87"/>
      <c r="AV16" s="87"/>
      <c r="AW16" s="87"/>
    </row>
    <row r="17" spans="1:49" x14ac:dyDescent="0.2">
      <c r="A17" s="786" t="s">
        <v>130</v>
      </c>
      <c r="B17" s="87">
        <f>MEDIAN($B$16:$G$16)</f>
        <v>0.9876511851420724</v>
      </c>
      <c r="C17" s="87">
        <f t="shared" ref="C17:G17" si="4">MEDIAN($B$16:$G$16)</f>
        <v>0.9876511851420724</v>
      </c>
      <c r="D17" s="87">
        <f t="shared" si="4"/>
        <v>0.9876511851420724</v>
      </c>
      <c r="E17" s="87">
        <f t="shared" si="4"/>
        <v>0.9876511851420724</v>
      </c>
      <c r="F17" s="87">
        <f t="shared" si="4"/>
        <v>0.9876511851420724</v>
      </c>
      <c r="G17" s="87">
        <f t="shared" si="4"/>
        <v>0.9876511851420724</v>
      </c>
      <c r="H17" s="88"/>
      <c r="I17" s="88"/>
      <c r="J17" s="88"/>
      <c r="K17" s="88"/>
      <c r="L17" s="88"/>
      <c r="M17" s="88"/>
      <c r="N17" s="88"/>
      <c r="O17" s="88"/>
      <c r="P17" s="88"/>
      <c r="Q17" s="88"/>
      <c r="R17" s="88"/>
      <c r="S17" s="88"/>
      <c r="T17" s="88"/>
      <c r="U17" s="88"/>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row>
    <row r="18" spans="1:49" x14ac:dyDescent="0.2">
      <c r="A18" s="786" t="s">
        <v>303</v>
      </c>
      <c r="B18" s="88"/>
      <c r="C18" s="88"/>
      <c r="D18" s="88"/>
      <c r="E18" s="88"/>
      <c r="F18" s="88"/>
      <c r="G18" s="87"/>
      <c r="H18" s="87">
        <f>MEDIAN($H$16:$M$16)</f>
        <v>0.97933420972550222</v>
      </c>
      <c r="I18" s="87">
        <f t="shared" ref="I18:L18" si="5">MEDIAN($H$16:$M$16)</f>
        <v>0.97933420972550222</v>
      </c>
      <c r="J18" s="87">
        <f t="shared" si="5"/>
        <v>0.97933420972550222</v>
      </c>
      <c r="K18" s="87">
        <f t="shared" si="5"/>
        <v>0.97933420972550222</v>
      </c>
      <c r="L18" s="87">
        <f t="shared" si="5"/>
        <v>0.97933420972550222</v>
      </c>
      <c r="M18" s="87">
        <f>MEDIAN($H$16:$M$16)</f>
        <v>0.97933420972550222</v>
      </c>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row>
    <row r="19" spans="1:49" x14ac:dyDescent="0.2">
      <c r="A19" s="786" t="s">
        <v>304</v>
      </c>
      <c r="B19" s="88"/>
      <c r="C19" s="88"/>
      <c r="D19" s="88"/>
      <c r="E19" s="88"/>
      <c r="F19" s="88"/>
      <c r="G19" s="87"/>
      <c r="H19" s="87"/>
      <c r="I19" s="87"/>
      <c r="J19" s="87"/>
      <c r="K19" s="87"/>
      <c r="L19" s="87"/>
      <c r="M19" s="87">
        <f>MEDIAN($H$16:$M$16)</f>
        <v>0.97933420972550222</v>
      </c>
      <c r="N19" s="87">
        <f t="shared" ref="N19:AW19" si="6">MEDIAN($H$16:$M$16)</f>
        <v>0.97933420972550222</v>
      </c>
      <c r="O19" s="87">
        <f t="shared" si="6"/>
        <v>0.97933420972550222</v>
      </c>
      <c r="P19" s="87">
        <f t="shared" si="6"/>
        <v>0.97933420972550222</v>
      </c>
      <c r="Q19" s="87">
        <f t="shared" si="6"/>
        <v>0.97933420972550222</v>
      </c>
      <c r="R19" s="87">
        <f t="shared" si="6"/>
        <v>0.97933420972550222</v>
      </c>
      <c r="S19" s="87">
        <f t="shared" si="6"/>
        <v>0.97933420972550222</v>
      </c>
      <c r="T19" s="87">
        <f t="shared" si="6"/>
        <v>0.97933420972550222</v>
      </c>
      <c r="U19" s="87">
        <f t="shared" si="6"/>
        <v>0.97933420972550222</v>
      </c>
      <c r="V19" s="87">
        <f t="shared" si="6"/>
        <v>0.97933420972550222</v>
      </c>
      <c r="W19" s="87">
        <f t="shared" si="6"/>
        <v>0.97933420972550222</v>
      </c>
      <c r="X19" s="87">
        <f t="shared" si="6"/>
        <v>0.97933420972550222</v>
      </c>
      <c r="Y19" s="87">
        <f t="shared" si="6"/>
        <v>0.97933420972550222</v>
      </c>
      <c r="Z19" s="87">
        <f t="shared" si="6"/>
        <v>0.97933420972550222</v>
      </c>
      <c r="AA19" s="87">
        <f t="shared" si="6"/>
        <v>0.97933420972550222</v>
      </c>
      <c r="AB19" s="87">
        <f t="shared" si="6"/>
        <v>0.97933420972550222</v>
      </c>
      <c r="AC19" s="87">
        <f t="shared" si="6"/>
        <v>0.97933420972550222</v>
      </c>
      <c r="AD19" s="87">
        <f t="shared" si="6"/>
        <v>0.97933420972550222</v>
      </c>
      <c r="AE19" s="87">
        <f t="shared" si="6"/>
        <v>0.97933420972550222</v>
      </c>
      <c r="AF19" s="87">
        <f t="shared" si="6"/>
        <v>0.97933420972550222</v>
      </c>
      <c r="AG19" s="87">
        <f t="shared" si="6"/>
        <v>0.97933420972550222</v>
      </c>
      <c r="AH19" s="87">
        <f t="shared" si="6"/>
        <v>0.97933420972550222</v>
      </c>
      <c r="AI19" s="87">
        <f t="shared" si="6"/>
        <v>0.97933420972550222</v>
      </c>
      <c r="AJ19" s="87">
        <f t="shared" si="6"/>
        <v>0.97933420972550222</v>
      </c>
      <c r="AK19" s="87">
        <f t="shared" si="6"/>
        <v>0.97933420972550222</v>
      </c>
      <c r="AL19" s="87">
        <f t="shared" si="6"/>
        <v>0.97933420972550222</v>
      </c>
      <c r="AM19" s="87">
        <f t="shared" si="6"/>
        <v>0.97933420972550222</v>
      </c>
      <c r="AN19" s="87">
        <f t="shared" si="6"/>
        <v>0.97933420972550222</v>
      </c>
      <c r="AO19" s="87">
        <f t="shared" si="6"/>
        <v>0.97933420972550222</v>
      </c>
      <c r="AP19" s="87">
        <f t="shared" si="6"/>
        <v>0.97933420972550222</v>
      </c>
      <c r="AQ19" s="87">
        <f t="shared" si="6"/>
        <v>0.97933420972550222</v>
      </c>
      <c r="AR19" s="87">
        <f t="shared" si="6"/>
        <v>0.97933420972550222</v>
      </c>
      <c r="AS19" s="87">
        <f t="shared" si="6"/>
        <v>0.97933420972550222</v>
      </c>
      <c r="AT19" s="87">
        <f t="shared" si="6"/>
        <v>0.97933420972550222</v>
      </c>
      <c r="AU19" s="87">
        <f t="shared" si="6"/>
        <v>0.97933420972550222</v>
      </c>
      <c r="AV19" s="87">
        <f t="shared" si="6"/>
        <v>0.97933420972550222</v>
      </c>
      <c r="AW19" s="87">
        <f t="shared" si="6"/>
        <v>0.97933420972550222</v>
      </c>
    </row>
    <row r="20" spans="1:49" x14ac:dyDescent="0.2">
      <c r="A20" s="244" t="s">
        <v>315</v>
      </c>
      <c r="B20" s="88">
        <v>0.93286138387759765</v>
      </c>
      <c r="C20" s="88">
        <v>0.9359197907585004</v>
      </c>
      <c r="D20" s="88">
        <v>0.94688922610015169</v>
      </c>
      <c r="E20" s="88">
        <v>0.94427095844343023</v>
      </c>
      <c r="F20" s="88">
        <v>0.95279912184412729</v>
      </c>
      <c r="G20" s="88">
        <v>0.96563418494234687</v>
      </c>
      <c r="H20" s="88">
        <v>0.94644883140458358</v>
      </c>
      <c r="I20" s="88">
        <v>0.9514837494112105</v>
      </c>
      <c r="J20" s="88">
        <v>0.94416590701914316</v>
      </c>
      <c r="K20" s="88">
        <v>0.90829884556741447</v>
      </c>
      <c r="L20" s="88">
        <v>0.86932344763670066</v>
      </c>
      <c r="M20" s="88">
        <v>0.92527060782681103</v>
      </c>
      <c r="N20" s="88">
        <v>0.94607523374646663</v>
      </c>
      <c r="O20" s="88">
        <v>0.94600518031480374</v>
      </c>
      <c r="P20" s="88">
        <v>0.96791554543572755</v>
      </c>
      <c r="Q20" s="88">
        <v>0.96770525358198767</v>
      </c>
      <c r="R20" s="88">
        <v>0.96599999999999997</v>
      </c>
      <c r="S20" s="88">
        <v>0.96450000000000002</v>
      </c>
      <c r="T20" s="88">
        <v>0.9383011079730611</v>
      </c>
      <c r="U20" s="88">
        <v>0.97599999999999998</v>
      </c>
      <c r="V20" s="87">
        <v>0.94399999999999995</v>
      </c>
      <c r="W20" s="87">
        <v>0.94099999999999995</v>
      </c>
      <c r="X20" s="87">
        <v>0.9546</v>
      </c>
      <c r="Y20" s="87">
        <v>0.95499999999999996</v>
      </c>
      <c r="Z20" s="87">
        <v>0.96799999999999997</v>
      </c>
      <c r="AA20" s="87">
        <v>0.97499999999999998</v>
      </c>
      <c r="AB20" s="87">
        <v>0.96899999999999997</v>
      </c>
      <c r="AC20" s="87">
        <v>0.97699999999999998</v>
      </c>
      <c r="AD20" s="87">
        <v>0.96399999999999997</v>
      </c>
      <c r="AE20" s="87">
        <v>0.96</v>
      </c>
      <c r="AF20" s="87">
        <v>0.95599999999999996</v>
      </c>
      <c r="AG20" s="87">
        <v>0.95399999999999996</v>
      </c>
      <c r="AH20" s="87">
        <v>0.79500000000000004</v>
      </c>
      <c r="AI20" s="87"/>
      <c r="AJ20" s="87"/>
      <c r="AK20" s="87"/>
      <c r="AL20" s="87"/>
      <c r="AM20" s="87"/>
      <c r="AN20" s="87"/>
      <c r="AO20" s="87"/>
      <c r="AP20" s="87"/>
      <c r="AQ20" s="87"/>
      <c r="AR20" s="87"/>
      <c r="AS20" s="87"/>
      <c r="AT20" s="87"/>
      <c r="AU20" s="87"/>
      <c r="AV20" s="87"/>
      <c r="AW20" s="87"/>
    </row>
    <row r="21" spans="1:49" x14ac:dyDescent="0.2">
      <c r="A21" s="786" t="s">
        <v>130</v>
      </c>
      <c r="B21" s="87">
        <f>MEDIAN($B$20:$G$20)</f>
        <v>0.94558009227179096</v>
      </c>
      <c r="C21" s="87">
        <f t="shared" ref="C21:R22" si="7">MEDIAN($B$20:$G$20)</f>
        <v>0.94558009227179096</v>
      </c>
      <c r="D21" s="87">
        <f t="shared" si="7"/>
        <v>0.94558009227179096</v>
      </c>
      <c r="E21" s="87">
        <f t="shared" si="7"/>
        <v>0.94558009227179096</v>
      </c>
      <c r="F21" s="87">
        <f t="shared" si="7"/>
        <v>0.94558009227179096</v>
      </c>
      <c r="G21" s="87">
        <f t="shared" si="7"/>
        <v>0.94558009227179096</v>
      </c>
      <c r="H21" s="88"/>
      <c r="I21" s="88"/>
      <c r="J21" s="88"/>
      <c r="K21" s="88"/>
      <c r="L21" s="88"/>
      <c r="M21" s="88"/>
      <c r="N21" s="88"/>
      <c r="O21" s="88"/>
      <c r="P21" s="88"/>
      <c r="Q21" s="88"/>
      <c r="R21" s="88"/>
      <c r="S21" s="88"/>
      <c r="T21" s="88"/>
      <c r="U21" s="88"/>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row>
    <row r="22" spans="1:49" x14ac:dyDescent="0.2">
      <c r="A22" s="786" t="s">
        <v>178</v>
      </c>
      <c r="B22" s="88"/>
      <c r="C22" s="88"/>
      <c r="D22" s="88"/>
      <c r="E22" s="88"/>
      <c r="F22" s="88"/>
      <c r="G22" s="87">
        <f t="shared" si="7"/>
        <v>0.94558009227179096</v>
      </c>
      <c r="H22" s="87">
        <f t="shared" si="7"/>
        <v>0.94558009227179096</v>
      </c>
      <c r="I22" s="87">
        <f t="shared" si="7"/>
        <v>0.94558009227179096</v>
      </c>
      <c r="J22" s="87">
        <f t="shared" si="7"/>
        <v>0.94558009227179096</v>
      </c>
      <c r="K22" s="87">
        <f t="shared" si="7"/>
        <v>0.94558009227179096</v>
      </c>
      <c r="L22" s="87">
        <f t="shared" si="7"/>
        <v>0.94558009227179096</v>
      </c>
      <c r="M22" s="87">
        <f t="shared" si="7"/>
        <v>0.94558009227179096</v>
      </c>
      <c r="N22" s="87">
        <f t="shared" si="7"/>
        <v>0.94558009227179096</v>
      </c>
      <c r="O22" s="87">
        <f t="shared" si="7"/>
        <v>0.94558009227179096</v>
      </c>
      <c r="P22" s="87">
        <f t="shared" si="7"/>
        <v>0.94558009227179096</v>
      </c>
      <c r="Q22" s="87">
        <f t="shared" si="7"/>
        <v>0.94558009227179096</v>
      </c>
      <c r="R22" s="87">
        <f t="shared" si="7"/>
        <v>0.94558009227179096</v>
      </c>
      <c r="S22" s="87">
        <f t="shared" ref="S22:W22" si="8">MEDIAN($B$20:$G$20)</f>
        <v>0.94558009227179096</v>
      </c>
      <c r="T22" s="87">
        <f t="shared" si="8"/>
        <v>0.94558009227179096</v>
      </c>
      <c r="U22" s="87">
        <f t="shared" si="8"/>
        <v>0.94558009227179096</v>
      </c>
      <c r="V22" s="87">
        <f t="shared" si="8"/>
        <v>0.94558009227179096</v>
      </c>
      <c r="W22" s="87">
        <f t="shared" si="8"/>
        <v>0.94558009227179096</v>
      </c>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row>
    <row r="23" spans="1:49" x14ac:dyDescent="0.2">
      <c r="A23" s="786" t="s">
        <v>303</v>
      </c>
      <c r="B23" s="88"/>
      <c r="C23" s="88"/>
      <c r="D23" s="88"/>
      <c r="E23" s="88"/>
      <c r="F23" s="88"/>
      <c r="G23" s="87"/>
      <c r="H23" s="87"/>
      <c r="I23" s="87"/>
      <c r="J23" s="87"/>
      <c r="K23" s="87"/>
      <c r="L23" s="87"/>
      <c r="M23" s="87"/>
      <c r="N23" s="87"/>
      <c r="O23" s="87"/>
      <c r="P23" s="87"/>
      <c r="Q23" s="87"/>
      <c r="R23" s="87"/>
      <c r="S23" s="87"/>
      <c r="T23" s="87"/>
      <c r="U23" s="87"/>
      <c r="V23" s="87"/>
      <c r="W23" s="87"/>
      <c r="X23" s="87">
        <f>MEDIAN($X$20:$AC$20)</f>
        <v>0.96849999999999992</v>
      </c>
      <c r="Y23" s="87">
        <f t="shared" ref="Y23:AB23" si="9">MEDIAN($X$20:$AC$20)</f>
        <v>0.96849999999999992</v>
      </c>
      <c r="Z23" s="87">
        <f t="shared" si="9"/>
        <v>0.96849999999999992</v>
      </c>
      <c r="AA23" s="87">
        <f t="shared" si="9"/>
        <v>0.96849999999999992</v>
      </c>
      <c r="AB23" s="87">
        <f t="shared" si="9"/>
        <v>0.96849999999999992</v>
      </c>
      <c r="AC23" s="87">
        <f>MEDIAN($X$20:$AC$20)</f>
        <v>0.96849999999999992</v>
      </c>
      <c r="AD23" s="87"/>
      <c r="AE23" s="87"/>
      <c r="AF23" s="87"/>
      <c r="AG23" s="87"/>
      <c r="AH23" s="87"/>
      <c r="AI23" s="87"/>
      <c r="AJ23" s="87"/>
      <c r="AK23" s="87"/>
      <c r="AL23" s="87"/>
      <c r="AM23" s="87"/>
      <c r="AN23" s="87"/>
      <c r="AO23" s="87"/>
      <c r="AP23" s="87"/>
      <c r="AQ23" s="87"/>
      <c r="AR23" s="87"/>
      <c r="AS23" s="87"/>
      <c r="AT23" s="87"/>
      <c r="AU23" s="87"/>
      <c r="AV23" s="87"/>
      <c r="AW23" s="87"/>
    </row>
    <row r="24" spans="1:49" x14ac:dyDescent="0.2">
      <c r="A24" s="786" t="s">
        <v>304</v>
      </c>
      <c r="B24" s="88"/>
      <c r="C24" s="88"/>
      <c r="D24" s="88"/>
      <c r="E24" s="88"/>
      <c r="F24" s="88"/>
      <c r="G24" s="87"/>
      <c r="H24" s="87"/>
      <c r="I24" s="87"/>
      <c r="J24" s="87"/>
      <c r="K24" s="87"/>
      <c r="L24" s="87"/>
      <c r="M24" s="87"/>
      <c r="N24" s="87"/>
      <c r="O24" s="87"/>
      <c r="P24" s="87"/>
      <c r="Q24" s="87"/>
      <c r="R24" s="87"/>
      <c r="S24" s="87"/>
      <c r="T24" s="87"/>
      <c r="U24" s="87"/>
      <c r="V24" s="87"/>
      <c r="W24" s="87"/>
      <c r="X24" s="87"/>
      <c r="Y24" s="87"/>
      <c r="Z24" s="87"/>
      <c r="AA24" s="87"/>
      <c r="AB24" s="87"/>
      <c r="AC24" s="87">
        <f>MEDIAN($X$20:$AC$20)</f>
        <v>0.96849999999999992</v>
      </c>
      <c r="AD24" s="87">
        <f t="shared" ref="AD24:AW24" si="10">MEDIAN($X$20:$AC$20)</f>
        <v>0.96849999999999992</v>
      </c>
      <c r="AE24" s="87">
        <f t="shared" si="10"/>
        <v>0.96849999999999992</v>
      </c>
      <c r="AF24" s="87">
        <f t="shared" si="10"/>
        <v>0.96849999999999992</v>
      </c>
      <c r="AG24" s="87">
        <f t="shared" si="10"/>
        <v>0.96849999999999992</v>
      </c>
      <c r="AH24" s="87">
        <f t="shared" si="10"/>
        <v>0.96849999999999992</v>
      </c>
      <c r="AI24" s="87">
        <f t="shared" si="10"/>
        <v>0.96849999999999992</v>
      </c>
      <c r="AJ24" s="87">
        <f t="shared" si="10"/>
        <v>0.96849999999999992</v>
      </c>
      <c r="AK24" s="87">
        <f t="shared" si="10"/>
        <v>0.96849999999999992</v>
      </c>
      <c r="AL24" s="87">
        <f t="shared" si="10"/>
        <v>0.96849999999999992</v>
      </c>
      <c r="AM24" s="87">
        <f t="shared" si="10"/>
        <v>0.96849999999999992</v>
      </c>
      <c r="AN24" s="87">
        <f t="shared" si="10"/>
        <v>0.96849999999999992</v>
      </c>
      <c r="AO24" s="87">
        <f t="shared" si="10"/>
        <v>0.96849999999999992</v>
      </c>
      <c r="AP24" s="87">
        <f t="shared" si="10"/>
        <v>0.96849999999999992</v>
      </c>
      <c r="AQ24" s="87">
        <f t="shared" si="10"/>
        <v>0.96849999999999992</v>
      </c>
      <c r="AR24" s="87">
        <f t="shared" si="10"/>
        <v>0.96849999999999992</v>
      </c>
      <c r="AS24" s="87">
        <f t="shared" si="10"/>
        <v>0.96849999999999992</v>
      </c>
      <c r="AT24" s="87">
        <f t="shared" si="10"/>
        <v>0.96849999999999992</v>
      </c>
      <c r="AU24" s="87">
        <f t="shared" si="10"/>
        <v>0.96849999999999992</v>
      </c>
      <c r="AV24" s="87">
        <f t="shared" si="10"/>
        <v>0.96849999999999992</v>
      </c>
      <c r="AW24" s="87">
        <f t="shared" si="10"/>
        <v>0.96849999999999992</v>
      </c>
    </row>
    <row r="25" spans="1:49" x14ac:dyDescent="0.2">
      <c r="A25" s="244" t="s">
        <v>370</v>
      </c>
      <c r="B25" s="63">
        <v>0.93560947813286477</v>
      </c>
      <c r="C25" s="63">
        <v>0.94036760961155608</v>
      </c>
      <c r="D25" s="63">
        <v>0.94677818793514323</v>
      </c>
      <c r="E25" s="63">
        <v>0.93856087658367171</v>
      </c>
      <c r="F25" s="63">
        <v>0.9446</v>
      </c>
      <c r="G25" s="63">
        <v>0.93956931359353968</v>
      </c>
      <c r="H25" s="63">
        <v>0.94371781433714619</v>
      </c>
      <c r="I25" s="63">
        <v>0.93443457338515634</v>
      </c>
      <c r="J25" s="63">
        <v>0.92103232030873128</v>
      </c>
      <c r="K25" s="63">
        <v>0.88452889072467755</v>
      </c>
      <c r="L25" s="63">
        <v>0.88010466311559665</v>
      </c>
      <c r="M25" s="63">
        <v>0.92056292653978211</v>
      </c>
      <c r="N25" s="63">
        <v>0.9341058215831356</v>
      </c>
      <c r="O25" s="63">
        <v>0.93313856427378961</v>
      </c>
      <c r="P25" s="63">
        <v>0.95496629213483142</v>
      </c>
      <c r="Q25" s="63">
        <v>0.97109172365008256</v>
      </c>
      <c r="R25" s="63">
        <v>0.94399999999999995</v>
      </c>
      <c r="S25" s="63">
        <v>0.93200000000000005</v>
      </c>
      <c r="T25" s="63">
        <v>0.93102696099816773</v>
      </c>
      <c r="U25" s="63">
        <v>0.94499999999999995</v>
      </c>
      <c r="V25" s="54">
        <v>0.92400000000000004</v>
      </c>
      <c r="W25" s="54">
        <v>0.92800000000000005</v>
      </c>
      <c r="X25" s="54">
        <v>0.93200000000000005</v>
      </c>
      <c r="Y25" s="54">
        <v>0.95699999999999996</v>
      </c>
      <c r="Z25" s="54">
        <v>0.95199999999999996</v>
      </c>
      <c r="AA25" s="54">
        <v>0.95099999999999996</v>
      </c>
      <c r="AB25" s="54">
        <v>0.95699999999999996</v>
      </c>
      <c r="AC25" s="54">
        <v>0.96</v>
      </c>
      <c r="AD25" s="54">
        <v>0.95099999999999996</v>
      </c>
      <c r="AE25" s="54">
        <v>0.94299999999999995</v>
      </c>
      <c r="AF25" s="54">
        <v>0.93799999999999994</v>
      </c>
      <c r="AG25" s="54">
        <v>0.89300000000000002</v>
      </c>
      <c r="AH25" s="54">
        <v>0.75900000000000001</v>
      </c>
      <c r="AI25" s="54"/>
      <c r="AJ25" s="54"/>
      <c r="AK25" s="54"/>
      <c r="AL25" s="54"/>
      <c r="AM25" s="54"/>
      <c r="AN25" s="54"/>
      <c r="AO25" s="54"/>
      <c r="AP25" s="54"/>
      <c r="AQ25" s="54"/>
      <c r="AR25" s="54"/>
      <c r="AS25" s="54"/>
      <c r="AT25" s="54"/>
      <c r="AU25" s="54"/>
      <c r="AV25" s="54"/>
      <c r="AW25" s="54"/>
    </row>
    <row r="26" spans="1:49" x14ac:dyDescent="0.2">
      <c r="A26" s="786" t="s">
        <v>130</v>
      </c>
      <c r="B26" s="87">
        <f>MEDIAN($B$25:$G$25)</f>
        <v>0.93996846160254788</v>
      </c>
      <c r="C26" s="87">
        <f t="shared" ref="C26:R27" si="11">MEDIAN($B$25:$G$25)</f>
        <v>0.93996846160254788</v>
      </c>
      <c r="D26" s="87">
        <f t="shared" si="11"/>
        <v>0.93996846160254788</v>
      </c>
      <c r="E26" s="87">
        <f t="shared" si="11"/>
        <v>0.93996846160254788</v>
      </c>
      <c r="F26" s="87">
        <f t="shared" si="11"/>
        <v>0.93996846160254788</v>
      </c>
      <c r="G26" s="87">
        <f t="shared" si="11"/>
        <v>0.93996846160254788</v>
      </c>
      <c r="H26" s="63"/>
      <c r="I26" s="63"/>
      <c r="J26" s="63"/>
      <c r="K26" s="63"/>
      <c r="L26" s="63"/>
      <c r="M26" s="63"/>
      <c r="N26" s="63"/>
      <c r="O26" s="63"/>
      <c r="P26" s="63"/>
      <c r="Q26" s="63"/>
      <c r="R26" s="63"/>
      <c r="S26" s="63"/>
      <c r="T26" s="63"/>
      <c r="U26" s="63"/>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row>
    <row r="27" spans="1:49" x14ac:dyDescent="0.2">
      <c r="A27" s="786" t="s">
        <v>178</v>
      </c>
      <c r="B27" s="63"/>
      <c r="C27" s="63"/>
      <c r="D27" s="63"/>
      <c r="E27" s="63"/>
      <c r="F27" s="63"/>
      <c r="G27" s="87">
        <f t="shared" si="11"/>
        <v>0.93996846160254788</v>
      </c>
      <c r="H27" s="87">
        <f t="shared" si="11"/>
        <v>0.93996846160254788</v>
      </c>
      <c r="I27" s="87">
        <f t="shared" si="11"/>
        <v>0.93996846160254788</v>
      </c>
      <c r="J27" s="87">
        <f t="shared" si="11"/>
        <v>0.93996846160254788</v>
      </c>
      <c r="K27" s="87">
        <f t="shared" si="11"/>
        <v>0.93996846160254788</v>
      </c>
      <c r="L27" s="87">
        <f t="shared" si="11"/>
        <v>0.93996846160254788</v>
      </c>
      <c r="M27" s="87">
        <f t="shared" si="11"/>
        <v>0.93996846160254788</v>
      </c>
      <c r="N27" s="87">
        <f t="shared" si="11"/>
        <v>0.93996846160254788</v>
      </c>
      <c r="O27" s="87">
        <f t="shared" si="11"/>
        <v>0.93996846160254788</v>
      </c>
      <c r="P27" s="87">
        <f t="shared" si="11"/>
        <v>0.93996846160254788</v>
      </c>
      <c r="Q27" s="87">
        <f t="shared" si="11"/>
        <v>0.93996846160254788</v>
      </c>
      <c r="R27" s="87">
        <f t="shared" si="11"/>
        <v>0.93996846160254788</v>
      </c>
      <c r="S27" s="87">
        <f t="shared" ref="S27:AW27" si="12">MEDIAN($B$25:$G$25)</f>
        <v>0.93996846160254788</v>
      </c>
      <c r="T27" s="87">
        <f t="shared" si="12"/>
        <v>0.93996846160254788</v>
      </c>
      <c r="U27" s="87">
        <f t="shared" si="12"/>
        <v>0.93996846160254788</v>
      </c>
      <c r="V27" s="87">
        <f t="shared" si="12"/>
        <v>0.93996846160254788</v>
      </c>
      <c r="W27" s="87">
        <f t="shared" si="12"/>
        <v>0.93996846160254788</v>
      </c>
      <c r="X27" s="87">
        <f t="shared" si="12"/>
        <v>0.93996846160254788</v>
      </c>
      <c r="Y27" s="87">
        <f t="shared" si="12"/>
        <v>0.93996846160254788</v>
      </c>
      <c r="Z27" s="87">
        <f t="shared" si="12"/>
        <v>0.93996846160254788</v>
      </c>
      <c r="AA27" s="87">
        <f t="shared" si="12"/>
        <v>0.93996846160254788</v>
      </c>
      <c r="AB27" s="87">
        <f t="shared" si="12"/>
        <v>0.93996846160254788</v>
      </c>
      <c r="AC27" s="87">
        <f t="shared" si="12"/>
        <v>0.93996846160254788</v>
      </c>
      <c r="AD27" s="87">
        <f t="shared" si="12"/>
        <v>0.93996846160254788</v>
      </c>
      <c r="AE27" s="87">
        <f t="shared" si="12"/>
        <v>0.93996846160254788</v>
      </c>
      <c r="AF27" s="87">
        <f t="shared" si="12"/>
        <v>0.93996846160254788</v>
      </c>
      <c r="AG27" s="87">
        <f t="shared" si="12"/>
        <v>0.93996846160254788</v>
      </c>
      <c r="AH27" s="87">
        <f t="shared" si="12"/>
        <v>0.93996846160254788</v>
      </c>
      <c r="AI27" s="87">
        <f t="shared" si="12"/>
        <v>0.93996846160254788</v>
      </c>
      <c r="AJ27" s="87">
        <f t="shared" si="12"/>
        <v>0.93996846160254788</v>
      </c>
      <c r="AK27" s="87">
        <f t="shared" si="12"/>
        <v>0.93996846160254788</v>
      </c>
      <c r="AL27" s="87">
        <f t="shared" si="12"/>
        <v>0.93996846160254788</v>
      </c>
      <c r="AM27" s="87">
        <f t="shared" si="12"/>
        <v>0.93996846160254788</v>
      </c>
      <c r="AN27" s="87">
        <f t="shared" si="12"/>
        <v>0.93996846160254788</v>
      </c>
      <c r="AO27" s="87">
        <f t="shared" si="12"/>
        <v>0.93996846160254788</v>
      </c>
      <c r="AP27" s="87">
        <f t="shared" si="12"/>
        <v>0.93996846160254788</v>
      </c>
      <c r="AQ27" s="87">
        <f t="shared" si="12"/>
        <v>0.93996846160254788</v>
      </c>
      <c r="AR27" s="87">
        <f t="shared" si="12"/>
        <v>0.93996846160254788</v>
      </c>
      <c r="AS27" s="87">
        <f t="shared" si="12"/>
        <v>0.93996846160254788</v>
      </c>
      <c r="AT27" s="87">
        <f t="shared" si="12"/>
        <v>0.93996846160254788</v>
      </c>
      <c r="AU27" s="87">
        <f t="shared" si="12"/>
        <v>0.93996846160254788</v>
      </c>
      <c r="AV27" s="87">
        <f t="shared" si="12"/>
        <v>0.93996846160254788</v>
      </c>
      <c r="AW27" s="87">
        <f t="shared" si="12"/>
        <v>0.93996846160254788</v>
      </c>
    </row>
    <row r="28" spans="1:49" x14ac:dyDescent="0.2">
      <c r="A28" s="244" t="s">
        <v>15</v>
      </c>
      <c r="B28" s="87">
        <v>0.98</v>
      </c>
      <c r="C28" s="87">
        <v>0.98</v>
      </c>
      <c r="D28" s="87">
        <v>0.98</v>
      </c>
      <c r="E28" s="87">
        <v>0.98</v>
      </c>
      <c r="F28" s="87">
        <v>0.98</v>
      </c>
      <c r="G28" s="87">
        <v>0.98</v>
      </c>
      <c r="H28" s="87">
        <v>0.98</v>
      </c>
      <c r="I28" s="87">
        <v>0.98</v>
      </c>
      <c r="J28" s="87">
        <v>0.98</v>
      </c>
      <c r="K28" s="87">
        <v>0.98</v>
      </c>
      <c r="L28" s="87">
        <v>0.98</v>
      </c>
      <c r="M28" s="87">
        <v>0.98</v>
      </c>
      <c r="N28" s="87">
        <v>0.98</v>
      </c>
      <c r="O28" s="87">
        <v>0.98</v>
      </c>
      <c r="P28" s="87">
        <v>0.98</v>
      </c>
      <c r="Q28" s="87">
        <v>0.98</v>
      </c>
      <c r="R28" s="87">
        <v>0.98</v>
      </c>
      <c r="S28" s="87">
        <v>0.98</v>
      </c>
      <c r="T28" s="87">
        <v>0.98</v>
      </c>
      <c r="U28" s="87">
        <v>0.98</v>
      </c>
      <c r="V28" s="87">
        <v>0.98</v>
      </c>
      <c r="W28" s="87">
        <v>0.98</v>
      </c>
      <c r="X28" s="87">
        <v>0.98</v>
      </c>
      <c r="Y28" s="87">
        <v>0.98</v>
      </c>
      <c r="Z28" s="87">
        <v>0.98</v>
      </c>
      <c r="AA28" s="87">
        <v>0.98</v>
      </c>
      <c r="AB28" s="87">
        <v>0.98</v>
      </c>
      <c r="AC28" s="87">
        <v>0.98</v>
      </c>
      <c r="AD28" s="87">
        <v>0.98</v>
      </c>
      <c r="AE28" s="87">
        <v>0.98</v>
      </c>
      <c r="AF28" s="87">
        <v>0.98</v>
      </c>
      <c r="AG28" s="87">
        <v>0.98</v>
      </c>
      <c r="AH28" s="87">
        <v>0.98</v>
      </c>
      <c r="AI28" s="87">
        <v>0.98</v>
      </c>
      <c r="AJ28" s="87">
        <v>0.98</v>
      </c>
      <c r="AK28" s="87">
        <v>0.98</v>
      </c>
      <c r="AL28" s="87">
        <v>0.98</v>
      </c>
      <c r="AM28" s="87">
        <v>0.98</v>
      </c>
      <c r="AN28" s="87">
        <v>0.98</v>
      </c>
      <c r="AO28" s="87">
        <v>0.98</v>
      </c>
      <c r="AP28" s="87">
        <v>0.98</v>
      </c>
      <c r="AQ28" s="87">
        <v>0.98</v>
      </c>
      <c r="AR28" s="87">
        <v>0.98</v>
      </c>
      <c r="AS28" s="87">
        <v>0.98</v>
      </c>
      <c r="AT28" s="87">
        <v>0.98</v>
      </c>
      <c r="AU28" s="87">
        <v>0.98</v>
      </c>
      <c r="AV28" s="87">
        <v>0.98</v>
      </c>
      <c r="AW28" s="87">
        <v>0.98</v>
      </c>
    </row>
    <row r="29" spans="1:49" x14ac:dyDescent="0.2">
      <c r="A29" s="244" t="s">
        <v>17</v>
      </c>
      <c r="B29" s="87">
        <v>0.95</v>
      </c>
      <c r="C29" s="87">
        <v>0.95</v>
      </c>
      <c r="D29" s="87">
        <v>0.95</v>
      </c>
      <c r="E29" s="87">
        <v>0.95</v>
      </c>
      <c r="F29" s="87">
        <v>0.95</v>
      </c>
      <c r="G29" s="87">
        <v>0.95</v>
      </c>
      <c r="H29" s="87">
        <v>0.95</v>
      </c>
      <c r="I29" s="87">
        <v>0.95</v>
      </c>
      <c r="J29" s="87">
        <v>0.95</v>
      </c>
      <c r="K29" s="87">
        <v>0.95</v>
      </c>
      <c r="L29" s="87">
        <v>0.95</v>
      </c>
      <c r="M29" s="87">
        <v>0.95</v>
      </c>
      <c r="N29" s="87">
        <v>0.95</v>
      </c>
      <c r="O29" s="87">
        <v>0.95</v>
      </c>
      <c r="P29" s="87">
        <v>0.95</v>
      </c>
      <c r="Q29" s="87">
        <v>0.95</v>
      </c>
      <c r="R29" s="87">
        <v>0.95</v>
      </c>
      <c r="S29" s="87">
        <v>0.95</v>
      </c>
      <c r="T29" s="87">
        <v>0.95</v>
      </c>
      <c r="U29" s="87">
        <v>0.95</v>
      </c>
      <c r="V29" s="87">
        <v>0.95</v>
      </c>
      <c r="W29" s="87">
        <v>0.95</v>
      </c>
      <c r="X29" s="87">
        <v>0.95</v>
      </c>
      <c r="Y29" s="87">
        <v>0.95</v>
      </c>
      <c r="Z29" s="87">
        <v>0.95</v>
      </c>
      <c r="AA29" s="87">
        <v>0.95</v>
      </c>
      <c r="AB29" s="87">
        <v>0.95</v>
      </c>
      <c r="AC29" s="87">
        <v>0.95</v>
      </c>
      <c r="AD29" s="87">
        <v>0.95</v>
      </c>
      <c r="AE29" s="87">
        <v>0.95</v>
      </c>
      <c r="AF29" s="87">
        <v>0.95</v>
      </c>
      <c r="AG29" s="87">
        <v>0.95</v>
      </c>
      <c r="AH29" s="87">
        <v>0.95</v>
      </c>
      <c r="AI29" s="87">
        <v>0.95</v>
      </c>
      <c r="AJ29" s="87">
        <v>0.95</v>
      </c>
      <c r="AK29" s="87">
        <v>0.95</v>
      </c>
      <c r="AL29" s="87">
        <v>0.95</v>
      </c>
      <c r="AM29" s="87">
        <v>0.95</v>
      </c>
      <c r="AN29" s="87">
        <v>0.95</v>
      </c>
      <c r="AO29" s="87">
        <v>0.95</v>
      </c>
      <c r="AP29" s="87">
        <v>0.95</v>
      </c>
      <c r="AQ29" s="87">
        <v>0.95</v>
      </c>
      <c r="AR29" s="87">
        <v>0.95</v>
      </c>
      <c r="AS29" s="87">
        <v>0.95</v>
      </c>
      <c r="AT29" s="87">
        <v>0.95</v>
      </c>
      <c r="AU29" s="87">
        <v>0.95</v>
      </c>
      <c r="AV29" s="87">
        <v>0.95</v>
      </c>
      <c r="AW29" s="87">
        <v>0.95</v>
      </c>
    </row>
    <row r="31" spans="1:49" x14ac:dyDescent="0.2">
      <c r="A31" s="127" t="s">
        <v>723</v>
      </c>
      <c r="M31" s="127" t="s">
        <v>724</v>
      </c>
    </row>
    <row r="38" spans="10:12" ht="15" x14ac:dyDescent="0.25">
      <c r="J38" s="608"/>
      <c r="K38" s="607"/>
      <c r="L38" s="609"/>
    </row>
    <row r="56" spans="1:13" x14ac:dyDescent="0.2">
      <c r="A56" s="127" t="s">
        <v>725</v>
      </c>
      <c r="M56" s="127" t="s">
        <v>726</v>
      </c>
    </row>
    <row r="81" spans="1:1" x14ac:dyDescent="0.2">
      <c r="A81" s="127" t="s">
        <v>727</v>
      </c>
    </row>
    <row r="106" spans="1:13" x14ac:dyDescent="0.2">
      <c r="A106" s="610" t="s">
        <v>565</v>
      </c>
      <c r="M106" s="127" t="s">
        <v>730</v>
      </c>
    </row>
    <row r="109" spans="1:13" x14ac:dyDescent="0.2">
      <c r="L109" s="430" t="s">
        <v>260</v>
      </c>
    </row>
    <row r="110" spans="1:13" x14ac:dyDescent="0.2">
      <c r="L110" s="430" t="s">
        <v>261</v>
      </c>
    </row>
    <row r="111" spans="1:13" x14ac:dyDescent="0.2">
      <c r="L111" s="430" t="s">
        <v>262</v>
      </c>
    </row>
    <row r="112" spans="1:13" x14ac:dyDescent="0.2">
      <c r="J112" s="607"/>
      <c r="L112" s="430" t="s">
        <v>263</v>
      </c>
    </row>
    <row r="113" spans="12:12" x14ac:dyDescent="0.2">
      <c r="L113" s="430" t="s">
        <v>264</v>
      </c>
    </row>
    <row r="114" spans="12:12" x14ac:dyDescent="0.2">
      <c r="L114" s="430" t="s">
        <v>265</v>
      </c>
    </row>
    <row r="115" spans="12:12" x14ac:dyDescent="0.2">
      <c r="L115" s="430" t="s">
        <v>266</v>
      </c>
    </row>
    <row r="116" spans="12:12" x14ac:dyDescent="0.2">
      <c r="L116" s="430" t="s">
        <v>267</v>
      </c>
    </row>
    <row r="117" spans="12:12" x14ac:dyDescent="0.2">
      <c r="L117" s="430" t="s">
        <v>256</v>
      </c>
    </row>
    <row r="118" spans="12:12" x14ac:dyDescent="0.2">
      <c r="L118" s="430" t="s">
        <v>257</v>
      </c>
    </row>
    <row r="119" spans="12:12" x14ac:dyDescent="0.2">
      <c r="L119" s="430" t="s">
        <v>258</v>
      </c>
    </row>
    <row r="120" spans="12:12" x14ac:dyDescent="0.2">
      <c r="L120" s="430" t="s">
        <v>259</v>
      </c>
    </row>
  </sheetData>
  <hyperlinks>
    <hyperlink ref="A1" location="Content!A1" display="Return to 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J79"/>
  <sheetViews>
    <sheetView workbookViewId="0"/>
  </sheetViews>
  <sheetFormatPr defaultColWidth="9.140625" defaultRowHeight="12.75" x14ac:dyDescent="0.2"/>
  <cols>
    <col min="1" max="1" width="25.140625" style="107" bestFit="1" customWidth="1"/>
    <col min="2" max="2" width="20.5703125" style="107" bestFit="1" customWidth="1"/>
    <col min="3" max="4" width="20.7109375" style="107" bestFit="1" customWidth="1"/>
    <col min="5" max="5" width="20.85546875" style="107" bestFit="1" customWidth="1"/>
    <col min="6" max="6" width="15.7109375" style="107" bestFit="1" customWidth="1"/>
    <col min="7" max="7" width="15.85546875" style="107" bestFit="1" customWidth="1"/>
    <col min="8" max="8" width="22.5703125" style="107" bestFit="1" customWidth="1"/>
    <col min="9" max="16384" width="9.140625" style="107"/>
  </cols>
  <sheetData>
    <row r="1" spans="1:10" x14ac:dyDescent="0.2">
      <c r="A1" s="106" t="s">
        <v>345</v>
      </c>
      <c r="B1" s="106"/>
    </row>
    <row r="2" spans="1:10" x14ac:dyDescent="0.2">
      <c r="A2" s="106"/>
      <c r="B2" s="106"/>
    </row>
    <row r="3" spans="1:10" x14ac:dyDescent="0.2">
      <c r="A3" s="108" t="s">
        <v>436</v>
      </c>
      <c r="B3" s="262" t="s">
        <v>53</v>
      </c>
    </row>
    <row r="4" spans="1:10" x14ac:dyDescent="0.2">
      <c r="A4" s="108" t="s">
        <v>199</v>
      </c>
      <c r="B4" s="262"/>
    </row>
    <row r="5" spans="1:10" x14ac:dyDescent="0.2">
      <c r="A5" s="108" t="s">
        <v>438</v>
      </c>
      <c r="B5" s="263" t="s">
        <v>161</v>
      </c>
    </row>
    <row r="6" spans="1:10" x14ac:dyDescent="0.2">
      <c r="A6" s="127" t="s">
        <v>119</v>
      </c>
      <c r="B6" s="129" t="s">
        <v>78</v>
      </c>
    </row>
    <row r="7" spans="1:10" x14ac:dyDescent="0.2">
      <c r="A7" s="127" t="s">
        <v>710</v>
      </c>
      <c r="B7" s="129" t="s">
        <v>77</v>
      </c>
    </row>
    <row r="8" spans="1:10" x14ac:dyDescent="0.2">
      <c r="A8" s="127" t="s">
        <v>144</v>
      </c>
      <c r="B8" s="129" t="s">
        <v>77</v>
      </c>
    </row>
    <row r="10" spans="1:10" ht="38.25" x14ac:dyDescent="0.2">
      <c r="A10" s="145"/>
      <c r="B10" s="90" t="s">
        <v>420</v>
      </c>
      <c r="C10" s="90" t="s">
        <v>421</v>
      </c>
      <c r="D10" s="90" t="s">
        <v>422</v>
      </c>
      <c r="E10" s="90" t="s">
        <v>423</v>
      </c>
      <c r="F10" s="90" t="s">
        <v>424</v>
      </c>
      <c r="G10" s="90" t="s">
        <v>425</v>
      </c>
      <c r="H10" s="109"/>
      <c r="I10" s="109"/>
      <c r="J10" s="109"/>
    </row>
    <row r="11" spans="1:10" ht="25.5" x14ac:dyDescent="0.2">
      <c r="A11" s="145"/>
      <c r="B11" s="90" t="s">
        <v>426</v>
      </c>
      <c r="C11" s="90" t="s">
        <v>426</v>
      </c>
      <c r="D11" s="90" t="s">
        <v>426</v>
      </c>
      <c r="E11" s="90" t="s">
        <v>426</v>
      </c>
      <c r="F11" s="90" t="s">
        <v>427</v>
      </c>
      <c r="G11" s="90" t="s">
        <v>427</v>
      </c>
    </row>
    <row r="12" spans="1:10" x14ac:dyDescent="0.2">
      <c r="A12" s="145"/>
      <c r="B12" s="144" t="s">
        <v>763</v>
      </c>
      <c r="C12" s="144" t="s">
        <v>763</v>
      </c>
      <c r="D12" s="144" t="s">
        <v>763</v>
      </c>
      <c r="E12" s="144" t="s">
        <v>763</v>
      </c>
      <c r="F12" s="144" t="s">
        <v>763</v>
      </c>
      <c r="G12" s="144" t="s">
        <v>763</v>
      </c>
    </row>
    <row r="13" spans="1:10" x14ac:dyDescent="0.2">
      <c r="A13" s="190" t="s">
        <v>429</v>
      </c>
      <c r="B13" s="242">
        <v>30.995132582620869</v>
      </c>
      <c r="C13" s="242">
        <v>56.019790414963168</v>
      </c>
      <c r="D13" s="242">
        <v>59.622715203840215</v>
      </c>
      <c r="E13" s="242">
        <v>135.12783170447568</v>
      </c>
      <c r="F13" s="242">
        <v>0.92452334424530502</v>
      </c>
      <c r="G13" s="242">
        <v>0.84588489027335967</v>
      </c>
    </row>
    <row r="14" spans="1:10" x14ac:dyDescent="0.2">
      <c r="A14" s="190" t="s">
        <v>430</v>
      </c>
      <c r="B14" s="242">
        <v>25.960431544365587</v>
      </c>
      <c r="C14" s="242">
        <v>38.586150492709969</v>
      </c>
      <c r="D14" s="242">
        <v>65.858343127074889</v>
      </c>
      <c r="E14" s="242">
        <v>140.26673771739854</v>
      </c>
      <c r="F14" s="242">
        <v>0.81108994256128208</v>
      </c>
      <c r="G14" s="242">
        <v>1.3034121274434443</v>
      </c>
    </row>
    <row r="15" spans="1:10" x14ac:dyDescent="0.2">
      <c r="A15" s="190" t="s">
        <v>431</v>
      </c>
      <c r="B15" s="242">
        <v>22.590813760386059</v>
      </c>
      <c r="C15" s="242">
        <v>51.663065414244208</v>
      </c>
      <c r="D15" s="242">
        <v>57.960865813588569</v>
      </c>
      <c r="E15" s="242">
        <v>119.8967937463941</v>
      </c>
      <c r="F15" s="242">
        <v>1.1159884244559355</v>
      </c>
      <c r="G15" s="242">
        <v>1.3158733297704932</v>
      </c>
    </row>
    <row r="16" spans="1:10" x14ac:dyDescent="0.2">
      <c r="A16" s="134" t="s">
        <v>370</v>
      </c>
      <c r="B16" s="261">
        <v>26.56599897269599</v>
      </c>
      <c r="C16" s="261">
        <v>48.099786523794251</v>
      </c>
      <c r="D16" s="261">
        <v>56.574738035576416</v>
      </c>
      <c r="E16" s="261">
        <v>126.21098756867407</v>
      </c>
      <c r="F16" s="261">
        <v>0.96222666231706744</v>
      </c>
      <c r="G16" s="261">
        <v>1.1106569511659041</v>
      </c>
    </row>
    <row r="17" spans="1:7" x14ac:dyDescent="0.2">
      <c r="A17" s="187"/>
      <c r="B17" s="355"/>
      <c r="C17" s="355"/>
      <c r="D17" s="355"/>
      <c r="E17" s="355"/>
      <c r="F17" s="355"/>
      <c r="G17" s="355"/>
    </row>
    <row r="18" spans="1:7" ht="38.25" x14ac:dyDescent="0.2">
      <c r="A18" s="145"/>
      <c r="B18" s="90" t="s">
        <v>420</v>
      </c>
      <c r="C18" s="90" t="s">
        <v>421</v>
      </c>
      <c r="D18" s="90" t="s">
        <v>422</v>
      </c>
      <c r="E18" s="90" t="s">
        <v>423</v>
      </c>
      <c r="F18" s="90" t="s">
        <v>424</v>
      </c>
      <c r="G18" s="90" t="s">
        <v>425</v>
      </c>
    </row>
    <row r="19" spans="1:7" ht="25.5" x14ac:dyDescent="0.2">
      <c r="A19" s="145"/>
      <c r="B19" s="90" t="s">
        <v>426</v>
      </c>
      <c r="C19" s="90" t="s">
        <v>426</v>
      </c>
      <c r="D19" s="90" t="s">
        <v>426</v>
      </c>
      <c r="E19" s="90" t="s">
        <v>426</v>
      </c>
      <c r="F19" s="90" t="s">
        <v>427</v>
      </c>
      <c r="G19" s="90" t="s">
        <v>427</v>
      </c>
    </row>
    <row r="20" spans="1:7" x14ac:dyDescent="0.2">
      <c r="A20" s="145"/>
      <c r="B20" s="144" t="s">
        <v>708</v>
      </c>
      <c r="C20" s="144" t="s">
        <v>708</v>
      </c>
      <c r="D20" s="144" t="s">
        <v>708</v>
      </c>
      <c r="E20" s="144" t="s">
        <v>708</v>
      </c>
      <c r="F20" s="144" t="s">
        <v>708</v>
      </c>
      <c r="G20" s="144" t="s">
        <v>708</v>
      </c>
    </row>
    <row r="21" spans="1:7" x14ac:dyDescent="0.2">
      <c r="A21" s="190" t="s">
        <v>429</v>
      </c>
      <c r="B21" s="242">
        <v>30.891058868212848</v>
      </c>
      <c r="C21" s="242">
        <v>59.249487129183976</v>
      </c>
      <c r="D21" s="242">
        <v>57.661303718778754</v>
      </c>
      <c r="E21" s="242">
        <v>131.27380859191553</v>
      </c>
      <c r="F21" s="242">
        <v>0.92274479074687332</v>
      </c>
      <c r="G21" s="242">
        <v>0.85988929297298911</v>
      </c>
    </row>
    <row r="22" spans="1:7" x14ac:dyDescent="0.2">
      <c r="A22" s="190" t="s">
        <v>430</v>
      </c>
      <c r="B22" s="242">
        <v>21.91025403315847</v>
      </c>
      <c r="C22" s="242">
        <v>35.174154078365753</v>
      </c>
      <c r="D22" s="242">
        <v>66.492757492658143</v>
      </c>
      <c r="E22" s="242">
        <v>143.5857018573204</v>
      </c>
      <c r="F22" s="242">
        <v>0.89491424004881792</v>
      </c>
      <c r="G22" s="242">
        <v>1.3725511967664392</v>
      </c>
    </row>
    <row r="23" spans="1:7" x14ac:dyDescent="0.2">
      <c r="A23" s="190" t="s">
        <v>431</v>
      </c>
      <c r="B23" s="242">
        <v>23.961816438361744</v>
      </c>
      <c r="C23" s="242">
        <v>50.569568735469126</v>
      </c>
      <c r="D23" s="242">
        <v>62.182431393445761</v>
      </c>
      <c r="E23" s="242">
        <v>123.52766361360736</v>
      </c>
      <c r="F23" s="242">
        <v>1.1114381361451648</v>
      </c>
      <c r="G23" s="242">
        <v>1.45070129147903</v>
      </c>
    </row>
    <row r="24" spans="1:7" x14ac:dyDescent="0.2">
      <c r="A24" s="134" t="s">
        <v>370</v>
      </c>
      <c r="B24" s="261">
        <v>25.167873623532156</v>
      </c>
      <c r="C24" s="261">
        <v>47.21530344884895</v>
      </c>
      <c r="D24" s="261">
        <v>57.50124911453652</v>
      </c>
      <c r="E24" s="261">
        <v>126.34611521009766</v>
      </c>
      <c r="F24" s="261">
        <v>0.96940217741435564</v>
      </c>
      <c r="G24" s="261">
        <v>1.186151228485518</v>
      </c>
    </row>
    <row r="25" spans="1:7" x14ac:dyDescent="0.2">
      <c r="A25" s="187"/>
      <c r="B25" s="261"/>
      <c r="C25" s="261"/>
      <c r="D25" s="261"/>
      <c r="E25" s="261"/>
      <c r="F25" s="261"/>
      <c r="G25" s="261"/>
    </row>
    <row r="26" spans="1:7" ht="38.25" x14ac:dyDescent="0.2">
      <c r="A26" s="145"/>
      <c r="B26" s="90" t="s">
        <v>420</v>
      </c>
      <c r="C26" s="90" t="s">
        <v>421</v>
      </c>
      <c r="D26" s="90" t="s">
        <v>422</v>
      </c>
      <c r="E26" s="90" t="s">
        <v>423</v>
      </c>
      <c r="F26" s="90" t="s">
        <v>424</v>
      </c>
      <c r="G26" s="90" t="s">
        <v>425</v>
      </c>
    </row>
    <row r="27" spans="1:7" ht="25.5" x14ac:dyDescent="0.2">
      <c r="A27" s="145"/>
      <c r="B27" s="90" t="s">
        <v>426</v>
      </c>
      <c r="C27" s="90" t="s">
        <v>426</v>
      </c>
      <c r="D27" s="90" t="s">
        <v>426</v>
      </c>
      <c r="E27" s="90" t="s">
        <v>426</v>
      </c>
      <c r="F27" s="90" t="s">
        <v>427</v>
      </c>
      <c r="G27" s="90" t="s">
        <v>427</v>
      </c>
    </row>
    <row r="28" spans="1:7" x14ac:dyDescent="0.2">
      <c r="A28" s="145"/>
      <c r="B28" s="144" t="s">
        <v>558</v>
      </c>
      <c r="C28" s="144" t="s">
        <v>558</v>
      </c>
      <c r="D28" s="144" t="s">
        <v>558</v>
      </c>
      <c r="E28" s="144" t="s">
        <v>558</v>
      </c>
      <c r="F28" s="144" t="s">
        <v>558</v>
      </c>
      <c r="G28" s="144" t="s">
        <v>558</v>
      </c>
    </row>
    <row r="29" spans="1:7" x14ac:dyDescent="0.2">
      <c r="A29" s="190" t="s">
        <v>429</v>
      </c>
      <c r="B29" s="242">
        <v>30.991400292065553</v>
      </c>
      <c r="C29" s="242">
        <v>54.705307717355915</v>
      </c>
      <c r="D29" s="242">
        <v>55.191495558468027</v>
      </c>
      <c r="E29" s="242">
        <v>115.78171091445427</v>
      </c>
      <c r="F29" s="242">
        <v>0.92299233687248194</v>
      </c>
      <c r="G29" s="242">
        <v>0.8947706935853037</v>
      </c>
    </row>
    <row r="30" spans="1:7" x14ac:dyDescent="0.2">
      <c r="A30" s="190" t="s">
        <v>430</v>
      </c>
      <c r="B30" s="242">
        <v>29.313632030505243</v>
      </c>
      <c r="C30" s="242">
        <v>43.89312977099236</v>
      </c>
      <c r="D30" s="242">
        <v>54.159186116098148</v>
      </c>
      <c r="E30" s="242">
        <v>117.3438447543966</v>
      </c>
      <c r="F30" s="242">
        <v>0.85176199872269054</v>
      </c>
      <c r="G30" s="242">
        <v>1.2604752791879104</v>
      </c>
    </row>
    <row r="31" spans="1:7" x14ac:dyDescent="0.2">
      <c r="A31" s="190" t="s">
        <v>431</v>
      </c>
      <c r="B31" s="242">
        <v>22.08835341365462</v>
      </c>
      <c r="C31" s="242">
        <v>40.310970342643259</v>
      </c>
      <c r="D31" s="242">
        <v>51.268949071708398</v>
      </c>
      <c r="E31" s="242">
        <v>102.38259668508286</v>
      </c>
      <c r="F31" s="242">
        <v>1.1231075621156643</v>
      </c>
      <c r="G31" s="242">
        <v>1.3604263606730371</v>
      </c>
    </row>
    <row r="32" spans="1:7" x14ac:dyDescent="0.2">
      <c r="A32" s="134" t="s">
        <v>370</v>
      </c>
      <c r="B32" s="261">
        <v>26.259014978733902</v>
      </c>
      <c r="C32" s="261">
        <v>43.996786751529385</v>
      </c>
      <c r="D32" s="261">
        <v>52.090658300427329</v>
      </c>
      <c r="E32" s="261">
        <v>106.8221638195357</v>
      </c>
      <c r="F32" s="261">
        <v>0.97248033816814139</v>
      </c>
      <c r="G32" s="261">
        <v>1.2330888266534632</v>
      </c>
    </row>
    <row r="33" spans="1:7" x14ac:dyDescent="0.2">
      <c r="A33" s="187"/>
      <c r="B33" s="355"/>
      <c r="C33" s="355"/>
      <c r="D33" s="355"/>
      <c r="E33" s="355"/>
      <c r="F33" s="355"/>
      <c r="G33" s="355"/>
    </row>
    <row r="34" spans="1:7" ht="38.25" x14ac:dyDescent="0.2">
      <c r="A34" s="145"/>
      <c r="B34" s="90" t="s">
        <v>420</v>
      </c>
      <c r="C34" s="90" t="s">
        <v>421</v>
      </c>
      <c r="D34" s="90" t="s">
        <v>422</v>
      </c>
      <c r="E34" s="90" t="s">
        <v>423</v>
      </c>
      <c r="F34" s="90" t="s">
        <v>424</v>
      </c>
      <c r="G34" s="90" t="s">
        <v>425</v>
      </c>
    </row>
    <row r="35" spans="1:7" ht="25.5" x14ac:dyDescent="0.2">
      <c r="A35" s="145"/>
      <c r="B35" s="90" t="s">
        <v>426</v>
      </c>
      <c r="C35" s="90" t="s">
        <v>426</v>
      </c>
      <c r="D35" s="90" t="s">
        <v>426</v>
      </c>
      <c r="E35" s="90" t="s">
        <v>426</v>
      </c>
      <c r="F35" s="90" t="s">
        <v>427</v>
      </c>
      <c r="G35" s="90" t="s">
        <v>427</v>
      </c>
    </row>
    <row r="36" spans="1:7" x14ac:dyDescent="0.2">
      <c r="A36" s="145"/>
      <c r="B36" s="144" t="s">
        <v>452</v>
      </c>
      <c r="C36" s="144" t="s">
        <v>452</v>
      </c>
      <c r="D36" s="144" t="s">
        <v>452</v>
      </c>
      <c r="E36" s="144" t="s">
        <v>452</v>
      </c>
      <c r="F36" s="144" t="s">
        <v>452</v>
      </c>
      <c r="G36" s="144" t="s">
        <v>452</v>
      </c>
    </row>
    <row r="37" spans="1:7" x14ac:dyDescent="0.2">
      <c r="A37" s="190" t="s">
        <v>429</v>
      </c>
      <c r="B37" s="242">
        <v>32.299999999999997</v>
      </c>
      <c r="C37" s="242">
        <v>60.45</v>
      </c>
      <c r="D37" s="242">
        <v>52.51</v>
      </c>
      <c r="E37" s="242">
        <v>128.76398049899629</v>
      </c>
      <c r="F37" s="242">
        <v>0.91049423813538111</v>
      </c>
      <c r="G37" s="242">
        <v>0.91083306672996545</v>
      </c>
    </row>
    <row r="38" spans="1:7" x14ac:dyDescent="0.2">
      <c r="A38" s="190" t="s">
        <v>430</v>
      </c>
      <c r="B38" s="242">
        <v>44.16</v>
      </c>
      <c r="C38" s="242">
        <v>60.94</v>
      </c>
      <c r="D38" s="242">
        <v>63.49</v>
      </c>
      <c r="E38" s="242">
        <v>134.74714518760194</v>
      </c>
      <c r="F38" s="242">
        <v>0.89064735804143569</v>
      </c>
      <c r="G38" s="242">
        <v>1.3284586666613183</v>
      </c>
    </row>
    <row r="39" spans="1:7" x14ac:dyDescent="0.2">
      <c r="A39" s="190" t="s">
        <v>431</v>
      </c>
      <c r="B39" s="242">
        <v>29.75</v>
      </c>
      <c r="C39" s="242">
        <v>53.64</v>
      </c>
      <c r="D39" s="242">
        <v>62.04</v>
      </c>
      <c r="E39" s="242">
        <v>117.4597855227882</v>
      </c>
      <c r="F39" s="242">
        <v>1.0708005505732898</v>
      </c>
      <c r="G39" s="242">
        <v>1.3606980739026602</v>
      </c>
    </row>
    <row r="40" spans="1:7" x14ac:dyDescent="0.2">
      <c r="A40" s="134" t="s">
        <v>370</v>
      </c>
      <c r="B40" s="261">
        <v>31.538648517258149</v>
      </c>
      <c r="C40" s="261">
        <v>52.875526010855651</v>
      </c>
      <c r="D40" s="261">
        <v>55.920692299266079</v>
      </c>
      <c r="E40" s="261">
        <v>119.93149928184732</v>
      </c>
      <c r="F40" s="261">
        <v>0.95217345828269462</v>
      </c>
      <c r="G40" s="261">
        <v>1.1806068394519591</v>
      </c>
    </row>
    <row r="41" spans="1:7" x14ac:dyDescent="0.2">
      <c r="A41" s="187"/>
      <c r="B41" s="355"/>
      <c r="C41" s="355"/>
      <c r="D41" s="355"/>
      <c r="E41" s="355"/>
      <c r="F41" s="355"/>
      <c r="G41" s="355"/>
    </row>
    <row r="42" spans="1:7" ht="38.25" x14ac:dyDescent="0.2">
      <c r="A42" s="145"/>
      <c r="B42" s="90" t="s">
        <v>420</v>
      </c>
      <c r="C42" s="90" t="s">
        <v>421</v>
      </c>
      <c r="D42" s="90" t="s">
        <v>422</v>
      </c>
      <c r="E42" s="90" t="s">
        <v>423</v>
      </c>
      <c r="F42" s="90" t="s">
        <v>424</v>
      </c>
      <c r="G42" s="90" t="s">
        <v>425</v>
      </c>
    </row>
    <row r="43" spans="1:7" ht="25.5" x14ac:dyDescent="0.2">
      <c r="A43" s="145"/>
      <c r="B43" s="90" t="s">
        <v>426</v>
      </c>
      <c r="C43" s="90" t="s">
        <v>426</v>
      </c>
      <c r="D43" s="90" t="s">
        <v>426</v>
      </c>
      <c r="E43" s="90" t="s">
        <v>426</v>
      </c>
      <c r="F43" s="90" t="s">
        <v>427</v>
      </c>
      <c r="G43" s="90" t="s">
        <v>427</v>
      </c>
    </row>
    <row r="44" spans="1:7" x14ac:dyDescent="0.2">
      <c r="A44" s="145"/>
      <c r="B44" s="144" t="s">
        <v>13</v>
      </c>
      <c r="C44" s="144" t="s">
        <v>13</v>
      </c>
      <c r="D44" s="144" t="s">
        <v>13</v>
      </c>
      <c r="E44" s="144" t="s">
        <v>13</v>
      </c>
      <c r="F44" s="144" t="s">
        <v>13</v>
      </c>
      <c r="G44" s="144" t="s">
        <v>13</v>
      </c>
    </row>
    <row r="45" spans="1:7" x14ac:dyDescent="0.2">
      <c r="A45" s="190" t="s">
        <v>429</v>
      </c>
      <c r="B45" s="242">
        <v>34.090909090909086</v>
      </c>
      <c r="C45" s="242">
        <v>61.111111111111114</v>
      </c>
      <c r="D45" s="242">
        <v>54.697463511407115</v>
      </c>
      <c r="E45" s="242">
        <v>127.41589119541877</v>
      </c>
      <c r="F45" s="242">
        <v>0.93041178147532699</v>
      </c>
      <c r="G45" s="242">
        <v>0.90365801476455399</v>
      </c>
    </row>
    <row r="46" spans="1:7" x14ac:dyDescent="0.2">
      <c r="A46" s="190" t="s">
        <v>430</v>
      </c>
      <c r="B46" s="242">
        <v>25.504484304932735</v>
      </c>
      <c r="C46" s="242">
        <v>41.818692113387598</v>
      </c>
      <c r="D46" s="242">
        <v>81.818181818181813</v>
      </c>
      <c r="E46" s="242">
        <v>155.2090715804394</v>
      </c>
      <c r="F46" s="242">
        <v>0.88963706304745616</v>
      </c>
      <c r="G46" s="242">
        <v>1.2614610918369846</v>
      </c>
    </row>
    <row r="47" spans="1:7" x14ac:dyDescent="0.2">
      <c r="A47" s="190" t="s">
        <v>431</v>
      </c>
      <c r="B47" s="242">
        <v>21.695460024106065</v>
      </c>
      <c r="C47" s="242">
        <v>54.435483870967744</v>
      </c>
      <c r="D47" s="242">
        <v>58.285509325681495</v>
      </c>
      <c r="E47" s="242">
        <v>116.42714207749681</v>
      </c>
      <c r="F47" s="242">
        <v>1.0118772187240777</v>
      </c>
      <c r="G47" s="242">
        <v>1.3403892306607101</v>
      </c>
    </row>
    <row r="48" spans="1:7" x14ac:dyDescent="0.2">
      <c r="A48" s="134" t="s">
        <v>370</v>
      </c>
      <c r="B48" s="261">
        <v>26.28086010087603</v>
      </c>
      <c r="C48" s="261">
        <v>48.665202050462682</v>
      </c>
      <c r="D48" s="261">
        <v>57.956721007135812</v>
      </c>
      <c r="E48" s="261">
        <v>123.16543383820596</v>
      </c>
      <c r="F48" s="261">
        <v>0.95148810938452955</v>
      </c>
      <c r="G48" s="261">
        <v>1.1655182910175688</v>
      </c>
    </row>
    <row r="49" spans="1:7" x14ac:dyDescent="0.2">
      <c r="A49" s="187"/>
      <c r="B49" s="355"/>
      <c r="C49" s="355"/>
      <c r="D49" s="355"/>
      <c r="E49" s="355"/>
      <c r="F49" s="355"/>
      <c r="G49" s="355"/>
    </row>
    <row r="50" spans="1:7" ht="38.25" x14ac:dyDescent="0.2">
      <c r="A50" s="145"/>
      <c r="B50" s="90" t="s">
        <v>420</v>
      </c>
      <c r="C50" s="90" t="s">
        <v>421</v>
      </c>
      <c r="D50" s="90" t="s">
        <v>422</v>
      </c>
      <c r="E50" s="90" t="s">
        <v>423</v>
      </c>
      <c r="F50" s="90" t="s">
        <v>424</v>
      </c>
      <c r="G50" s="90" t="s">
        <v>425</v>
      </c>
    </row>
    <row r="51" spans="1:7" ht="25.5" x14ac:dyDescent="0.2">
      <c r="A51" s="145"/>
      <c r="B51" s="90" t="s">
        <v>426</v>
      </c>
      <c r="C51" s="90" t="s">
        <v>426</v>
      </c>
      <c r="D51" s="90" t="s">
        <v>426</v>
      </c>
      <c r="E51" s="90" t="s">
        <v>426</v>
      </c>
      <c r="F51" s="90" t="s">
        <v>427</v>
      </c>
      <c r="G51" s="90" t="s">
        <v>427</v>
      </c>
    </row>
    <row r="52" spans="1:7" x14ac:dyDescent="0.2">
      <c r="A52" s="145"/>
      <c r="B52" s="144" t="s">
        <v>268</v>
      </c>
      <c r="C52" s="144" t="s">
        <v>268</v>
      </c>
      <c r="D52" s="144" t="s">
        <v>268</v>
      </c>
      <c r="E52" s="144" t="s">
        <v>268</v>
      </c>
      <c r="F52" s="144" t="s">
        <v>268</v>
      </c>
      <c r="G52" s="144" t="s">
        <v>268</v>
      </c>
    </row>
    <row r="53" spans="1:7" x14ac:dyDescent="0.2">
      <c r="A53" s="190" t="s">
        <v>429</v>
      </c>
      <c r="B53" s="242">
        <v>31.062781854149993</v>
      </c>
      <c r="C53" s="242">
        <v>57.15754348538141</v>
      </c>
      <c r="D53" s="242">
        <v>57.231008915386035</v>
      </c>
      <c r="E53" s="242">
        <v>121.64537972335202</v>
      </c>
      <c r="F53" s="242">
        <v>0.92282602363792121</v>
      </c>
      <c r="G53" s="242">
        <v>0.8957623374043735</v>
      </c>
    </row>
    <row r="54" spans="1:7" x14ac:dyDescent="0.2">
      <c r="A54" s="190" t="s">
        <v>430</v>
      </c>
      <c r="B54" s="242">
        <v>22.621237379211291</v>
      </c>
      <c r="C54" s="242">
        <v>37.923483652049363</v>
      </c>
      <c r="D54" s="242">
        <v>67.954194107785568</v>
      </c>
      <c r="E54" s="242">
        <v>131.91869175994222</v>
      </c>
      <c r="F54" s="242">
        <v>0.87548613234260064</v>
      </c>
      <c r="G54" s="242">
        <v>1.2197415350496745</v>
      </c>
    </row>
    <row r="55" spans="1:7" x14ac:dyDescent="0.2">
      <c r="A55" s="190" t="s">
        <v>431</v>
      </c>
      <c r="B55" s="242">
        <v>21.778524899643443</v>
      </c>
      <c r="C55" s="242">
        <v>51.341463040709613</v>
      </c>
      <c r="D55" s="242">
        <v>66.378878236238265</v>
      </c>
      <c r="E55" s="242">
        <v>121.90828768174809</v>
      </c>
      <c r="F55" s="242">
        <v>1.1060247037292603</v>
      </c>
      <c r="G55" s="242">
        <v>1.184100614702376</v>
      </c>
    </row>
    <row r="56" spans="1:7" x14ac:dyDescent="0.2">
      <c r="A56" s="134" t="s">
        <v>370</v>
      </c>
      <c r="B56" s="261">
        <v>25.229769758813042</v>
      </c>
      <c r="C56" s="261">
        <v>47.310556037023112</v>
      </c>
      <c r="D56" s="261">
        <v>57.884667194081231</v>
      </c>
      <c r="E56" s="261">
        <v>118.51160738433052</v>
      </c>
      <c r="F56" s="261">
        <v>0.95903463398991595</v>
      </c>
      <c r="G56" s="261">
        <v>1.0928939026418594</v>
      </c>
    </row>
    <row r="57" spans="1:7" ht="38.25" x14ac:dyDescent="0.2">
      <c r="A57" s="145"/>
      <c r="B57" s="90" t="s">
        <v>420</v>
      </c>
      <c r="C57" s="90" t="s">
        <v>421</v>
      </c>
      <c r="D57" s="90" t="s">
        <v>422</v>
      </c>
      <c r="E57" s="90" t="s">
        <v>423</v>
      </c>
      <c r="F57" s="90" t="s">
        <v>424</v>
      </c>
      <c r="G57" s="90" t="s">
        <v>425</v>
      </c>
    </row>
    <row r="58" spans="1:7" ht="25.5" x14ac:dyDescent="0.2">
      <c r="A58" s="145"/>
      <c r="B58" s="90" t="s">
        <v>426</v>
      </c>
      <c r="C58" s="90" t="s">
        <v>426</v>
      </c>
      <c r="D58" s="90" t="s">
        <v>426</v>
      </c>
      <c r="E58" s="90" t="s">
        <v>426</v>
      </c>
      <c r="F58" s="90" t="s">
        <v>427</v>
      </c>
      <c r="G58" s="90" t="s">
        <v>427</v>
      </c>
    </row>
    <row r="59" spans="1:7" x14ac:dyDescent="0.2">
      <c r="A59" s="145"/>
      <c r="B59" s="144" t="s">
        <v>428</v>
      </c>
      <c r="C59" s="144" t="s">
        <v>428</v>
      </c>
      <c r="D59" s="144" t="s">
        <v>428</v>
      </c>
      <c r="E59" s="144" t="s">
        <v>428</v>
      </c>
      <c r="F59" s="144" t="s">
        <v>428</v>
      </c>
      <c r="G59" s="144" t="s">
        <v>428</v>
      </c>
    </row>
    <row r="60" spans="1:7" x14ac:dyDescent="0.2">
      <c r="A60" s="190" t="s">
        <v>429</v>
      </c>
      <c r="B60" s="242">
        <v>24.546852204351715</v>
      </c>
      <c r="C60" s="242">
        <v>51.535537940238484</v>
      </c>
      <c r="D60" s="242">
        <v>52.765953549252551</v>
      </c>
      <c r="E60" s="242">
        <v>115.94046500374134</v>
      </c>
      <c r="F60" s="242">
        <v>0.91678062639601365</v>
      </c>
      <c r="G60" s="242">
        <v>0.85970257826772778</v>
      </c>
    </row>
    <row r="61" spans="1:7" x14ac:dyDescent="0.2">
      <c r="A61" s="190" t="s">
        <v>430</v>
      </c>
      <c r="B61" s="242">
        <v>18.764802132530463</v>
      </c>
      <c r="C61" s="242">
        <v>30.276924761930346</v>
      </c>
      <c r="D61" s="242">
        <v>59.566408682579258</v>
      </c>
      <c r="E61" s="242">
        <v>122.11180750936855</v>
      </c>
      <c r="F61" s="242">
        <v>0.85036228148896142</v>
      </c>
      <c r="G61" s="242">
        <v>1.3953845064131636</v>
      </c>
    </row>
    <row r="62" spans="1:7" x14ac:dyDescent="0.2">
      <c r="A62" s="190" t="s">
        <v>431</v>
      </c>
      <c r="B62" s="242">
        <v>26.056913542119322</v>
      </c>
      <c r="C62" s="242">
        <v>52.963194534999637</v>
      </c>
      <c r="D62" s="242">
        <v>57.620955890832292</v>
      </c>
      <c r="E62" s="242">
        <v>114.67689732306046</v>
      </c>
      <c r="F62" s="242">
        <v>1.1513396526669055</v>
      </c>
      <c r="G62" s="242">
        <v>1.2267778270771259</v>
      </c>
    </row>
    <row r="63" spans="1:7" x14ac:dyDescent="0.2">
      <c r="A63" s="134" t="s">
        <v>370</v>
      </c>
      <c r="B63" s="261">
        <v>22.142691817613624</v>
      </c>
      <c r="C63" s="261">
        <v>43.257071311711876</v>
      </c>
      <c r="D63" s="261">
        <v>52.081436904272287</v>
      </c>
      <c r="E63" s="261">
        <v>111.55967993959939</v>
      </c>
      <c r="F63" s="261">
        <v>0.95792637995744423</v>
      </c>
      <c r="G63" s="261">
        <v>1.123375774614352</v>
      </c>
    </row>
    <row r="65" spans="1:7" ht="38.25" x14ac:dyDescent="0.2">
      <c r="A65" s="145"/>
      <c r="B65" s="90" t="s">
        <v>420</v>
      </c>
      <c r="C65" s="90" t="s">
        <v>421</v>
      </c>
      <c r="D65" s="90" t="s">
        <v>422</v>
      </c>
      <c r="E65" s="90" t="s">
        <v>423</v>
      </c>
      <c r="F65" s="90" t="s">
        <v>424</v>
      </c>
      <c r="G65" s="90" t="s">
        <v>425</v>
      </c>
    </row>
    <row r="66" spans="1:7" ht="25.5" x14ac:dyDescent="0.2">
      <c r="A66" s="145"/>
      <c r="B66" s="90" t="s">
        <v>426</v>
      </c>
      <c r="C66" s="90" t="s">
        <v>426</v>
      </c>
      <c r="D66" s="90" t="s">
        <v>426</v>
      </c>
      <c r="E66" s="90" t="s">
        <v>426</v>
      </c>
      <c r="F66" s="90" t="s">
        <v>427</v>
      </c>
      <c r="G66" s="90" t="s">
        <v>427</v>
      </c>
    </row>
    <row r="67" spans="1:7" x14ac:dyDescent="0.2">
      <c r="A67" s="145"/>
      <c r="B67" s="144" t="s">
        <v>269</v>
      </c>
      <c r="C67" s="144" t="s">
        <v>269</v>
      </c>
      <c r="D67" s="144" t="s">
        <v>269</v>
      </c>
      <c r="E67" s="144" t="s">
        <v>269</v>
      </c>
      <c r="F67" s="144" t="s">
        <v>269</v>
      </c>
      <c r="G67" s="144" t="s">
        <v>269</v>
      </c>
    </row>
    <row r="68" spans="1:7" x14ac:dyDescent="0.2">
      <c r="A68" s="190" t="s">
        <v>429</v>
      </c>
      <c r="B68" s="242">
        <v>32.535633940225431</v>
      </c>
      <c r="C68" s="242">
        <v>59.676193623830045</v>
      </c>
      <c r="D68" s="242">
        <v>50.041609267778732</v>
      </c>
      <c r="E68" s="242">
        <v>119.84807061917805</v>
      </c>
      <c r="F68" s="242">
        <v>0.89150605182323572</v>
      </c>
      <c r="G68" s="242">
        <v>0.89141356460414156</v>
      </c>
    </row>
    <row r="69" spans="1:7" x14ac:dyDescent="0.2">
      <c r="A69" s="190" t="s">
        <v>430</v>
      </c>
      <c r="B69" s="242">
        <v>21.437289531369228</v>
      </c>
      <c r="C69" s="242">
        <v>30.244921399364085</v>
      </c>
      <c r="D69" s="242">
        <v>55.701253806092694</v>
      </c>
      <c r="E69" s="242">
        <v>128.15102031654877</v>
      </c>
      <c r="F69" s="242">
        <v>0.82872924034849416</v>
      </c>
      <c r="G69" s="242">
        <v>1.3983675958623305</v>
      </c>
    </row>
    <row r="70" spans="1:7" x14ac:dyDescent="0.2">
      <c r="A70" s="190" t="s">
        <v>431</v>
      </c>
      <c r="B70" s="242">
        <v>21.890193360229734</v>
      </c>
      <c r="C70" s="242">
        <v>47.728664780674961</v>
      </c>
      <c r="D70" s="242">
        <v>60.436225632265852</v>
      </c>
      <c r="E70" s="242">
        <v>116.13668348465082</v>
      </c>
      <c r="F70" s="242">
        <v>1.1361879066438119</v>
      </c>
      <c r="G70" s="242">
        <v>1.3047810728501241</v>
      </c>
    </row>
    <row r="71" spans="1:7" x14ac:dyDescent="0.2">
      <c r="A71" s="134" t="s">
        <v>370</v>
      </c>
      <c r="B71" s="261">
        <v>25.367872393910023</v>
      </c>
      <c r="C71" s="261">
        <v>45.422729883185127</v>
      </c>
      <c r="D71" s="261">
        <v>51.466174573162725</v>
      </c>
      <c r="E71" s="261">
        <v>115.21682617099732</v>
      </c>
      <c r="F71" s="261">
        <v>0.94710041879447193</v>
      </c>
      <c r="G71" s="261">
        <v>1.2393644595123547</v>
      </c>
    </row>
    <row r="73" spans="1:7" ht="38.25" x14ac:dyDescent="0.2">
      <c r="A73" s="145"/>
      <c r="B73" s="90" t="s">
        <v>420</v>
      </c>
      <c r="C73" s="90" t="s">
        <v>421</v>
      </c>
      <c r="D73" s="90" t="s">
        <v>422</v>
      </c>
      <c r="E73" s="90" t="s">
        <v>423</v>
      </c>
      <c r="F73" s="90" t="s">
        <v>424</v>
      </c>
      <c r="G73" s="90" t="s">
        <v>425</v>
      </c>
    </row>
    <row r="74" spans="1:7" ht="25.5" x14ac:dyDescent="0.2">
      <c r="A74" s="145"/>
      <c r="B74" s="90" t="s">
        <v>426</v>
      </c>
      <c r="C74" s="90" t="s">
        <v>426</v>
      </c>
      <c r="D74" s="90" t="s">
        <v>426</v>
      </c>
      <c r="E74" s="90" t="s">
        <v>426</v>
      </c>
      <c r="F74" s="90" t="s">
        <v>427</v>
      </c>
      <c r="G74" s="90" t="s">
        <v>427</v>
      </c>
    </row>
    <row r="75" spans="1:7" x14ac:dyDescent="0.2">
      <c r="A75" s="145"/>
      <c r="B75" s="144" t="s">
        <v>270</v>
      </c>
      <c r="C75" s="144" t="s">
        <v>270</v>
      </c>
      <c r="D75" s="144" t="s">
        <v>270</v>
      </c>
      <c r="E75" s="144" t="s">
        <v>270</v>
      </c>
      <c r="F75" s="144" t="s">
        <v>270</v>
      </c>
      <c r="G75" s="144" t="s">
        <v>270</v>
      </c>
    </row>
    <row r="76" spans="1:7" x14ac:dyDescent="0.2">
      <c r="A76" s="190" t="s">
        <v>429</v>
      </c>
      <c r="B76" s="242">
        <v>25.939631995172519</v>
      </c>
      <c r="C76" s="242">
        <v>50.774634703829349</v>
      </c>
      <c r="D76" s="242">
        <v>53.843513794578264</v>
      </c>
      <c r="E76" s="242">
        <v>123.99291666683472</v>
      </c>
      <c r="F76" s="242">
        <v>0.92025249942790632</v>
      </c>
      <c r="G76" s="242">
        <v>0.80486246872341416</v>
      </c>
    </row>
    <row r="77" spans="1:7" x14ac:dyDescent="0.2">
      <c r="A77" s="190" t="s">
        <v>430</v>
      </c>
      <c r="B77" s="242">
        <v>24.408327431529635</v>
      </c>
      <c r="C77" s="242">
        <v>35.677799711493741</v>
      </c>
      <c r="D77" s="242">
        <v>57.389485271469361</v>
      </c>
      <c r="E77" s="242">
        <v>128.33170071216452</v>
      </c>
      <c r="F77" s="242">
        <v>0.81716295875865286</v>
      </c>
      <c r="G77" s="242">
        <v>1.258619107306739</v>
      </c>
    </row>
    <row r="78" spans="1:7" x14ac:dyDescent="0.2">
      <c r="A78" s="190" t="s">
        <v>431</v>
      </c>
      <c r="B78" s="242">
        <v>29.604659388341684</v>
      </c>
      <c r="C78" s="242">
        <v>48.817265298767708</v>
      </c>
      <c r="D78" s="242">
        <v>60.29540672421696</v>
      </c>
      <c r="E78" s="242">
        <v>114.9317596760614</v>
      </c>
      <c r="F78" s="242">
        <v>1.0724068125178161</v>
      </c>
      <c r="G78" s="242">
        <v>1.2081166699724493</v>
      </c>
    </row>
    <row r="79" spans="1:7" x14ac:dyDescent="0.2">
      <c r="A79" s="134" t="s">
        <v>370</v>
      </c>
      <c r="B79" s="261">
        <v>23.965216608801068</v>
      </c>
      <c r="C79" s="261">
        <v>42.085527447282004</v>
      </c>
      <c r="D79" s="261">
        <v>52.160752012285116</v>
      </c>
      <c r="E79" s="261">
        <v>115.9804644825283</v>
      </c>
      <c r="F79" s="261">
        <v>0.95391289813243429</v>
      </c>
      <c r="G79" s="261">
        <v>1.1247847566621099</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N50"/>
  <sheetViews>
    <sheetView workbookViewId="0"/>
  </sheetViews>
  <sheetFormatPr defaultColWidth="9.140625" defaultRowHeight="12.75" x14ac:dyDescent="0.2"/>
  <cols>
    <col min="1" max="1" width="31.85546875" style="107" bestFit="1" customWidth="1"/>
    <col min="2" max="2" width="24.85546875" style="107" customWidth="1"/>
    <col min="3" max="3" width="16" style="107" bestFit="1" customWidth="1"/>
    <col min="4" max="4" width="22.7109375" style="107" bestFit="1" customWidth="1"/>
    <col min="5" max="5" width="11.42578125" style="107" bestFit="1" customWidth="1"/>
    <col min="6" max="6" width="12.7109375" style="107" bestFit="1" customWidth="1"/>
    <col min="7" max="16384" width="9.140625" style="107"/>
  </cols>
  <sheetData>
    <row r="1" spans="1:14" x14ac:dyDescent="0.2">
      <c r="A1" s="106" t="s">
        <v>345</v>
      </c>
      <c r="B1" s="647"/>
    </row>
    <row r="2" spans="1:14" x14ac:dyDescent="0.2">
      <c r="A2" s="106"/>
      <c r="B2" s="106"/>
    </row>
    <row r="3" spans="1:14" x14ac:dyDescent="0.2">
      <c r="A3" s="108" t="s">
        <v>436</v>
      </c>
      <c r="B3" s="107" t="s">
        <v>155</v>
      </c>
    </row>
    <row r="4" spans="1:14" x14ac:dyDescent="0.2">
      <c r="A4" s="108"/>
      <c r="B4" s="266" t="s">
        <v>156</v>
      </c>
    </row>
    <row r="5" spans="1:14" x14ac:dyDescent="0.2">
      <c r="A5" s="108"/>
      <c r="B5" s="266" t="s">
        <v>157</v>
      </c>
    </row>
    <row r="6" spans="1:14" x14ac:dyDescent="0.2">
      <c r="A6" s="108"/>
      <c r="B6" s="267" t="s">
        <v>158</v>
      </c>
    </row>
    <row r="7" spans="1:14" x14ac:dyDescent="0.2">
      <c r="A7" s="108" t="s">
        <v>168</v>
      </c>
      <c r="B7" s="175">
        <f>VLOOKUP(MAX(A18:A50),A18:E50,5,0)</f>
        <v>0.76762943254093685</v>
      </c>
    </row>
    <row r="8" spans="1:14" x14ac:dyDescent="0.2">
      <c r="A8" s="108" t="s">
        <v>169</v>
      </c>
      <c r="B8" s="175">
        <f>VLOOKUP(MAX(A18:A50),A18:E50,2,0)</f>
        <v>0.80566488664761216</v>
      </c>
      <c r="D8" s="127" t="s">
        <v>368</v>
      </c>
    </row>
    <row r="9" spans="1:14" x14ac:dyDescent="0.2">
      <c r="A9" s="108" t="s">
        <v>170</v>
      </c>
      <c r="B9" s="175">
        <f>VLOOKUP(MAX(A18:A50),A18:E50,3,0)</f>
        <v>0.62325592770167182</v>
      </c>
      <c r="D9" s="441"/>
    </row>
    <row r="10" spans="1:14" x14ac:dyDescent="0.2">
      <c r="A10" s="108" t="s">
        <v>171</v>
      </c>
      <c r="B10" s="175">
        <f>VLOOKUP(MAX(A18:A50),A18:E50,4,0)</f>
        <v>0.62771466790542374</v>
      </c>
      <c r="D10" s="441"/>
    </row>
    <row r="11" spans="1:14" x14ac:dyDescent="0.2">
      <c r="A11" s="108" t="s">
        <v>118</v>
      </c>
      <c r="B11" s="128">
        <f>MAX(A18:A50)</f>
        <v>42887</v>
      </c>
      <c r="D11" s="442"/>
    </row>
    <row r="12" spans="1:14" x14ac:dyDescent="0.2">
      <c r="A12" s="108" t="s">
        <v>195</v>
      </c>
      <c r="B12" s="128"/>
      <c r="D12" s="145" t="s">
        <v>368</v>
      </c>
    </row>
    <row r="13" spans="1:14" x14ac:dyDescent="0.2">
      <c r="A13" s="108" t="s">
        <v>438</v>
      </c>
      <c r="B13" s="263" t="s">
        <v>160</v>
      </c>
    </row>
    <row r="14" spans="1:14" ht="15" customHeight="1" x14ac:dyDescent="0.2">
      <c r="A14" s="187" t="s">
        <v>710</v>
      </c>
      <c r="B14" s="107" t="s">
        <v>77</v>
      </c>
      <c r="C14" s="646"/>
      <c r="D14" s="646"/>
      <c r="E14" s="646"/>
      <c r="F14" s="646"/>
      <c r="G14" s="646"/>
      <c r="H14" s="646"/>
      <c r="I14" s="646"/>
      <c r="J14" s="646"/>
      <c r="K14" s="646"/>
      <c r="L14" s="646"/>
      <c r="M14" s="646"/>
      <c r="N14" s="646"/>
    </row>
    <row r="15" spans="1:14" x14ac:dyDescent="0.2">
      <c r="A15" s="187" t="s">
        <v>144</v>
      </c>
      <c r="B15" s="107" t="s">
        <v>77</v>
      </c>
      <c r="C15" s="646"/>
      <c r="D15" s="646"/>
      <c r="E15" s="646"/>
      <c r="F15" s="646"/>
      <c r="G15" s="646"/>
      <c r="H15" s="646"/>
      <c r="I15" s="646"/>
      <c r="J15" s="646"/>
      <c r="K15" s="646"/>
      <c r="L15" s="646"/>
      <c r="M15" s="646"/>
      <c r="N15" s="646"/>
    </row>
    <row r="16" spans="1:14" x14ac:dyDescent="0.2">
      <c r="A16" s="89"/>
      <c r="B16" s="264"/>
    </row>
    <row r="17" spans="1:6" x14ac:dyDescent="0.2">
      <c r="A17" s="144"/>
      <c r="B17" s="242" t="s">
        <v>429</v>
      </c>
      <c r="C17" s="144" t="s">
        <v>430</v>
      </c>
      <c r="D17" s="144" t="s">
        <v>431</v>
      </c>
      <c r="E17" s="144" t="s">
        <v>370</v>
      </c>
      <c r="F17" s="144" t="s">
        <v>369</v>
      </c>
    </row>
    <row r="18" spans="1:6" x14ac:dyDescent="0.2">
      <c r="A18" s="265">
        <v>40603</v>
      </c>
      <c r="B18" s="242">
        <v>0.98482908393218505</v>
      </c>
      <c r="C18" s="242">
        <v>0.93618986005144511</v>
      </c>
      <c r="D18" s="242">
        <v>0.78229418160286102</v>
      </c>
      <c r="E18" s="242">
        <v>0.97438287753172448</v>
      </c>
      <c r="F18" s="242">
        <v>1.07152134120915</v>
      </c>
    </row>
    <row r="19" spans="1:6" x14ac:dyDescent="0.2">
      <c r="A19" s="265">
        <v>40695</v>
      </c>
      <c r="B19" s="242">
        <v>0.91030478201966558</v>
      </c>
      <c r="C19" s="242">
        <v>0.77402290336918711</v>
      </c>
      <c r="D19" s="242">
        <v>0.72141307074322414</v>
      </c>
      <c r="E19" s="242">
        <v>0.89906893392675091</v>
      </c>
      <c r="F19" s="242">
        <v>0.99273288091707157</v>
      </c>
    </row>
    <row r="20" spans="1:6" x14ac:dyDescent="0.2">
      <c r="A20" s="265">
        <v>40787</v>
      </c>
      <c r="B20" s="242">
        <v>0.83425550873101495</v>
      </c>
      <c r="C20" s="242">
        <v>0.80963118366046094</v>
      </c>
      <c r="D20" s="242">
        <v>0.81877601325281935</v>
      </c>
      <c r="E20" s="242">
        <v>0.92168095804821848</v>
      </c>
      <c r="F20" s="242">
        <v>0.98841228716569596</v>
      </c>
    </row>
    <row r="21" spans="1:6" x14ac:dyDescent="0.2">
      <c r="A21" s="265">
        <v>40878</v>
      </c>
      <c r="B21" s="242">
        <v>0.92754069245688076</v>
      </c>
      <c r="C21" s="242">
        <v>0.88141330014910768</v>
      </c>
      <c r="D21" s="242">
        <v>0.80903814033256716</v>
      </c>
      <c r="E21" s="242">
        <v>0.9560568355847332</v>
      </c>
      <c r="F21" s="242">
        <v>1.0224361035705343</v>
      </c>
    </row>
    <row r="22" spans="1:6" x14ac:dyDescent="0.2">
      <c r="A22" s="265">
        <v>40969</v>
      </c>
      <c r="B22" s="242">
        <v>0.86644843688673889</v>
      </c>
      <c r="C22" s="242">
        <v>0.81774930149961145</v>
      </c>
      <c r="D22" s="242">
        <v>0.83468593668862434</v>
      </c>
      <c r="E22" s="242">
        <v>0.91266573510999793</v>
      </c>
      <c r="F22" s="242">
        <v>1.0003575038214436</v>
      </c>
    </row>
    <row r="23" spans="1:6" x14ac:dyDescent="0.2">
      <c r="A23" s="265">
        <v>41061</v>
      </c>
      <c r="B23" s="242">
        <v>0.85315655127539702</v>
      </c>
      <c r="C23" s="242">
        <v>0.83676355235264255</v>
      </c>
      <c r="D23" s="242">
        <v>0.75710093729503525</v>
      </c>
      <c r="E23" s="242">
        <v>0.88999211829804947</v>
      </c>
      <c r="F23" s="242">
        <v>0.98076582525415645</v>
      </c>
    </row>
    <row r="24" spans="1:6" x14ac:dyDescent="0.2">
      <c r="A24" s="265">
        <v>41153</v>
      </c>
      <c r="B24" s="242">
        <v>0.7718293536801224</v>
      </c>
      <c r="C24" s="242">
        <v>0.89715038872839525</v>
      </c>
      <c r="D24" s="242">
        <v>0.72770516008701724</v>
      </c>
      <c r="E24" s="242">
        <v>0.86235083757103559</v>
      </c>
      <c r="F24" s="242">
        <v>0.95547787154065122</v>
      </c>
    </row>
    <row r="25" spans="1:6" x14ac:dyDescent="0.2">
      <c r="A25" s="265">
        <v>41244</v>
      </c>
      <c r="B25" s="242">
        <v>0.91836148832217901</v>
      </c>
      <c r="C25" s="242">
        <v>0.90915518542008433</v>
      </c>
      <c r="D25" s="242">
        <v>0.75668825785628457</v>
      </c>
      <c r="E25" s="242">
        <v>0.93619328990978334</v>
      </c>
      <c r="F25" s="242">
        <v>1.0530960206972875</v>
      </c>
    </row>
    <row r="26" spans="1:6" x14ac:dyDescent="0.2">
      <c r="A26" s="265">
        <v>41334</v>
      </c>
      <c r="B26" s="242">
        <v>0.87754540602470088</v>
      </c>
      <c r="C26" s="242">
        <v>0.9670000252212142</v>
      </c>
      <c r="D26" s="242">
        <v>0.72179393985098239</v>
      </c>
      <c r="E26" s="242">
        <v>0.91480369018741803</v>
      </c>
      <c r="F26" s="242">
        <v>1.0321406652730423</v>
      </c>
    </row>
    <row r="27" spans="1:6" x14ac:dyDescent="0.2">
      <c r="A27" s="265">
        <v>41426</v>
      </c>
      <c r="B27" s="242">
        <v>0.81725232180095508</v>
      </c>
      <c r="C27" s="242">
        <v>0.83889026932134414</v>
      </c>
      <c r="D27" s="242">
        <v>0.83549171224513596</v>
      </c>
      <c r="E27" s="242">
        <v>0.90138876068506024</v>
      </c>
      <c r="F27" s="242">
        <v>0.96073689304334298</v>
      </c>
    </row>
    <row r="28" spans="1:6" x14ac:dyDescent="0.2">
      <c r="A28" s="265">
        <v>41518</v>
      </c>
      <c r="B28" s="440">
        <v>0.78195564765413361</v>
      </c>
      <c r="C28" s="440">
        <v>0.74923882212977733</v>
      </c>
      <c r="D28" s="440">
        <v>0.77339212377497424</v>
      </c>
      <c r="E28" s="440">
        <v>0.84675791575612847</v>
      </c>
      <c r="F28" s="440">
        <v>0.92618071709421423</v>
      </c>
    </row>
    <row r="29" spans="1:6" x14ac:dyDescent="0.2">
      <c r="A29" s="265">
        <v>41609</v>
      </c>
      <c r="B29" s="440">
        <v>0.8183811307946689</v>
      </c>
      <c r="C29" s="440">
        <v>0.84715015294463913</v>
      </c>
      <c r="D29" s="440">
        <v>0.77548329946777561</v>
      </c>
      <c r="E29" s="440">
        <v>0.88266713377035899</v>
      </c>
      <c r="F29" s="440">
        <v>0.96855573854543908</v>
      </c>
    </row>
    <row r="30" spans="1:6" x14ac:dyDescent="0.2">
      <c r="A30" s="265">
        <v>41699</v>
      </c>
      <c r="B30" s="440">
        <v>0.85068522364723353</v>
      </c>
      <c r="C30" s="440">
        <v>0.83802706238482627</v>
      </c>
      <c r="D30" s="440">
        <v>0.79691552577347891</v>
      </c>
      <c r="E30" s="440">
        <v>0.89400531647255377</v>
      </c>
      <c r="F30" s="440">
        <v>0.95229884471149995</v>
      </c>
    </row>
    <row r="31" spans="1:6" x14ac:dyDescent="0.2">
      <c r="A31" s="265">
        <v>41791</v>
      </c>
      <c r="B31" s="440">
        <v>0.76175294034189789</v>
      </c>
      <c r="C31" s="440">
        <v>0.76691039435489383</v>
      </c>
      <c r="D31" s="440">
        <v>0.67796499187468351</v>
      </c>
      <c r="E31" s="440">
        <v>0.81406627687314537</v>
      </c>
      <c r="F31" s="440">
        <v>0.8976053930207939</v>
      </c>
    </row>
    <row r="32" spans="1:6" x14ac:dyDescent="0.2">
      <c r="A32" s="265">
        <v>41883</v>
      </c>
      <c r="B32" s="440">
        <v>0.84269583882939825</v>
      </c>
      <c r="C32" s="440">
        <v>0.80363971859748673</v>
      </c>
      <c r="D32" s="440">
        <v>0.71586372821731148</v>
      </c>
      <c r="E32" s="440">
        <v>0.84782102877326915</v>
      </c>
      <c r="F32" s="440">
        <v>0.93488437841147298</v>
      </c>
    </row>
    <row r="33" spans="1:6" x14ac:dyDescent="0.2">
      <c r="A33" s="265">
        <v>41974</v>
      </c>
      <c r="B33" s="440">
        <v>0.90443195924710662</v>
      </c>
      <c r="C33" s="440">
        <v>0.8465546621597535</v>
      </c>
      <c r="D33" s="440">
        <v>0.77895843605863579</v>
      </c>
      <c r="E33" s="440">
        <v>0.92016891065541229</v>
      </c>
      <c r="F33" s="440">
        <v>0.98795034448985442</v>
      </c>
    </row>
    <row r="34" spans="1:6" x14ac:dyDescent="0.2">
      <c r="A34" s="265">
        <v>42064</v>
      </c>
      <c r="B34" s="440">
        <v>0.86347756641651197</v>
      </c>
      <c r="C34" s="440">
        <v>0.89509803096576823</v>
      </c>
      <c r="D34" s="440">
        <v>0.81281051263739301</v>
      </c>
      <c r="E34" s="440">
        <v>0.91234863194507121</v>
      </c>
      <c r="F34" s="440">
        <v>1.0078033768729222</v>
      </c>
    </row>
    <row r="35" spans="1:6" x14ac:dyDescent="0.2">
      <c r="A35" s="265">
        <v>42156</v>
      </c>
      <c r="B35" s="440">
        <v>0.81821799424392783</v>
      </c>
      <c r="C35" s="440">
        <v>0.87513391596551771</v>
      </c>
      <c r="D35" s="440">
        <v>0.70113370587134127</v>
      </c>
      <c r="E35" s="440">
        <v>0.8579411531591643</v>
      </c>
      <c r="F35" s="440">
        <v>0.93500625560140727</v>
      </c>
    </row>
    <row r="36" spans="1:6" x14ac:dyDescent="0.2">
      <c r="A36" s="265">
        <v>42248</v>
      </c>
      <c r="B36" s="440">
        <v>0.83621432751434832</v>
      </c>
      <c r="C36" s="440">
        <v>0.79348325374985695</v>
      </c>
      <c r="D36" s="440">
        <v>0.7249740503274883</v>
      </c>
      <c r="E36" s="440">
        <v>0.85636448178516267</v>
      </c>
      <c r="F36" s="440">
        <v>0.89845897305287759</v>
      </c>
    </row>
    <row r="37" spans="1:6" x14ac:dyDescent="0.2">
      <c r="A37" s="265">
        <v>42339</v>
      </c>
      <c r="B37" s="440">
        <v>0.90581551640302482</v>
      </c>
      <c r="C37" s="440">
        <v>0.8624374205691927</v>
      </c>
      <c r="D37" s="440">
        <v>0.74721834357841133</v>
      </c>
      <c r="E37" s="440">
        <v>0.91043964020803225</v>
      </c>
      <c r="F37" s="440">
        <v>0.95080829970050362</v>
      </c>
    </row>
    <row r="38" spans="1:6" x14ac:dyDescent="0.2">
      <c r="A38" s="265">
        <v>42430</v>
      </c>
      <c r="B38" s="440">
        <v>0.89147274052748671</v>
      </c>
      <c r="C38" s="440">
        <v>0.83885732763595799</v>
      </c>
      <c r="D38" s="440">
        <v>0.74636518179799805</v>
      </c>
      <c r="E38" s="440">
        <v>0.90951785445648181</v>
      </c>
      <c r="F38" s="440">
        <v>0.97217780379980911</v>
      </c>
    </row>
    <row r="39" spans="1:6" x14ac:dyDescent="0.2">
      <c r="A39" s="265">
        <v>42522</v>
      </c>
      <c r="B39" s="440">
        <v>0.81421982877224708</v>
      </c>
      <c r="C39" s="440">
        <v>0.71735607584062233</v>
      </c>
      <c r="D39" s="440">
        <v>0.71829395866726842</v>
      </c>
      <c r="E39" s="440">
        <v>0.83861984845673854</v>
      </c>
      <c r="F39" s="440">
        <v>0.86470694319509556</v>
      </c>
    </row>
    <row r="40" spans="1:6" x14ac:dyDescent="0.2">
      <c r="A40" s="265">
        <v>42614</v>
      </c>
      <c r="B40" s="440">
        <v>0.84495572784348705</v>
      </c>
      <c r="C40" s="440">
        <v>0.73992698115625943</v>
      </c>
      <c r="D40" s="440">
        <v>0.74192956160842272</v>
      </c>
      <c r="E40" s="440">
        <v>0.85515967822656547</v>
      </c>
      <c r="F40" s="440">
        <v>0.87627912611387959</v>
      </c>
    </row>
    <row r="41" spans="1:6" x14ac:dyDescent="0.2">
      <c r="A41" s="265">
        <v>42705</v>
      </c>
      <c r="B41" s="242">
        <v>0.81967421393338746</v>
      </c>
      <c r="C41" s="242">
        <v>0.8965406736684266</v>
      </c>
      <c r="D41" s="242">
        <v>0.73198338690939502</v>
      </c>
      <c r="E41" s="242">
        <v>0.87855839480960474</v>
      </c>
      <c r="F41" s="242">
        <v>0.93924449203012461</v>
      </c>
    </row>
    <row r="42" spans="1:6" x14ac:dyDescent="0.2">
      <c r="A42" s="265">
        <v>42795</v>
      </c>
      <c r="B42" s="242">
        <v>0.83786448466398566</v>
      </c>
      <c r="C42" s="242">
        <v>0.83420941371169144</v>
      </c>
      <c r="D42" s="242">
        <v>0.75518301416061784</v>
      </c>
      <c r="E42" s="242">
        <v>0.87057598113266921</v>
      </c>
      <c r="F42" s="242">
        <v>0.93117707181230991</v>
      </c>
    </row>
    <row r="43" spans="1:6" x14ac:dyDescent="0.2">
      <c r="A43" s="265">
        <v>42887</v>
      </c>
      <c r="B43" s="242">
        <v>0.80566488664761216</v>
      </c>
      <c r="C43" s="242">
        <v>0.62325592770167182</v>
      </c>
      <c r="D43" s="242">
        <v>0.62771466790542374</v>
      </c>
      <c r="E43" s="242">
        <v>0.76762943254093685</v>
      </c>
      <c r="F43" s="242">
        <v>0.85725795458452991</v>
      </c>
    </row>
    <row r="44" spans="1:6" x14ac:dyDescent="0.2">
      <c r="A44" s="265"/>
      <c r="B44" s="242"/>
      <c r="C44" s="242"/>
      <c r="D44" s="242"/>
      <c r="E44" s="242"/>
      <c r="F44" s="242"/>
    </row>
    <row r="45" spans="1:6" x14ac:dyDescent="0.2">
      <c r="A45" s="265"/>
      <c r="B45" s="242"/>
      <c r="C45" s="242"/>
      <c r="D45" s="242"/>
      <c r="E45" s="242"/>
      <c r="F45" s="242"/>
    </row>
    <row r="46" spans="1:6" x14ac:dyDescent="0.2">
      <c r="A46" s="265"/>
      <c r="B46" s="242"/>
      <c r="C46" s="242"/>
      <c r="D46" s="242"/>
      <c r="E46" s="242"/>
      <c r="F46" s="242"/>
    </row>
    <row r="47" spans="1:6" x14ac:dyDescent="0.2">
      <c r="A47" s="265"/>
      <c r="B47" s="242"/>
      <c r="C47" s="242"/>
      <c r="D47" s="242"/>
      <c r="E47" s="242"/>
      <c r="F47" s="242"/>
    </row>
    <row r="48" spans="1:6" x14ac:dyDescent="0.2">
      <c r="A48" s="265"/>
      <c r="B48" s="242"/>
      <c r="C48" s="242"/>
      <c r="D48" s="242"/>
      <c r="E48" s="242"/>
      <c r="F48" s="242"/>
    </row>
    <row r="49" spans="1:6" x14ac:dyDescent="0.2">
      <c r="A49" s="265"/>
      <c r="B49" s="242"/>
      <c r="C49" s="242"/>
      <c r="D49" s="242"/>
      <c r="E49" s="242"/>
      <c r="F49" s="242"/>
    </row>
    <row r="50" spans="1:6" x14ac:dyDescent="0.2">
      <c r="A50" s="265"/>
      <c r="B50" s="242"/>
      <c r="C50" s="242"/>
      <c r="D50" s="242"/>
      <c r="E50" s="242"/>
      <c r="F50" s="242"/>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W61"/>
  <sheetViews>
    <sheetView workbookViewId="0">
      <pane xSplit="1" topLeftCell="B1" activePane="topRight" state="frozen"/>
      <selection pane="topRight"/>
    </sheetView>
  </sheetViews>
  <sheetFormatPr defaultColWidth="9.140625" defaultRowHeight="12.75" x14ac:dyDescent="0.2"/>
  <cols>
    <col min="1" max="1" width="35" style="107" customWidth="1"/>
    <col min="2" max="2" width="10" style="107" customWidth="1"/>
    <col min="3" max="13" width="9.140625" style="107" customWidth="1"/>
    <col min="14" max="16384" width="9.140625" style="107"/>
  </cols>
  <sheetData>
    <row r="1" spans="1:49" x14ac:dyDescent="0.2">
      <c r="A1" s="106" t="s">
        <v>345</v>
      </c>
    </row>
    <row r="2" spans="1:49" x14ac:dyDescent="0.2">
      <c r="A2" s="106"/>
    </row>
    <row r="3" spans="1:49" x14ac:dyDescent="0.2">
      <c r="A3" s="108" t="s">
        <v>436</v>
      </c>
      <c r="B3" s="107" t="s">
        <v>54</v>
      </c>
    </row>
    <row r="4" spans="1:49" x14ac:dyDescent="0.2">
      <c r="A4" s="108" t="s">
        <v>151</v>
      </c>
      <c r="B4" s="126">
        <f>HLOOKUP(MAX(B10:AW10),B10:AW26,17,0)</f>
        <v>0.87875910098132315</v>
      </c>
    </row>
    <row r="5" spans="1:49" x14ac:dyDescent="0.2">
      <c r="A5" s="108" t="s">
        <v>152</v>
      </c>
      <c r="B5" s="139">
        <f>HLOOKUP(MAX(B10:AW10),B10:AW19,10,0)</f>
        <v>1502</v>
      </c>
    </row>
    <row r="6" spans="1:49" x14ac:dyDescent="0.2">
      <c r="A6" s="108" t="s">
        <v>118</v>
      </c>
      <c r="B6" s="128">
        <f>MAX(B10:AW10)</f>
        <v>43070</v>
      </c>
    </row>
    <row r="7" spans="1:49" x14ac:dyDescent="0.2">
      <c r="A7" s="108" t="s">
        <v>195</v>
      </c>
      <c r="B7" s="409" t="s">
        <v>175</v>
      </c>
    </row>
    <row r="8" spans="1:49" x14ac:dyDescent="0.2">
      <c r="A8" s="108" t="s">
        <v>438</v>
      </c>
      <c r="B8" s="162" t="s">
        <v>137</v>
      </c>
    </row>
    <row r="9" spans="1:49" x14ac:dyDescent="0.2">
      <c r="A9" s="124"/>
    </row>
    <row r="10" spans="1:49" x14ac:dyDescent="0.2">
      <c r="A10" s="229"/>
      <c r="B10" s="268">
        <v>42095</v>
      </c>
      <c r="C10" s="268">
        <v>42125</v>
      </c>
      <c r="D10" s="268">
        <v>42156</v>
      </c>
      <c r="E10" s="268">
        <v>42186</v>
      </c>
      <c r="F10" s="268">
        <v>42217</v>
      </c>
      <c r="G10" s="268">
        <v>42248</v>
      </c>
      <c r="H10" s="268">
        <v>42278</v>
      </c>
      <c r="I10" s="268">
        <v>42309</v>
      </c>
      <c r="J10" s="157">
        <v>42339</v>
      </c>
      <c r="K10" s="157">
        <v>42370</v>
      </c>
      <c r="L10" s="157">
        <v>42401</v>
      </c>
      <c r="M10" s="157">
        <v>42430</v>
      </c>
      <c r="N10" s="157">
        <v>42461</v>
      </c>
      <c r="O10" s="157">
        <v>42491</v>
      </c>
      <c r="P10" s="157">
        <v>42522</v>
      </c>
      <c r="Q10" s="157">
        <v>42552</v>
      </c>
      <c r="R10" s="157">
        <v>42583</v>
      </c>
      <c r="S10" s="157">
        <v>42614</v>
      </c>
      <c r="T10" s="157">
        <v>42644</v>
      </c>
      <c r="U10" s="157">
        <v>42675</v>
      </c>
      <c r="V10" s="157">
        <v>42705</v>
      </c>
      <c r="W10" s="157">
        <v>42736</v>
      </c>
      <c r="X10" s="157">
        <v>42767</v>
      </c>
      <c r="Y10" s="157">
        <v>42795</v>
      </c>
      <c r="Z10" s="157">
        <v>42826</v>
      </c>
      <c r="AA10" s="157">
        <v>42856</v>
      </c>
      <c r="AB10" s="597">
        <v>42887</v>
      </c>
      <c r="AC10" s="597">
        <v>42917</v>
      </c>
      <c r="AD10" s="597">
        <v>42948</v>
      </c>
      <c r="AE10" s="597">
        <v>42979</v>
      </c>
      <c r="AF10" s="597">
        <v>43009</v>
      </c>
      <c r="AG10" s="597">
        <v>43040</v>
      </c>
      <c r="AH10" s="597">
        <v>43070</v>
      </c>
      <c r="AI10" s="157"/>
      <c r="AJ10" s="157"/>
      <c r="AK10" s="157"/>
      <c r="AL10" s="157"/>
      <c r="AM10" s="157"/>
      <c r="AN10" s="157"/>
      <c r="AO10" s="157"/>
      <c r="AP10" s="157"/>
      <c r="AQ10" s="157"/>
      <c r="AR10" s="157"/>
      <c r="AS10" s="157"/>
      <c r="AT10" s="157"/>
      <c r="AU10" s="157"/>
      <c r="AV10" s="157"/>
      <c r="AW10" s="157"/>
    </row>
    <row r="11" spans="1:49" x14ac:dyDescent="0.2">
      <c r="A11" s="229" t="s">
        <v>393</v>
      </c>
      <c r="B11" s="119">
        <v>137</v>
      </c>
      <c r="C11" s="119">
        <v>123</v>
      </c>
      <c r="D11" s="119">
        <v>92</v>
      </c>
      <c r="E11" s="119">
        <v>104</v>
      </c>
      <c r="F11" s="119">
        <v>133</v>
      </c>
      <c r="G11" s="119">
        <v>143</v>
      </c>
      <c r="H11" s="119">
        <v>116</v>
      </c>
      <c r="I11" s="119">
        <v>76</v>
      </c>
      <c r="J11" s="269">
        <v>33</v>
      </c>
      <c r="K11" s="269">
        <v>23</v>
      </c>
      <c r="L11" s="269">
        <v>37</v>
      </c>
      <c r="M11" s="269">
        <v>59</v>
      </c>
      <c r="N11" s="269">
        <v>122</v>
      </c>
      <c r="O11" s="269">
        <v>136</v>
      </c>
      <c r="P11" s="269">
        <v>182</v>
      </c>
      <c r="Q11" s="269">
        <v>221</v>
      </c>
      <c r="R11" s="269">
        <v>296</v>
      </c>
      <c r="S11" s="269">
        <v>386</v>
      </c>
      <c r="T11" s="269">
        <v>398</v>
      </c>
      <c r="U11" s="269">
        <v>458</v>
      </c>
      <c r="V11" s="269">
        <v>490</v>
      </c>
      <c r="W11" s="269">
        <v>509</v>
      </c>
      <c r="X11" s="269">
        <v>557</v>
      </c>
      <c r="Y11" s="269">
        <v>600</v>
      </c>
      <c r="Z11" s="269">
        <v>574</v>
      </c>
      <c r="AA11" s="119">
        <v>579</v>
      </c>
      <c r="AB11" s="119">
        <v>529</v>
      </c>
      <c r="AC11" s="119">
        <v>463</v>
      </c>
      <c r="AD11" s="119">
        <v>474</v>
      </c>
      <c r="AE11" s="119">
        <v>530</v>
      </c>
      <c r="AF11" s="119">
        <v>550</v>
      </c>
      <c r="AG11" s="119">
        <v>524</v>
      </c>
      <c r="AH11" s="269">
        <v>530</v>
      </c>
      <c r="AI11" s="269"/>
      <c r="AJ11" s="269"/>
      <c r="AK11" s="269"/>
      <c r="AL11" s="269"/>
      <c r="AM11" s="269"/>
      <c r="AN11" s="269"/>
      <c r="AO11" s="269"/>
      <c r="AP11" s="269"/>
      <c r="AQ11" s="269"/>
      <c r="AR11" s="269"/>
      <c r="AS11" s="269"/>
      <c r="AT11" s="269"/>
      <c r="AU11" s="269"/>
      <c r="AV11" s="269"/>
      <c r="AW11" s="269"/>
    </row>
    <row r="12" spans="1:49" x14ac:dyDescent="0.2">
      <c r="A12" s="229" t="s">
        <v>395</v>
      </c>
      <c r="B12" s="119">
        <v>88</v>
      </c>
      <c r="C12" s="119">
        <v>86</v>
      </c>
      <c r="D12" s="119">
        <v>60</v>
      </c>
      <c r="E12" s="119">
        <v>55</v>
      </c>
      <c r="F12" s="119">
        <v>62</v>
      </c>
      <c r="G12" s="119">
        <v>40</v>
      </c>
      <c r="H12" s="119">
        <v>32</v>
      </c>
      <c r="I12" s="119">
        <v>24</v>
      </c>
      <c r="J12" s="269">
        <v>25</v>
      </c>
      <c r="K12" s="269">
        <v>28</v>
      </c>
      <c r="L12" s="269">
        <v>42</v>
      </c>
      <c r="M12" s="269">
        <v>52</v>
      </c>
      <c r="N12" s="269">
        <v>73</v>
      </c>
      <c r="O12" s="269">
        <v>52</v>
      </c>
      <c r="P12" s="269">
        <v>32</v>
      </c>
      <c r="Q12" s="269">
        <v>47</v>
      </c>
      <c r="R12" s="269">
        <v>77</v>
      </c>
      <c r="S12" s="269">
        <v>105</v>
      </c>
      <c r="T12" s="269">
        <v>119</v>
      </c>
      <c r="U12" s="269">
        <v>226</v>
      </c>
      <c r="V12" s="269">
        <v>326</v>
      </c>
      <c r="W12" s="269">
        <v>392</v>
      </c>
      <c r="X12" s="269">
        <v>368</v>
      </c>
      <c r="Y12" s="269">
        <v>271</v>
      </c>
      <c r="Z12" s="269">
        <v>344</v>
      </c>
      <c r="AA12" s="119">
        <v>342</v>
      </c>
      <c r="AB12" s="119">
        <v>310</v>
      </c>
      <c r="AC12" s="119">
        <v>294</v>
      </c>
      <c r="AD12" s="119">
        <v>306</v>
      </c>
      <c r="AE12" s="119">
        <v>326</v>
      </c>
      <c r="AF12" s="119">
        <v>325</v>
      </c>
      <c r="AG12" s="119">
        <v>345</v>
      </c>
      <c r="AH12" s="269">
        <v>509</v>
      </c>
      <c r="AI12" s="269"/>
      <c r="AJ12" s="269"/>
      <c r="AK12" s="269"/>
      <c r="AL12" s="269"/>
      <c r="AM12" s="269"/>
      <c r="AN12" s="269"/>
      <c r="AO12" s="269"/>
      <c r="AP12" s="269"/>
      <c r="AQ12" s="269"/>
      <c r="AR12" s="269"/>
      <c r="AS12" s="269"/>
      <c r="AT12" s="269"/>
      <c r="AU12" s="269"/>
      <c r="AV12" s="269"/>
      <c r="AW12" s="269"/>
    </row>
    <row r="13" spans="1:49" x14ac:dyDescent="0.2">
      <c r="A13" s="270" t="s">
        <v>394</v>
      </c>
      <c r="B13" s="119">
        <v>48</v>
      </c>
      <c r="C13" s="119">
        <v>39</v>
      </c>
      <c r="D13" s="119">
        <v>18</v>
      </c>
      <c r="E13" s="119">
        <v>29</v>
      </c>
      <c r="F13" s="119">
        <v>21</v>
      </c>
      <c r="G13" s="119">
        <v>15</v>
      </c>
      <c r="H13" s="119">
        <v>18</v>
      </c>
      <c r="I13" s="119">
        <v>9</v>
      </c>
      <c r="J13" s="269">
        <v>12</v>
      </c>
      <c r="K13" s="269">
        <v>25</v>
      </c>
      <c r="L13" s="269">
        <v>30</v>
      </c>
      <c r="M13" s="269">
        <v>51</v>
      </c>
      <c r="N13" s="269">
        <v>51</v>
      </c>
      <c r="O13" s="269">
        <v>71</v>
      </c>
      <c r="P13" s="269">
        <v>59</v>
      </c>
      <c r="Q13" s="269">
        <v>67</v>
      </c>
      <c r="R13" s="269">
        <v>45</v>
      </c>
      <c r="S13" s="269">
        <v>117</v>
      </c>
      <c r="T13" s="269">
        <v>155</v>
      </c>
      <c r="U13" s="269">
        <v>128</v>
      </c>
      <c r="V13" s="269">
        <v>134</v>
      </c>
      <c r="W13" s="269">
        <v>132</v>
      </c>
      <c r="X13" s="269">
        <v>149</v>
      </c>
      <c r="Y13" s="269">
        <v>111</v>
      </c>
      <c r="Z13" s="269">
        <v>151</v>
      </c>
      <c r="AA13" s="119">
        <v>104</v>
      </c>
      <c r="AB13" s="119">
        <v>106</v>
      </c>
      <c r="AC13" s="119">
        <v>110</v>
      </c>
      <c r="AD13" s="119">
        <v>70</v>
      </c>
      <c r="AE13" s="119">
        <v>65</v>
      </c>
      <c r="AF13" s="119">
        <v>60</v>
      </c>
      <c r="AG13" s="119">
        <v>104</v>
      </c>
      <c r="AH13" s="269">
        <v>143</v>
      </c>
      <c r="AI13" s="269"/>
      <c r="AJ13" s="269"/>
      <c r="AK13" s="269"/>
      <c r="AL13" s="269"/>
      <c r="AM13" s="269"/>
      <c r="AN13" s="269"/>
      <c r="AO13" s="269"/>
      <c r="AP13" s="269"/>
      <c r="AQ13" s="269"/>
      <c r="AR13" s="269"/>
      <c r="AS13" s="269"/>
      <c r="AT13" s="269"/>
      <c r="AU13" s="269"/>
      <c r="AV13" s="269"/>
      <c r="AW13" s="269"/>
    </row>
    <row r="14" spans="1:49" x14ac:dyDescent="0.2">
      <c r="A14" s="229" t="s">
        <v>165</v>
      </c>
      <c r="B14" s="119">
        <v>1</v>
      </c>
      <c r="C14" s="119">
        <v>4</v>
      </c>
      <c r="D14" s="119">
        <v>1</v>
      </c>
      <c r="E14" s="119">
        <v>1</v>
      </c>
      <c r="F14" s="119">
        <v>1</v>
      </c>
      <c r="G14" s="119">
        <v>1</v>
      </c>
      <c r="H14" s="119">
        <v>0</v>
      </c>
      <c r="I14" s="119">
        <v>0</v>
      </c>
      <c r="J14" s="269">
        <v>0</v>
      </c>
      <c r="K14" s="269">
        <v>2</v>
      </c>
      <c r="L14" s="269">
        <v>5</v>
      </c>
      <c r="M14" s="269">
        <v>2</v>
      </c>
      <c r="N14" s="269">
        <v>1</v>
      </c>
      <c r="O14" s="269">
        <v>1</v>
      </c>
      <c r="P14" s="269">
        <v>3</v>
      </c>
      <c r="Q14" s="269">
        <v>4</v>
      </c>
      <c r="R14" s="269">
        <v>2</v>
      </c>
      <c r="S14" s="269">
        <v>2</v>
      </c>
      <c r="T14" s="269">
        <v>3</v>
      </c>
      <c r="U14" s="269">
        <v>11</v>
      </c>
      <c r="V14" s="269">
        <v>15</v>
      </c>
      <c r="W14" s="269">
        <v>39</v>
      </c>
      <c r="X14" s="269">
        <v>39</v>
      </c>
      <c r="Y14" s="269">
        <v>26</v>
      </c>
      <c r="Z14" s="269">
        <v>46</v>
      </c>
      <c r="AA14" s="119">
        <v>60</v>
      </c>
      <c r="AB14" s="119">
        <v>59</v>
      </c>
      <c r="AC14" s="119">
        <v>60</v>
      </c>
      <c r="AD14" s="119">
        <v>59</v>
      </c>
      <c r="AE14" s="119">
        <v>80</v>
      </c>
      <c r="AF14" s="119">
        <v>91</v>
      </c>
      <c r="AG14" s="119">
        <v>93</v>
      </c>
      <c r="AH14" s="269">
        <v>115</v>
      </c>
      <c r="AI14" s="269"/>
      <c r="AJ14" s="269"/>
      <c r="AK14" s="269"/>
      <c r="AL14" s="269"/>
      <c r="AM14" s="269"/>
      <c r="AN14" s="269"/>
      <c r="AO14" s="269"/>
      <c r="AP14" s="269"/>
      <c r="AQ14" s="269"/>
      <c r="AR14" s="269"/>
      <c r="AS14" s="269"/>
      <c r="AT14" s="269"/>
      <c r="AU14" s="269"/>
      <c r="AV14" s="269"/>
      <c r="AW14" s="269"/>
    </row>
    <row r="15" spans="1:49" x14ac:dyDescent="0.2">
      <c r="A15" s="229" t="s">
        <v>731</v>
      </c>
      <c r="B15" s="119">
        <v>6</v>
      </c>
      <c r="C15" s="119">
        <v>12</v>
      </c>
      <c r="D15" s="119">
        <v>14</v>
      </c>
      <c r="E15" s="119">
        <v>8</v>
      </c>
      <c r="F15" s="119">
        <v>6</v>
      </c>
      <c r="G15" s="119">
        <v>5</v>
      </c>
      <c r="H15" s="119">
        <v>0</v>
      </c>
      <c r="I15" s="119">
        <v>6</v>
      </c>
      <c r="J15" s="269">
        <v>14</v>
      </c>
      <c r="K15" s="269">
        <v>24</v>
      </c>
      <c r="L15" s="269">
        <v>39</v>
      </c>
      <c r="M15" s="269">
        <v>35</v>
      </c>
      <c r="N15" s="269">
        <v>45</v>
      </c>
      <c r="O15" s="269">
        <v>53</v>
      </c>
      <c r="P15" s="269">
        <v>54</v>
      </c>
      <c r="Q15" s="269">
        <v>46</v>
      </c>
      <c r="R15" s="269">
        <v>42</v>
      </c>
      <c r="S15" s="269">
        <v>43</v>
      </c>
      <c r="T15" s="269">
        <v>35</v>
      </c>
      <c r="U15" s="269">
        <v>36</v>
      </c>
      <c r="V15" s="269">
        <v>29</v>
      </c>
      <c r="W15" s="269">
        <v>42</v>
      </c>
      <c r="X15" s="269">
        <v>46</v>
      </c>
      <c r="Y15" s="269">
        <v>34</v>
      </c>
      <c r="Z15" s="269">
        <v>35</v>
      </c>
      <c r="AA15" s="119">
        <v>30</v>
      </c>
      <c r="AB15" s="119">
        <v>32</v>
      </c>
      <c r="AC15" s="119">
        <v>22</v>
      </c>
      <c r="AD15" s="119">
        <v>24</v>
      </c>
      <c r="AE15" s="119">
        <v>31</v>
      </c>
      <c r="AF15" s="119">
        <v>30</v>
      </c>
      <c r="AG15" s="119">
        <v>40</v>
      </c>
      <c r="AH15" s="269">
        <v>58</v>
      </c>
      <c r="AI15" s="269"/>
      <c r="AJ15" s="269"/>
      <c r="AK15" s="269"/>
      <c r="AL15" s="269"/>
      <c r="AM15" s="269"/>
      <c r="AN15" s="269"/>
      <c r="AO15" s="269"/>
      <c r="AP15" s="269"/>
      <c r="AQ15" s="269"/>
      <c r="AR15" s="269"/>
      <c r="AS15" s="269"/>
      <c r="AT15" s="269"/>
      <c r="AU15" s="269"/>
      <c r="AV15" s="269"/>
      <c r="AW15" s="269"/>
    </row>
    <row r="16" spans="1:49" x14ac:dyDescent="0.2">
      <c r="A16" s="229" t="s">
        <v>761</v>
      </c>
      <c r="B16" s="119">
        <v>1</v>
      </c>
      <c r="C16" s="119">
        <v>0</v>
      </c>
      <c r="D16" s="119">
        <v>1</v>
      </c>
      <c r="E16" s="119">
        <v>2</v>
      </c>
      <c r="F16" s="119">
        <v>1</v>
      </c>
      <c r="G16" s="119">
        <v>0</v>
      </c>
      <c r="H16" s="119">
        <v>1</v>
      </c>
      <c r="I16" s="119">
        <v>2</v>
      </c>
      <c r="J16" s="269">
        <v>1</v>
      </c>
      <c r="K16" s="269">
        <v>13</v>
      </c>
      <c r="L16" s="269">
        <v>16</v>
      </c>
      <c r="M16" s="269">
        <v>21</v>
      </c>
      <c r="N16" s="269">
        <v>18</v>
      </c>
      <c r="O16" s="269">
        <v>5</v>
      </c>
      <c r="P16" s="269">
        <v>3</v>
      </c>
      <c r="Q16" s="269">
        <v>4</v>
      </c>
      <c r="R16" s="269">
        <v>14</v>
      </c>
      <c r="S16" s="269">
        <v>10</v>
      </c>
      <c r="T16" s="269">
        <v>38</v>
      </c>
      <c r="U16" s="269">
        <v>87</v>
      </c>
      <c r="V16" s="269">
        <v>138</v>
      </c>
      <c r="W16" s="269">
        <v>138</v>
      </c>
      <c r="X16" s="269">
        <v>128</v>
      </c>
      <c r="Y16" s="269">
        <v>124</v>
      </c>
      <c r="Z16" s="269">
        <v>117</v>
      </c>
      <c r="AA16" s="119">
        <v>76</v>
      </c>
      <c r="AB16" s="119">
        <v>46</v>
      </c>
      <c r="AC16" s="119">
        <v>39</v>
      </c>
      <c r="AD16" s="119">
        <v>12</v>
      </c>
      <c r="AE16" s="119">
        <v>9</v>
      </c>
      <c r="AF16" s="119">
        <v>12</v>
      </c>
      <c r="AG16" s="119">
        <v>25</v>
      </c>
      <c r="AH16" s="269">
        <v>38</v>
      </c>
      <c r="AI16" s="269"/>
      <c r="AJ16" s="269"/>
      <c r="AK16" s="269"/>
      <c r="AL16" s="269"/>
      <c r="AM16" s="269"/>
      <c r="AN16" s="269"/>
      <c r="AO16" s="269"/>
      <c r="AP16" s="269"/>
      <c r="AQ16" s="269"/>
      <c r="AR16" s="269"/>
      <c r="AS16" s="269"/>
      <c r="AT16" s="269"/>
      <c r="AU16" s="269"/>
      <c r="AV16" s="269"/>
      <c r="AW16" s="269"/>
    </row>
    <row r="17" spans="1:49" x14ac:dyDescent="0.2">
      <c r="A17" s="229" t="s">
        <v>490</v>
      </c>
      <c r="B17" s="119">
        <v>21</v>
      </c>
      <c r="C17" s="119">
        <v>15</v>
      </c>
      <c r="D17" s="119">
        <v>3</v>
      </c>
      <c r="E17" s="119">
        <v>12</v>
      </c>
      <c r="F17" s="119">
        <v>12</v>
      </c>
      <c r="G17" s="119">
        <v>5</v>
      </c>
      <c r="H17" s="119">
        <v>5</v>
      </c>
      <c r="I17" s="119">
        <v>3</v>
      </c>
      <c r="J17" s="269">
        <v>4</v>
      </c>
      <c r="K17" s="269">
        <v>2</v>
      </c>
      <c r="L17" s="269">
        <v>3</v>
      </c>
      <c r="M17" s="269">
        <v>7</v>
      </c>
      <c r="N17" s="269">
        <v>4</v>
      </c>
      <c r="O17" s="269">
        <v>8</v>
      </c>
      <c r="P17" s="269">
        <v>9</v>
      </c>
      <c r="Q17" s="269">
        <v>20</v>
      </c>
      <c r="R17" s="269">
        <v>23</v>
      </c>
      <c r="S17" s="269">
        <v>23</v>
      </c>
      <c r="T17" s="269">
        <v>19</v>
      </c>
      <c r="U17" s="269">
        <v>22</v>
      </c>
      <c r="V17" s="269">
        <v>23</v>
      </c>
      <c r="W17" s="269">
        <v>22</v>
      </c>
      <c r="X17" s="269">
        <v>32</v>
      </c>
      <c r="Y17" s="269">
        <v>45</v>
      </c>
      <c r="Z17" s="269">
        <v>42</v>
      </c>
      <c r="AA17" s="119">
        <v>40</v>
      </c>
      <c r="AB17" s="119">
        <v>41</v>
      </c>
      <c r="AC17" s="119">
        <v>55</v>
      </c>
      <c r="AD17" s="119">
        <v>51</v>
      </c>
      <c r="AE17" s="119">
        <v>36</v>
      </c>
      <c r="AF17" s="119">
        <v>28</v>
      </c>
      <c r="AG17" s="119">
        <v>17</v>
      </c>
      <c r="AH17" s="269">
        <v>25</v>
      </c>
      <c r="AI17" s="269"/>
      <c r="AJ17" s="269"/>
      <c r="AK17" s="269"/>
      <c r="AL17" s="269"/>
      <c r="AM17" s="269"/>
      <c r="AN17" s="269"/>
      <c r="AO17" s="269"/>
      <c r="AP17" s="269"/>
      <c r="AQ17" s="269"/>
      <c r="AR17" s="269"/>
      <c r="AS17" s="269"/>
      <c r="AT17" s="269"/>
      <c r="AU17" s="269"/>
      <c r="AV17" s="269"/>
      <c r="AW17" s="269"/>
    </row>
    <row r="18" spans="1:49" x14ac:dyDescent="0.2">
      <c r="A18" s="229" t="s">
        <v>396</v>
      </c>
      <c r="B18" s="119">
        <v>198</v>
      </c>
      <c r="C18" s="119">
        <v>197</v>
      </c>
      <c r="D18" s="119">
        <v>160</v>
      </c>
      <c r="E18" s="119">
        <v>136</v>
      </c>
      <c r="F18" s="119">
        <v>162</v>
      </c>
      <c r="G18" s="119">
        <v>136</v>
      </c>
      <c r="H18" s="119">
        <v>105</v>
      </c>
      <c r="I18" s="119">
        <v>73</v>
      </c>
      <c r="J18" s="269">
        <v>38</v>
      </c>
      <c r="K18" s="269">
        <v>44</v>
      </c>
      <c r="L18" s="269">
        <v>49</v>
      </c>
      <c r="M18" s="269">
        <v>62</v>
      </c>
      <c r="N18" s="269">
        <v>90</v>
      </c>
      <c r="O18" s="269">
        <v>90</v>
      </c>
      <c r="P18" s="269">
        <v>57</v>
      </c>
      <c r="Q18" s="269">
        <v>54</v>
      </c>
      <c r="R18" s="269">
        <v>84</v>
      </c>
      <c r="S18" s="269">
        <v>105</v>
      </c>
      <c r="T18" s="269">
        <v>143</v>
      </c>
      <c r="U18" s="269">
        <v>146</v>
      </c>
      <c r="V18" s="269">
        <v>163</v>
      </c>
      <c r="W18" s="269">
        <v>160</v>
      </c>
      <c r="X18" s="269">
        <v>178</v>
      </c>
      <c r="Y18" s="269">
        <v>151</v>
      </c>
      <c r="Z18" s="269">
        <v>191</v>
      </c>
      <c r="AA18" s="119">
        <v>216</v>
      </c>
      <c r="AB18" s="119">
        <v>238</v>
      </c>
      <c r="AC18" s="119">
        <v>237</v>
      </c>
      <c r="AD18" s="119">
        <v>202</v>
      </c>
      <c r="AE18" s="119">
        <v>197</v>
      </c>
      <c r="AF18" s="119">
        <v>165</v>
      </c>
      <c r="AG18" s="119">
        <v>103</v>
      </c>
      <c r="AH18" s="269">
        <v>84</v>
      </c>
      <c r="AI18" s="269"/>
      <c r="AJ18" s="269"/>
      <c r="AK18" s="269"/>
      <c r="AL18" s="269"/>
      <c r="AM18" s="269"/>
      <c r="AN18" s="269"/>
      <c r="AO18" s="269"/>
      <c r="AP18" s="269"/>
      <c r="AQ18" s="269"/>
      <c r="AR18" s="269"/>
      <c r="AS18" s="269"/>
      <c r="AT18" s="269"/>
      <c r="AU18" s="269"/>
      <c r="AV18" s="269"/>
      <c r="AW18" s="269"/>
    </row>
    <row r="19" spans="1:49" x14ac:dyDescent="0.2">
      <c r="A19" s="271" t="s">
        <v>581</v>
      </c>
      <c r="B19" s="94">
        <v>500</v>
      </c>
      <c r="C19" s="94">
        <v>476</v>
      </c>
      <c r="D19" s="94">
        <v>349</v>
      </c>
      <c r="E19" s="94">
        <v>347</v>
      </c>
      <c r="F19" s="94">
        <v>398</v>
      </c>
      <c r="G19" s="94">
        <v>345</v>
      </c>
      <c r="H19" s="94">
        <v>277</v>
      </c>
      <c r="I19" s="94">
        <v>193</v>
      </c>
      <c r="J19" s="272">
        <v>127</v>
      </c>
      <c r="K19" s="272">
        <v>161</v>
      </c>
      <c r="L19" s="272">
        <v>221</v>
      </c>
      <c r="M19" s="272">
        <v>289</v>
      </c>
      <c r="N19" s="272">
        <v>404</v>
      </c>
      <c r="O19" s="272">
        <v>416</v>
      </c>
      <c r="P19" s="272">
        <v>399</v>
      </c>
      <c r="Q19" s="272">
        <v>463</v>
      </c>
      <c r="R19" s="272">
        <v>583</v>
      </c>
      <c r="S19" s="272">
        <v>791</v>
      </c>
      <c r="T19" s="272">
        <v>910</v>
      </c>
      <c r="U19" s="272">
        <v>1114</v>
      </c>
      <c r="V19" s="272">
        <v>1318</v>
      </c>
      <c r="W19" s="272">
        <v>1434</v>
      </c>
      <c r="X19" s="272">
        <v>1497</v>
      </c>
      <c r="Y19" s="272">
        <v>1362</v>
      </c>
      <c r="Z19" s="272">
        <v>1500</v>
      </c>
      <c r="AA19" s="94">
        <v>1447</v>
      </c>
      <c r="AB19" s="94">
        <v>1361</v>
      </c>
      <c r="AC19" s="94">
        <v>1280</v>
      </c>
      <c r="AD19" s="94">
        <v>1198</v>
      </c>
      <c r="AE19" s="94">
        <v>1274</v>
      </c>
      <c r="AF19" s="94">
        <v>1261</v>
      </c>
      <c r="AG19" s="94">
        <v>1251</v>
      </c>
      <c r="AH19" s="272">
        <v>1502</v>
      </c>
      <c r="AI19" s="272"/>
      <c r="AJ19" s="272"/>
      <c r="AK19" s="272"/>
      <c r="AL19" s="272"/>
      <c r="AM19" s="272"/>
      <c r="AN19" s="272"/>
      <c r="AO19" s="272"/>
      <c r="AP19" s="272"/>
      <c r="AQ19" s="272"/>
      <c r="AR19" s="272"/>
      <c r="AS19" s="272"/>
      <c r="AT19" s="272"/>
      <c r="AU19" s="272"/>
      <c r="AV19" s="272"/>
      <c r="AW19" s="272"/>
    </row>
    <row r="20" spans="1:49" s="422" customFormat="1" x14ac:dyDescent="0.2">
      <c r="A20" s="425" t="s">
        <v>16</v>
      </c>
      <c r="B20" s="426">
        <v>0</v>
      </c>
      <c r="C20" s="426">
        <v>0</v>
      </c>
      <c r="D20" s="426">
        <v>0</v>
      </c>
      <c r="E20" s="426">
        <v>0</v>
      </c>
      <c r="F20" s="426">
        <v>0</v>
      </c>
      <c r="G20" s="426">
        <v>0</v>
      </c>
      <c r="H20" s="426">
        <v>0</v>
      </c>
      <c r="I20" s="426">
        <v>0</v>
      </c>
      <c r="J20" s="426">
        <v>0</v>
      </c>
      <c r="K20" s="426">
        <v>0</v>
      </c>
      <c r="L20" s="426">
        <v>0</v>
      </c>
      <c r="M20" s="426">
        <v>0</v>
      </c>
      <c r="N20" s="426">
        <v>0</v>
      </c>
      <c r="O20" s="426">
        <v>0</v>
      </c>
      <c r="P20" s="426">
        <v>0</v>
      </c>
      <c r="Q20" s="426">
        <v>0</v>
      </c>
      <c r="R20" s="426">
        <v>0</v>
      </c>
      <c r="S20" s="426">
        <v>0</v>
      </c>
      <c r="T20" s="426">
        <v>0</v>
      </c>
      <c r="U20" s="426">
        <v>0</v>
      </c>
      <c r="V20" s="426">
        <v>0</v>
      </c>
      <c r="W20" s="426">
        <v>0</v>
      </c>
      <c r="X20" s="426">
        <v>0</v>
      </c>
      <c r="Y20" s="426">
        <v>0</v>
      </c>
      <c r="Z20" s="426">
        <v>0</v>
      </c>
      <c r="AA20" s="426">
        <v>0</v>
      </c>
      <c r="AB20" s="426">
        <v>0</v>
      </c>
      <c r="AC20" s="426">
        <v>0</v>
      </c>
      <c r="AD20" s="426">
        <v>0</v>
      </c>
      <c r="AE20" s="426">
        <v>0</v>
      </c>
      <c r="AF20" s="426">
        <v>0</v>
      </c>
      <c r="AG20" s="426">
        <v>0</v>
      </c>
      <c r="AH20" s="426">
        <v>0</v>
      </c>
      <c r="AI20" s="426">
        <v>0</v>
      </c>
      <c r="AJ20" s="426">
        <v>0</v>
      </c>
      <c r="AK20" s="426">
        <v>0</v>
      </c>
      <c r="AL20" s="426">
        <v>0</v>
      </c>
      <c r="AM20" s="426">
        <v>0</v>
      </c>
      <c r="AN20" s="426">
        <v>0</v>
      </c>
      <c r="AO20" s="426">
        <v>0</v>
      </c>
      <c r="AP20" s="426">
        <v>0</v>
      </c>
      <c r="AQ20" s="426">
        <v>0</v>
      </c>
      <c r="AR20" s="426">
        <v>0</v>
      </c>
      <c r="AS20" s="426">
        <v>0</v>
      </c>
      <c r="AT20" s="426">
        <v>0</v>
      </c>
      <c r="AU20" s="426">
        <v>0</v>
      </c>
      <c r="AV20" s="426">
        <v>0</v>
      </c>
      <c r="AW20" s="426">
        <v>0</v>
      </c>
    </row>
    <row r="21" spans="1:49" x14ac:dyDescent="0.2">
      <c r="A21" s="89"/>
      <c r="B21" s="103"/>
      <c r="C21" s="103"/>
      <c r="D21" s="103"/>
      <c r="E21" s="105"/>
      <c r="F21" s="103"/>
      <c r="G21" s="103"/>
      <c r="H21" s="103"/>
      <c r="I21" s="103"/>
      <c r="J21" s="103"/>
      <c r="K21" s="103"/>
      <c r="L21" s="103"/>
      <c r="M21" s="103"/>
      <c r="N21" s="103"/>
      <c r="O21" s="103"/>
      <c r="P21" s="103"/>
      <c r="Q21" s="103"/>
      <c r="R21" s="103"/>
      <c r="S21" s="103"/>
      <c r="T21" s="103"/>
      <c r="U21" s="103"/>
      <c r="V21" s="103"/>
      <c r="W21" s="105"/>
      <c r="X21" s="103"/>
      <c r="Y21" s="103"/>
      <c r="Z21" s="103"/>
      <c r="AA21" s="103"/>
      <c r="AB21" s="103"/>
      <c r="AC21" s="105"/>
      <c r="AD21" s="103"/>
      <c r="AE21" s="103"/>
      <c r="AF21" s="103"/>
      <c r="AG21" s="103"/>
      <c r="AH21" s="103"/>
      <c r="AI21" s="103"/>
      <c r="AJ21" s="103"/>
      <c r="AK21" s="103"/>
      <c r="AL21" s="103"/>
      <c r="AM21" s="103"/>
      <c r="AN21" s="103"/>
      <c r="AO21" s="103"/>
      <c r="AP21" s="103"/>
      <c r="AQ21" s="103"/>
      <c r="AR21" s="103"/>
      <c r="AS21" s="103"/>
      <c r="AT21" s="103"/>
      <c r="AU21" s="105"/>
      <c r="AV21" s="103"/>
      <c r="AW21" s="103"/>
    </row>
    <row r="22" spans="1:49" s="145" customFormat="1" x14ac:dyDescent="0.2">
      <c r="A22" s="273"/>
      <c r="B22" s="164">
        <v>42095</v>
      </c>
      <c r="C22" s="164">
        <v>42125</v>
      </c>
      <c r="D22" s="164">
        <v>42156</v>
      </c>
      <c r="E22" s="164">
        <v>42186</v>
      </c>
      <c r="F22" s="164">
        <v>42217</v>
      </c>
      <c r="G22" s="164">
        <v>42248</v>
      </c>
      <c r="H22" s="164">
        <v>42278</v>
      </c>
      <c r="I22" s="164">
        <v>42309</v>
      </c>
      <c r="J22" s="164">
        <v>42339</v>
      </c>
      <c r="K22" s="164">
        <v>42370</v>
      </c>
      <c r="L22" s="164">
        <v>42401</v>
      </c>
      <c r="M22" s="164">
        <v>42430</v>
      </c>
      <c r="N22" s="164">
        <v>42461</v>
      </c>
      <c r="O22" s="164">
        <v>42491</v>
      </c>
      <c r="P22" s="164">
        <v>42522</v>
      </c>
      <c r="Q22" s="164">
        <v>42552</v>
      </c>
      <c r="R22" s="164">
        <v>42583</v>
      </c>
      <c r="S22" s="164">
        <v>42614</v>
      </c>
      <c r="T22" s="164">
        <v>42644</v>
      </c>
      <c r="U22" s="164">
        <v>42675</v>
      </c>
      <c r="V22" s="164">
        <v>42705</v>
      </c>
      <c r="W22" s="157">
        <v>42736</v>
      </c>
      <c r="X22" s="164">
        <v>42767</v>
      </c>
      <c r="Y22" s="157">
        <v>42795</v>
      </c>
      <c r="Z22" s="157">
        <v>42826</v>
      </c>
      <c r="AA22" s="157">
        <v>42856</v>
      </c>
      <c r="AB22" s="597">
        <v>42887</v>
      </c>
      <c r="AC22" s="597">
        <v>42917</v>
      </c>
      <c r="AD22" s="597">
        <v>42948</v>
      </c>
      <c r="AE22" s="597">
        <v>42979</v>
      </c>
      <c r="AF22" s="597">
        <v>43009</v>
      </c>
      <c r="AG22" s="597">
        <v>43040</v>
      </c>
      <c r="AH22" s="597">
        <v>43070</v>
      </c>
      <c r="AI22" s="164"/>
      <c r="AJ22" s="164"/>
      <c r="AK22" s="164"/>
      <c r="AL22" s="164"/>
      <c r="AM22" s="164"/>
      <c r="AN22" s="164"/>
      <c r="AO22" s="164"/>
      <c r="AP22" s="164"/>
      <c r="AQ22" s="164"/>
      <c r="AR22" s="164"/>
      <c r="AS22" s="164"/>
      <c r="AT22" s="164"/>
      <c r="AU22" s="157"/>
      <c r="AV22" s="164"/>
      <c r="AW22" s="157"/>
    </row>
    <row r="23" spans="1:49" s="145" customFormat="1" x14ac:dyDescent="0.2">
      <c r="A23" s="236" t="s">
        <v>32</v>
      </c>
      <c r="B23" s="552">
        <f>B25-B24</f>
        <v>3646</v>
      </c>
      <c r="C23" s="552">
        <f t="shared" ref="C23:Y23" si="0">C25-C24</f>
        <v>3807</v>
      </c>
      <c r="D23" s="552">
        <f t="shared" si="0"/>
        <v>4175</v>
      </c>
      <c r="E23" s="552">
        <f t="shared" si="0"/>
        <v>3760</v>
      </c>
      <c r="F23" s="552">
        <f t="shared" si="0"/>
        <v>3833</v>
      </c>
      <c r="G23" s="552">
        <f t="shared" si="0"/>
        <v>4048</v>
      </c>
      <c r="H23" s="552">
        <f t="shared" si="0"/>
        <v>4110</v>
      </c>
      <c r="I23" s="552">
        <f t="shared" si="0"/>
        <v>4347</v>
      </c>
      <c r="J23" s="552">
        <f t="shared" si="0"/>
        <v>3879</v>
      </c>
      <c r="K23" s="552">
        <f t="shared" si="0"/>
        <v>3838</v>
      </c>
      <c r="L23" s="552">
        <f t="shared" si="0"/>
        <v>4197</v>
      </c>
      <c r="M23" s="552">
        <f t="shared" si="0"/>
        <v>4212</v>
      </c>
      <c r="N23" s="552">
        <f t="shared" si="0"/>
        <v>3845</v>
      </c>
      <c r="O23" s="552">
        <f t="shared" si="0"/>
        <v>3663</v>
      </c>
      <c r="P23" s="552">
        <f t="shared" si="0"/>
        <v>3680</v>
      </c>
      <c r="Q23" s="552">
        <f t="shared" si="0"/>
        <v>3123</v>
      </c>
      <c r="R23" s="552">
        <f t="shared" si="0"/>
        <v>3583</v>
      </c>
      <c r="S23" s="552">
        <f t="shared" si="0"/>
        <v>3228</v>
      </c>
      <c r="T23" s="552">
        <f t="shared" si="0"/>
        <v>3113</v>
      </c>
      <c r="U23" s="552">
        <f t="shared" si="0"/>
        <v>3513</v>
      </c>
      <c r="V23" s="552">
        <f t="shared" si="0"/>
        <v>2930</v>
      </c>
      <c r="W23" s="552">
        <f t="shared" si="0"/>
        <v>2957</v>
      </c>
      <c r="X23" s="552">
        <f t="shared" si="0"/>
        <v>2799</v>
      </c>
      <c r="Y23" s="552">
        <f t="shared" si="0"/>
        <v>3285</v>
      </c>
      <c r="Z23" s="552">
        <f t="shared" ref="Z23:AG23" si="1">Z25-Z24</f>
        <v>2806</v>
      </c>
      <c r="AA23" s="552">
        <f t="shared" si="1"/>
        <v>3328</v>
      </c>
      <c r="AB23" s="552">
        <f t="shared" si="1"/>
        <v>3051</v>
      </c>
      <c r="AC23" s="552">
        <f t="shared" si="1"/>
        <v>2882</v>
      </c>
      <c r="AD23" s="552">
        <f t="shared" si="1"/>
        <v>3408</v>
      </c>
      <c r="AE23" s="552">
        <f t="shared" si="1"/>
        <v>3051</v>
      </c>
      <c r="AF23" s="552">
        <f t="shared" si="1"/>
        <v>3286</v>
      </c>
      <c r="AG23" s="552">
        <f t="shared" si="1"/>
        <v>3476</v>
      </c>
      <c r="AH23" s="552">
        <f>AH25-AH24</f>
        <v>2776</v>
      </c>
      <c r="AI23" s="396"/>
      <c r="AJ23" s="396"/>
      <c r="AK23" s="396"/>
      <c r="AL23" s="396"/>
      <c r="AM23" s="396"/>
      <c r="AN23" s="396"/>
      <c r="AO23" s="396"/>
      <c r="AP23" s="396"/>
      <c r="AQ23" s="396"/>
      <c r="AR23" s="396"/>
      <c r="AS23" s="396"/>
      <c r="AT23" s="396"/>
      <c r="AU23" s="396"/>
      <c r="AV23" s="396"/>
      <c r="AW23" s="396"/>
    </row>
    <row r="24" spans="1:49" s="145" customFormat="1" x14ac:dyDescent="0.2">
      <c r="A24" s="236" t="s">
        <v>31</v>
      </c>
      <c r="B24" s="269">
        <v>476</v>
      </c>
      <c r="C24" s="269">
        <v>463</v>
      </c>
      <c r="D24" s="269">
        <v>389</v>
      </c>
      <c r="E24" s="269">
        <v>314</v>
      </c>
      <c r="F24" s="269">
        <v>314</v>
      </c>
      <c r="G24" s="269">
        <v>368</v>
      </c>
      <c r="H24" s="269">
        <v>293</v>
      </c>
      <c r="I24" s="269">
        <v>276</v>
      </c>
      <c r="J24" s="269">
        <v>207</v>
      </c>
      <c r="K24" s="269">
        <v>163</v>
      </c>
      <c r="L24" s="269">
        <v>219</v>
      </c>
      <c r="M24" s="269">
        <v>297</v>
      </c>
      <c r="N24" s="269">
        <v>297</v>
      </c>
      <c r="O24" s="269">
        <v>404</v>
      </c>
      <c r="P24" s="269">
        <v>398</v>
      </c>
      <c r="Q24" s="269">
        <v>318</v>
      </c>
      <c r="R24" s="287">
        <v>402</v>
      </c>
      <c r="S24" s="269">
        <v>373</v>
      </c>
      <c r="T24" s="269">
        <v>454</v>
      </c>
      <c r="U24" s="269">
        <v>500</v>
      </c>
      <c r="V24" s="269">
        <v>444</v>
      </c>
      <c r="W24" s="269">
        <v>559</v>
      </c>
      <c r="X24" s="269">
        <v>668</v>
      </c>
      <c r="Y24" s="269">
        <v>839</v>
      </c>
      <c r="Z24" s="269">
        <v>543</v>
      </c>
      <c r="AA24" s="269">
        <v>747</v>
      </c>
      <c r="AB24" s="269">
        <v>706</v>
      </c>
      <c r="AC24" s="269">
        <v>560</v>
      </c>
      <c r="AD24" s="269">
        <v>652</v>
      </c>
      <c r="AE24" s="269">
        <v>525</v>
      </c>
      <c r="AF24" s="269">
        <v>523</v>
      </c>
      <c r="AG24" s="269">
        <v>559</v>
      </c>
      <c r="AH24" s="269">
        <v>383</v>
      </c>
      <c r="AI24" s="269"/>
      <c r="AJ24" s="269"/>
      <c r="AK24" s="269"/>
      <c r="AL24" s="269"/>
      <c r="AM24" s="269"/>
      <c r="AN24" s="269"/>
      <c r="AO24" s="269"/>
      <c r="AP24" s="287"/>
      <c r="AQ24" s="269"/>
      <c r="AR24" s="269"/>
      <c r="AS24" s="269"/>
      <c r="AT24" s="269"/>
      <c r="AU24" s="269"/>
      <c r="AV24" s="269"/>
      <c r="AW24" s="269"/>
    </row>
    <row r="25" spans="1:49" s="145" customFormat="1" x14ac:dyDescent="0.2">
      <c r="A25" s="236" t="s">
        <v>442</v>
      </c>
      <c r="B25" s="269">
        <v>4122</v>
      </c>
      <c r="C25" s="269">
        <v>4270</v>
      </c>
      <c r="D25" s="269">
        <v>4564</v>
      </c>
      <c r="E25" s="269">
        <v>4074</v>
      </c>
      <c r="F25" s="269">
        <v>4147</v>
      </c>
      <c r="G25" s="269">
        <v>4416</v>
      </c>
      <c r="H25" s="269">
        <v>4403</v>
      </c>
      <c r="I25" s="269">
        <v>4623</v>
      </c>
      <c r="J25" s="269">
        <v>4086</v>
      </c>
      <c r="K25" s="269">
        <v>4001</v>
      </c>
      <c r="L25" s="269">
        <v>4416</v>
      </c>
      <c r="M25" s="269">
        <v>4509</v>
      </c>
      <c r="N25" s="269">
        <v>4142</v>
      </c>
      <c r="O25" s="269">
        <v>4067</v>
      </c>
      <c r="P25" s="269">
        <v>4078</v>
      </c>
      <c r="Q25" s="269">
        <v>3441</v>
      </c>
      <c r="R25" s="287">
        <v>3985</v>
      </c>
      <c r="S25" s="269">
        <v>3601</v>
      </c>
      <c r="T25" s="269">
        <v>3567</v>
      </c>
      <c r="U25" s="269">
        <v>4013</v>
      </c>
      <c r="V25" s="269">
        <v>3374</v>
      </c>
      <c r="W25" s="269">
        <v>3516</v>
      </c>
      <c r="X25" s="269">
        <v>3467</v>
      </c>
      <c r="Y25" s="269">
        <v>4124</v>
      </c>
      <c r="Z25" s="269">
        <v>3349</v>
      </c>
      <c r="AA25" s="269">
        <v>4075</v>
      </c>
      <c r="AB25" s="396">
        <v>3757</v>
      </c>
      <c r="AC25" s="269">
        <v>3442</v>
      </c>
      <c r="AD25" s="269">
        <v>4060</v>
      </c>
      <c r="AE25" s="269">
        <v>3576</v>
      </c>
      <c r="AF25" s="269">
        <v>3809</v>
      </c>
      <c r="AG25" s="269">
        <v>4035</v>
      </c>
      <c r="AH25" s="269">
        <v>3159</v>
      </c>
      <c r="AI25" s="269"/>
      <c r="AJ25" s="269"/>
      <c r="AK25" s="269"/>
      <c r="AL25" s="269"/>
      <c r="AM25" s="269"/>
      <c r="AN25" s="269"/>
      <c r="AO25" s="269"/>
      <c r="AP25" s="287"/>
      <c r="AQ25" s="269"/>
      <c r="AR25" s="269"/>
      <c r="AS25" s="269"/>
      <c r="AT25" s="269"/>
      <c r="AU25" s="269"/>
      <c r="AV25" s="269"/>
      <c r="AW25" s="269"/>
    </row>
    <row r="26" spans="1:49" s="145" customFormat="1" ht="25.5" x14ac:dyDescent="0.2">
      <c r="A26" s="650" t="s">
        <v>19</v>
      </c>
      <c r="B26" s="437">
        <f>1-B24/B25</f>
        <v>0.8845220766618147</v>
      </c>
      <c r="C26" s="437">
        <f t="shared" ref="C26:Y26" si="2">1-C24/C25</f>
        <v>0.89156908665105383</v>
      </c>
      <c r="D26" s="437">
        <f t="shared" si="2"/>
        <v>0.91476774758983348</v>
      </c>
      <c r="E26" s="437">
        <f t="shared" si="2"/>
        <v>0.92292587137947968</v>
      </c>
      <c r="F26" s="437">
        <f t="shared" si="2"/>
        <v>0.92428261393778632</v>
      </c>
      <c r="G26" s="437">
        <f t="shared" si="2"/>
        <v>0.91666666666666663</v>
      </c>
      <c r="H26" s="437">
        <f t="shared" si="2"/>
        <v>0.93345446286622757</v>
      </c>
      <c r="I26" s="437">
        <f t="shared" si="2"/>
        <v>0.94029850746268662</v>
      </c>
      <c r="J26" s="437">
        <f t="shared" si="2"/>
        <v>0.9493392070484582</v>
      </c>
      <c r="K26" s="437">
        <f t="shared" si="2"/>
        <v>0.95926018495376153</v>
      </c>
      <c r="L26" s="437">
        <f t="shared" si="2"/>
        <v>0.95040760869565222</v>
      </c>
      <c r="M26" s="437">
        <f t="shared" si="2"/>
        <v>0.93413173652694614</v>
      </c>
      <c r="N26" s="437">
        <f t="shared" si="2"/>
        <v>0.92829550941574124</v>
      </c>
      <c r="O26" s="437">
        <f t="shared" si="2"/>
        <v>0.90066388000983522</v>
      </c>
      <c r="P26" s="437">
        <f t="shared" si="2"/>
        <v>0.90240313879352629</v>
      </c>
      <c r="Q26" s="437">
        <f t="shared" si="2"/>
        <v>0.90758500435919787</v>
      </c>
      <c r="R26" s="437">
        <f t="shared" si="2"/>
        <v>0.89912170639899625</v>
      </c>
      <c r="S26" s="437">
        <f t="shared" si="2"/>
        <v>0.8964176617606221</v>
      </c>
      <c r="T26" s="437">
        <f t="shared" si="2"/>
        <v>0.8727221754976171</v>
      </c>
      <c r="U26" s="437">
        <f t="shared" si="2"/>
        <v>0.87540493396461505</v>
      </c>
      <c r="V26" s="437">
        <f t="shared" si="2"/>
        <v>0.86840545346769416</v>
      </c>
      <c r="W26" s="437">
        <f t="shared" si="2"/>
        <v>0.84101251422070533</v>
      </c>
      <c r="X26" s="437">
        <f t="shared" si="2"/>
        <v>0.80732621863282383</v>
      </c>
      <c r="Y26" s="437">
        <f t="shared" si="2"/>
        <v>0.79655674102812801</v>
      </c>
      <c r="Z26" s="437">
        <f t="shared" ref="Z26:AE26" si="3">1-Z24/Z25</f>
        <v>0.83786204837264855</v>
      </c>
      <c r="AA26" s="437">
        <f t="shared" si="3"/>
        <v>0.81668711656441717</v>
      </c>
      <c r="AB26" s="437">
        <f t="shared" si="3"/>
        <v>0.81208410966196432</v>
      </c>
      <c r="AC26" s="437">
        <f t="shared" si="3"/>
        <v>0.83730389308541542</v>
      </c>
      <c r="AD26" s="437">
        <f t="shared" si="3"/>
        <v>0.83940886699507389</v>
      </c>
      <c r="AE26" s="437">
        <f t="shared" si="3"/>
        <v>0.85318791946308725</v>
      </c>
      <c r="AF26" s="437">
        <f>1-AF24/AF25</f>
        <v>0.86269362037280128</v>
      </c>
      <c r="AG26" s="437">
        <f>1-AG24/AG25</f>
        <v>0.86146220570012388</v>
      </c>
      <c r="AH26" s="437">
        <f>1-AH24/AH25</f>
        <v>0.87875910098132315</v>
      </c>
      <c r="AI26" s="397"/>
      <c r="AJ26" s="397"/>
      <c r="AK26" s="397"/>
      <c r="AL26" s="397"/>
      <c r="AM26" s="397"/>
      <c r="AN26" s="397"/>
      <c r="AO26" s="397"/>
      <c r="AP26" s="397"/>
      <c r="AQ26" s="397"/>
      <c r="AR26" s="397"/>
      <c r="AS26" s="397"/>
      <c r="AT26" s="397"/>
      <c r="AU26" s="397"/>
      <c r="AV26" s="397"/>
      <c r="AW26" s="397"/>
    </row>
    <row r="27" spans="1:49" s="422" customFormat="1" x14ac:dyDescent="0.2">
      <c r="A27" s="423" t="s">
        <v>15</v>
      </c>
      <c r="B27" s="424">
        <v>1</v>
      </c>
      <c r="C27" s="424">
        <v>1</v>
      </c>
      <c r="D27" s="424">
        <v>1</v>
      </c>
      <c r="E27" s="424">
        <v>1</v>
      </c>
      <c r="F27" s="424">
        <v>1</v>
      </c>
      <c r="G27" s="424">
        <v>1</v>
      </c>
      <c r="H27" s="424">
        <v>1</v>
      </c>
      <c r="I27" s="424">
        <v>1</v>
      </c>
      <c r="J27" s="424">
        <v>1</v>
      </c>
      <c r="K27" s="424">
        <v>1</v>
      </c>
      <c r="L27" s="424">
        <v>1</v>
      </c>
      <c r="M27" s="424">
        <v>1</v>
      </c>
      <c r="N27" s="424">
        <v>1</v>
      </c>
      <c r="O27" s="424">
        <v>1</v>
      </c>
      <c r="P27" s="424">
        <v>1</v>
      </c>
      <c r="Q27" s="424">
        <v>1</v>
      </c>
      <c r="R27" s="424">
        <v>1</v>
      </c>
      <c r="S27" s="424">
        <v>1</v>
      </c>
      <c r="T27" s="424">
        <v>1</v>
      </c>
      <c r="U27" s="424">
        <v>1</v>
      </c>
      <c r="V27" s="424">
        <v>1</v>
      </c>
      <c r="W27" s="424">
        <v>1</v>
      </c>
      <c r="X27" s="424">
        <v>1</v>
      </c>
      <c r="Y27" s="424">
        <v>1</v>
      </c>
      <c r="Z27" s="424">
        <v>1</v>
      </c>
      <c r="AA27" s="424">
        <v>1</v>
      </c>
      <c r="AB27" s="424">
        <v>1</v>
      </c>
      <c r="AC27" s="424">
        <v>1</v>
      </c>
      <c r="AD27" s="424">
        <v>1</v>
      </c>
      <c r="AE27" s="424">
        <v>1</v>
      </c>
      <c r="AF27" s="424">
        <v>1</v>
      </c>
      <c r="AG27" s="424">
        <v>1</v>
      </c>
      <c r="AH27" s="424">
        <v>1</v>
      </c>
      <c r="AI27" s="424">
        <v>1</v>
      </c>
      <c r="AJ27" s="424">
        <v>1</v>
      </c>
      <c r="AK27" s="424">
        <v>1</v>
      </c>
      <c r="AL27" s="424">
        <v>1</v>
      </c>
      <c r="AM27" s="424">
        <v>1</v>
      </c>
      <c r="AN27" s="424">
        <v>1</v>
      </c>
      <c r="AO27" s="424">
        <v>1</v>
      </c>
      <c r="AP27" s="424">
        <v>1</v>
      </c>
      <c r="AQ27" s="424">
        <v>1</v>
      </c>
      <c r="AR27" s="424">
        <v>1</v>
      </c>
      <c r="AS27" s="424">
        <v>1</v>
      </c>
      <c r="AT27" s="424">
        <v>1</v>
      </c>
      <c r="AU27" s="424">
        <v>1</v>
      </c>
      <c r="AV27" s="424">
        <v>1</v>
      </c>
      <c r="AW27" s="424">
        <v>1</v>
      </c>
    </row>
    <row r="28" spans="1:49" x14ac:dyDescent="0.2">
      <c r="A28" s="274"/>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row>
    <row r="29" spans="1:49" x14ac:dyDescent="0.2">
      <c r="A29" s="254"/>
      <c r="B29" s="163">
        <v>42095</v>
      </c>
      <c r="C29" s="163">
        <v>42125</v>
      </c>
      <c r="D29" s="163">
        <v>42156</v>
      </c>
      <c r="E29" s="163">
        <v>42186</v>
      </c>
      <c r="F29" s="163">
        <v>42217</v>
      </c>
      <c r="G29" s="163">
        <v>42248</v>
      </c>
      <c r="H29" s="163">
        <v>42278</v>
      </c>
      <c r="I29" s="164">
        <v>42309</v>
      </c>
      <c r="J29" s="164">
        <v>42339</v>
      </c>
      <c r="K29" s="164">
        <v>42370</v>
      </c>
      <c r="L29" s="164">
        <v>42401</v>
      </c>
      <c r="M29" s="164">
        <v>42430</v>
      </c>
      <c r="N29" s="164">
        <v>42461</v>
      </c>
      <c r="O29" s="164">
        <v>42491</v>
      </c>
      <c r="P29" s="164">
        <v>42522</v>
      </c>
      <c r="Q29" s="164">
        <v>42552</v>
      </c>
      <c r="R29" s="164">
        <v>42583</v>
      </c>
      <c r="S29" s="164">
        <v>42614</v>
      </c>
      <c r="T29" s="164">
        <v>42644</v>
      </c>
      <c r="U29" s="164">
        <v>42675</v>
      </c>
      <c r="V29" s="164">
        <v>42705</v>
      </c>
      <c r="W29" s="157">
        <v>42736</v>
      </c>
      <c r="X29" s="164">
        <v>42767</v>
      </c>
      <c r="Y29" s="157">
        <v>42795</v>
      </c>
      <c r="Z29" s="157">
        <v>42826</v>
      </c>
      <c r="AA29" s="157">
        <v>42856</v>
      </c>
      <c r="AB29" s="597">
        <v>42887</v>
      </c>
      <c r="AC29" s="597">
        <v>42917</v>
      </c>
      <c r="AD29" s="597">
        <v>42948</v>
      </c>
      <c r="AE29" s="597">
        <v>42979</v>
      </c>
      <c r="AF29" s="597">
        <v>43009</v>
      </c>
      <c r="AG29" s="597">
        <v>43040</v>
      </c>
      <c r="AH29" s="597">
        <v>43070</v>
      </c>
      <c r="AI29" s="164"/>
      <c r="AJ29" s="164"/>
      <c r="AK29" s="164"/>
      <c r="AL29" s="164"/>
      <c r="AM29" s="164"/>
      <c r="AN29" s="164"/>
      <c r="AO29" s="164"/>
      <c r="AP29" s="164"/>
      <c r="AQ29" s="164"/>
      <c r="AR29" s="164"/>
      <c r="AS29" s="164"/>
      <c r="AT29" s="164"/>
      <c r="AU29" s="157"/>
      <c r="AV29" s="164"/>
      <c r="AW29" s="157"/>
    </row>
    <row r="30" spans="1:49" x14ac:dyDescent="0.2">
      <c r="A30" s="229" t="s">
        <v>397</v>
      </c>
      <c r="B30" s="119">
        <v>8941</v>
      </c>
      <c r="C30" s="119">
        <v>8692</v>
      </c>
      <c r="D30" s="119">
        <v>8642</v>
      </c>
      <c r="E30" s="119">
        <v>8421</v>
      </c>
      <c r="F30" s="119">
        <v>8599</v>
      </c>
      <c r="G30" s="119">
        <v>8826</v>
      </c>
      <c r="H30" s="119">
        <v>8820</v>
      </c>
      <c r="I30" s="269">
        <v>8944</v>
      </c>
      <c r="J30" s="269">
        <v>9140</v>
      </c>
      <c r="K30" s="269">
        <v>9216</v>
      </c>
      <c r="L30" s="269">
        <v>9809</v>
      </c>
      <c r="M30" s="269">
        <v>8814</v>
      </c>
      <c r="N30" s="269">
        <v>8625</v>
      </c>
      <c r="O30" s="269">
        <v>8628</v>
      </c>
      <c r="P30" s="269">
        <v>8856</v>
      </c>
      <c r="Q30" s="269">
        <v>9031</v>
      </c>
      <c r="R30" s="269">
        <v>8948</v>
      </c>
      <c r="S30" s="269">
        <v>9271</v>
      </c>
      <c r="T30" s="269">
        <v>9202</v>
      </c>
      <c r="U30" s="269">
        <v>9351</v>
      </c>
      <c r="V30" s="269">
        <v>9630</v>
      </c>
      <c r="W30" s="269">
        <v>9669</v>
      </c>
      <c r="X30" s="269">
        <v>9813</v>
      </c>
      <c r="Y30" s="269">
        <v>9995</v>
      </c>
      <c r="Z30" s="269">
        <v>9751</v>
      </c>
      <c r="AA30" s="119">
        <v>9679</v>
      </c>
      <c r="AB30" s="119">
        <f>+SUM(AB31:AB32)</f>
        <v>9661</v>
      </c>
      <c r="AC30" s="119">
        <v>9628</v>
      </c>
      <c r="AD30" s="119">
        <v>9318</v>
      </c>
      <c r="AE30" s="119">
        <v>9414</v>
      </c>
      <c r="AF30" s="119">
        <v>9507</v>
      </c>
      <c r="AG30" s="269">
        <v>9768</v>
      </c>
      <c r="AH30" s="269">
        <v>9958</v>
      </c>
      <c r="AI30" s="269"/>
      <c r="AJ30" s="269"/>
      <c r="AK30" s="269"/>
      <c r="AL30" s="269"/>
      <c r="AM30" s="269"/>
      <c r="AN30" s="269"/>
      <c r="AO30" s="269"/>
      <c r="AP30" s="269"/>
      <c r="AQ30" s="269"/>
      <c r="AR30" s="269"/>
      <c r="AS30" s="269"/>
      <c r="AT30" s="269"/>
      <c r="AU30" s="269"/>
      <c r="AV30" s="269"/>
      <c r="AW30" s="269"/>
    </row>
    <row r="31" spans="1:49" x14ac:dyDescent="0.2">
      <c r="A31" s="229" t="s">
        <v>398</v>
      </c>
      <c r="B31" s="119">
        <v>7911</v>
      </c>
      <c r="C31" s="119">
        <v>7644</v>
      </c>
      <c r="D31" s="119">
        <v>7453</v>
      </c>
      <c r="E31" s="119">
        <v>7264</v>
      </c>
      <c r="F31" s="119">
        <v>7543</v>
      </c>
      <c r="G31" s="119">
        <v>7907</v>
      </c>
      <c r="H31" s="119">
        <v>8070</v>
      </c>
      <c r="I31" s="269">
        <v>7952</v>
      </c>
      <c r="J31" s="269">
        <v>8081</v>
      </c>
      <c r="K31" s="269">
        <v>8518</v>
      </c>
      <c r="L31" s="269">
        <v>8332</v>
      </c>
      <c r="M31" s="269">
        <v>7949</v>
      </c>
      <c r="N31" s="269">
        <v>7727</v>
      </c>
      <c r="O31" s="269">
        <v>7623</v>
      </c>
      <c r="P31" s="269">
        <v>7668</v>
      </c>
      <c r="Q31" s="269">
        <v>7902</v>
      </c>
      <c r="R31" s="269">
        <v>7954</v>
      </c>
      <c r="S31" s="269">
        <v>8374</v>
      </c>
      <c r="T31" s="269">
        <v>8441</v>
      </c>
      <c r="U31" s="269">
        <v>8442</v>
      </c>
      <c r="V31" s="269">
        <v>8589</v>
      </c>
      <c r="W31" s="269">
        <v>8957</v>
      </c>
      <c r="X31" s="269">
        <v>9053</v>
      </c>
      <c r="Y31" s="269">
        <v>9159</v>
      </c>
      <c r="Z31" s="269">
        <v>8948</v>
      </c>
      <c r="AA31" s="119">
        <v>8730</v>
      </c>
      <c r="AB31" s="119">
        <v>8522</v>
      </c>
      <c r="AC31" s="119">
        <v>8570</v>
      </c>
      <c r="AD31" s="119">
        <v>8308</v>
      </c>
      <c r="AE31" s="119">
        <v>8496</v>
      </c>
      <c r="AF31" s="119">
        <v>8834</v>
      </c>
      <c r="AG31" s="269">
        <v>8954</v>
      </c>
      <c r="AH31" s="269">
        <v>9069</v>
      </c>
      <c r="AI31" s="269"/>
      <c r="AJ31" s="269"/>
      <c r="AK31" s="269"/>
      <c r="AL31" s="269"/>
      <c r="AM31" s="269"/>
      <c r="AN31" s="269"/>
      <c r="AO31" s="269"/>
      <c r="AP31" s="269"/>
      <c r="AQ31" s="269"/>
      <c r="AR31" s="269"/>
      <c r="AS31" s="269"/>
      <c r="AT31" s="269"/>
      <c r="AU31" s="269"/>
      <c r="AV31" s="269"/>
      <c r="AW31" s="269"/>
    </row>
    <row r="32" spans="1:49" x14ac:dyDescent="0.2">
      <c r="A32" s="229" t="s">
        <v>399</v>
      </c>
      <c r="B32" s="119">
        <v>1030</v>
      </c>
      <c r="C32" s="119">
        <v>1048</v>
      </c>
      <c r="D32" s="119">
        <v>1189</v>
      </c>
      <c r="E32" s="119">
        <v>1157</v>
      </c>
      <c r="F32" s="119">
        <v>1056</v>
      </c>
      <c r="G32" s="226">
        <v>919</v>
      </c>
      <c r="H32" s="226">
        <v>750</v>
      </c>
      <c r="I32" s="227">
        <v>992</v>
      </c>
      <c r="J32" s="269">
        <v>1059</v>
      </c>
      <c r="K32" s="227">
        <v>698</v>
      </c>
      <c r="L32" s="227">
        <v>757</v>
      </c>
      <c r="M32" s="227">
        <v>865</v>
      </c>
      <c r="N32" s="227">
        <v>898</v>
      </c>
      <c r="O32" s="269">
        <v>1005</v>
      </c>
      <c r="P32" s="269">
        <v>1188</v>
      </c>
      <c r="Q32" s="269">
        <v>1129</v>
      </c>
      <c r="R32" s="269">
        <v>994</v>
      </c>
      <c r="S32" s="269">
        <v>897</v>
      </c>
      <c r="T32" s="269">
        <v>761</v>
      </c>
      <c r="U32" s="269">
        <v>909</v>
      </c>
      <c r="V32" s="269">
        <v>1041</v>
      </c>
      <c r="W32" s="269">
        <v>712</v>
      </c>
      <c r="X32" s="269">
        <v>760</v>
      </c>
      <c r="Y32" s="269">
        <v>836</v>
      </c>
      <c r="Z32" s="269">
        <v>803</v>
      </c>
      <c r="AA32" s="119">
        <v>949</v>
      </c>
      <c r="AB32" s="119">
        <v>1139</v>
      </c>
      <c r="AC32" s="119">
        <v>1058</v>
      </c>
      <c r="AD32" s="119">
        <v>1010</v>
      </c>
      <c r="AE32" s="226">
        <v>918</v>
      </c>
      <c r="AF32" s="226">
        <v>673</v>
      </c>
      <c r="AG32" s="227">
        <v>814</v>
      </c>
      <c r="AH32" s="269">
        <v>889</v>
      </c>
      <c r="AI32" s="227"/>
      <c r="AJ32" s="227"/>
      <c r="AK32" s="227"/>
      <c r="AL32" s="227"/>
      <c r="AM32" s="269"/>
      <c r="AN32" s="269"/>
      <c r="AO32" s="269"/>
      <c r="AP32" s="269"/>
      <c r="AQ32" s="269"/>
      <c r="AR32" s="269"/>
      <c r="AS32" s="269"/>
      <c r="AT32" s="269"/>
      <c r="AU32" s="269"/>
      <c r="AV32" s="269"/>
      <c r="AW32" s="269"/>
    </row>
    <row r="33" spans="1:49" x14ac:dyDescent="0.2">
      <c r="A33" s="229" t="s">
        <v>400</v>
      </c>
      <c r="B33" s="275">
        <f t="shared" ref="B33:R33" si="4">+B32/B30</f>
        <v>0.1151996420981993</v>
      </c>
      <c r="C33" s="275">
        <f t="shared" si="4"/>
        <v>0.12057063966866084</v>
      </c>
      <c r="D33" s="275">
        <f t="shared" si="4"/>
        <v>0.13758389261744966</v>
      </c>
      <c r="E33" s="275">
        <f t="shared" si="4"/>
        <v>0.13739460871630449</v>
      </c>
      <c r="F33" s="275">
        <f t="shared" si="4"/>
        <v>0.12280497732294453</v>
      </c>
      <c r="G33" s="275">
        <f t="shared" si="4"/>
        <v>0.1041241785633356</v>
      </c>
      <c r="H33" s="275">
        <f t="shared" si="4"/>
        <v>8.5034013605442174E-2</v>
      </c>
      <c r="I33" s="275">
        <f t="shared" si="4"/>
        <v>0.11091234347048301</v>
      </c>
      <c r="J33" s="275">
        <f t="shared" si="4"/>
        <v>0.11586433260393873</v>
      </c>
      <c r="K33" s="275">
        <f t="shared" si="4"/>
        <v>7.5737847222222224E-2</v>
      </c>
      <c r="L33" s="275">
        <f t="shared" si="4"/>
        <v>7.7174023855642773E-2</v>
      </c>
      <c r="M33" s="275">
        <f t="shared" si="4"/>
        <v>9.8139323803040621E-2</v>
      </c>
      <c r="N33" s="275">
        <f t="shared" si="4"/>
        <v>0.10411594202898551</v>
      </c>
      <c r="O33" s="275">
        <f t="shared" si="4"/>
        <v>0.11648122392211405</v>
      </c>
      <c r="P33" s="275">
        <f t="shared" si="4"/>
        <v>0.13414634146341464</v>
      </c>
      <c r="Q33" s="275">
        <f t="shared" si="4"/>
        <v>0.1250138412135976</v>
      </c>
      <c r="R33" s="275">
        <f t="shared" si="4"/>
        <v>0.11108627626285203</v>
      </c>
      <c r="S33" s="275">
        <f t="shared" ref="S33:Y33" si="5">+S32/S30</f>
        <v>9.6753316794304822E-2</v>
      </c>
      <c r="T33" s="275">
        <f t="shared" si="5"/>
        <v>8.2699413171049771E-2</v>
      </c>
      <c r="U33" s="275">
        <f t="shared" si="5"/>
        <v>9.7208854667949957E-2</v>
      </c>
      <c r="V33" s="275">
        <f t="shared" si="5"/>
        <v>0.10809968847352025</v>
      </c>
      <c r="W33" s="275">
        <f t="shared" si="5"/>
        <v>7.3637397869479787E-2</v>
      </c>
      <c r="X33" s="275">
        <f t="shared" si="5"/>
        <v>7.7448282890043824E-2</v>
      </c>
      <c r="Y33" s="275">
        <f t="shared" si="5"/>
        <v>8.3641820910455231E-2</v>
      </c>
      <c r="Z33" s="275">
        <f t="shared" ref="Z33:AB33" si="6">+Z32/Z30</f>
        <v>8.2350528150958877E-2</v>
      </c>
      <c r="AA33" s="275">
        <f t="shared" si="6"/>
        <v>9.8047318937906802E-2</v>
      </c>
      <c r="AB33" s="275">
        <f t="shared" si="6"/>
        <v>0.11789669806438256</v>
      </c>
      <c r="AC33" s="275">
        <f t="shared" ref="AC33:AF33" si="7">+AC32/AC30</f>
        <v>0.10988782717075198</v>
      </c>
      <c r="AD33" s="275">
        <f t="shared" si="7"/>
        <v>0.10839235887529512</v>
      </c>
      <c r="AE33" s="275">
        <f t="shared" si="7"/>
        <v>9.7514340344168254E-2</v>
      </c>
      <c r="AF33" s="275">
        <f t="shared" si="7"/>
        <v>7.0789944251604078E-2</v>
      </c>
      <c r="AG33" s="275">
        <f>+AG32/AG30</f>
        <v>8.3333333333333329E-2</v>
      </c>
      <c r="AH33" s="275">
        <f>+AH32/AH30</f>
        <v>8.9274954810202853E-2</v>
      </c>
      <c r="AI33" s="275"/>
      <c r="AJ33" s="275"/>
      <c r="AK33" s="275"/>
      <c r="AL33" s="275"/>
      <c r="AM33" s="275"/>
      <c r="AN33" s="275"/>
      <c r="AO33" s="275"/>
      <c r="AP33" s="275"/>
      <c r="AQ33" s="275"/>
      <c r="AR33" s="275"/>
      <c r="AS33" s="275"/>
      <c r="AT33" s="275"/>
      <c r="AU33" s="275"/>
      <c r="AV33" s="275"/>
      <c r="AW33" s="275"/>
    </row>
    <row r="34" spans="1:49" x14ac:dyDescent="0.2">
      <c r="A34" s="229" t="s">
        <v>401</v>
      </c>
      <c r="B34" s="119">
        <v>1180</v>
      </c>
      <c r="C34" s="119">
        <v>1244</v>
      </c>
      <c r="D34" s="119">
        <v>1246</v>
      </c>
      <c r="E34" s="119">
        <v>1187</v>
      </c>
      <c r="F34" s="119">
        <v>1048</v>
      </c>
      <c r="G34" s="119">
        <v>1023</v>
      </c>
      <c r="H34" s="119">
        <v>1013</v>
      </c>
      <c r="I34" s="269">
        <v>1012</v>
      </c>
      <c r="J34" s="269">
        <v>1069</v>
      </c>
      <c r="K34" s="269">
        <v>1110</v>
      </c>
      <c r="L34" s="269">
        <v>1090</v>
      </c>
      <c r="M34" s="269">
        <v>1063</v>
      </c>
      <c r="N34" s="227">
        <v>976</v>
      </c>
      <c r="O34" s="269">
        <v>1073</v>
      </c>
      <c r="P34" s="269">
        <v>1091</v>
      </c>
      <c r="Q34" s="269">
        <v>1064</v>
      </c>
      <c r="R34" s="269">
        <v>1096</v>
      </c>
      <c r="S34" s="269">
        <v>1147</v>
      </c>
      <c r="T34" s="269">
        <v>1167</v>
      </c>
      <c r="U34" s="269">
        <v>1220</v>
      </c>
      <c r="V34" s="269">
        <v>1174</v>
      </c>
      <c r="W34" s="269">
        <v>1261</v>
      </c>
      <c r="X34" s="269">
        <v>1234</v>
      </c>
      <c r="Y34" s="269">
        <v>1200</v>
      </c>
      <c r="Z34" s="269">
        <v>1159</v>
      </c>
      <c r="AA34" s="119">
        <v>1234</v>
      </c>
      <c r="AB34" s="119">
        <v>1300</v>
      </c>
      <c r="AC34" s="119">
        <v>1349</v>
      </c>
      <c r="AD34" s="119">
        <v>1291</v>
      </c>
      <c r="AE34" s="119">
        <v>1255</v>
      </c>
      <c r="AF34" s="119">
        <v>1192</v>
      </c>
      <c r="AG34" s="269">
        <v>1175</v>
      </c>
      <c r="AH34" s="269">
        <v>1164</v>
      </c>
      <c r="AI34" s="269"/>
      <c r="AJ34" s="269"/>
      <c r="AK34" s="269"/>
      <c r="AL34" s="227"/>
      <c r="AM34" s="269"/>
      <c r="AN34" s="269"/>
      <c r="AO34" s="269"/>
      <c r="AP34" s="269"/>
      <c r="AQ34" s="269"/>
      <c r="AR34" s="269"/>
      <c r="AS34" s="269"/>
      <c r="AT34" s="269"/>
      <c r="AU34" s="269"/>
      <c r="AV34" s="269"/>
      <c r="AW34" s="269"/>
    </row>
    <row r="35" spans="1:49" x14ac:dyDescent="0.2">
      <c r="A35" s="276" t="s">
        <v>368</v>
      </c>
      <c r="B35" s="277"/>
      <c r="C35" s="277"/>
      <c r="D35" s="277"/>
      <c r="E35" s="277"/>
      <c r="F35" s="277"/>
      <c r="G35" s="277"/>
      <c r="H35" s="277"/>
      <c r="I35" s="278"/>
      <c r="J35" s="278"/>
      <c r="K35" s="278"/>
      <c r="L35" s="278"/>
      <c r="M35" s="278"/>
      <c r="N35" s="279"/>
      <c r="O35" s="278"/>
      <c r="P35" s="278"/>
      <c r="Q35" s="278"/>
      <c r="R35" s="278"/>
      <c r="S35" s="278"/>
      <c r="T35" s="278"/>
      <c r="U35" s="278"/>
      <c r="V35" s="278"/>
      <c r="W35" s="278"/>
      <c r="X35" s="278"/>
      <c r="Y35" s="278"/>
      <c r="Z35" s="277"/>
      <c r="AA35" s="277"/>
      <c r="AB35" s="277"/>
      <c r="AC35" s="277"/>
      <c r="AD35" s="277"/>
      <c r="AE35" s="277"/>
      <c r="AF35" s="277"/>
      <c r="AG35" s="278"/>
      <c r="AH35" s="278"/>
      <c r="AI35" s="278"/>
      <c r="AJ35" s="278"/>
      <c r="AK35" s="278"/>
      <c r="AL35" s="279"/>
      <c r="AM35" s="278"/>
      <c r="AN35" s="278"/>
      <c r="AO35" s="278"/>
      <c r="AP35" s="278"/>
      <c r="AQ35" s="278"/>
      <c r="AR35" s="278"/>
      <c r="AS35" s="278"/>
      <c r="AT35" s="278"/>
      <c r="AU35" s="278"/>
      <c r="AV35" s="278"/>
      <c r="AW35" s="278"/>
    </row>
    <row r="36" spans="1:49" x14ac:dyDescent="0.2">
      <c r="A36" s="602" t="s">
        <v>582</v>
      </c>
      <c r="M36" s="602" t="s">
        <v>583</v>
      </c>
    </row>
    <row r="39" spans="1:49" x14ac:dyDescent="0.2">
      <c r="AD39" s="817"/>
    </row>
    <row r="61" spans="1:1" x14ac:dyDescent="0.2">
      <c r="A61" s="127" t="s">
        <v>584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sheetPr>
  <dimension ref="A1:Q20"/>
  <sheetViews>
    <sheetView workbookViewId="0"/>
  </sheetViews>
  <sheetFormatPr defaultColWidth="9.140625" defaultRowHeight="12.75" x14ac:dyDescent="0.2"/>
  <cols>
    <col min="1" max="1" width="26" style="107" bestFit="1" customWidth="1"/>
    <col min="2" max="2" width="9.85546875" style="107" bestFit="1" customWidth="1"/>
    <col min="3" max="16384" width="9.140625" style="107"/>
  </cols>
  <sheetData>
    <row r="1" spans="1:17" x14ac:dyDescent="0.2">
      <c r="A1" s="106" t="s">
        <v>345</v>
      </c>
    </row>
    <row r="2" spans="1:17" x14ac:dyDescent="0.2">
      <c r="A2" s="106"/>
      <c r="B2" s="442"/>
    </row>
    <row r="3" spans="1:17" x14ac:dyDescent="0.2">
      <c r="A3" s="127" t="s">
        <v>721</v>
      </c>
      <c r="B3" s="343" t="str">
        <f>IF(HLOOKUP(MAX(B8:Q8),A8:Q10,3,0)&gt;HLOOKUP(MAX(B8:Q8),A8:Q10,2,0),"Better", "Worse")</f>
        <v>Better</v>
      </c>
      <c r="C3" s="491" t="b">
        <f>IF(HLOOKUP(MAX(B8:Q8),A8:Q10,3,0)=HLOOKUP(MAX(B8:Q8),A8:Q10,2,0),"Equal")</f>
        <v>0</v>
      </c>
    </row>
    <row r="4" spans="1:17" x14ac:dyDescent="0.2">
      <c r="A4" s="127" t="s">
        <v>722</v>
      </c>
      <c r="B4" s="343" t="str">
        <f>IF(HLOOKUP(MAX(B13:Q13),A13:Q17,4,0)&lt;HLOOKUP(MAX(B13:Q13),A13:Q17,3,0),"Better", "Worse")</f>
        <v>Better</v>
      </c>
      <c r="C4" s="491"/>
    </row>
    <row r="5" spans="1:17" x14ac:dyDescent="0.2">
      <c r="A5" s="127" t="s">
        <v>144</v>
      </c>
      <c r="B5" s="492">
        <f>MAX(B8:Q8)</f>
        <v>42979</v>
      </c>
      <c r="C5" s="186"/>
    </row>
    <row r="6" spans="1:17" x14ac:dyDescent="0.2">
      <c r="A6" s="127" t="s">
        <v>206</v>
      </c>
      <c r="B6" s="128" t="s">
        <v>224</v>
      </c>
    </row>
    <row r="7" spans="1:17" x14ac:dyDescent="0.2">
      <c r="E7" s="145"/>
    </row>
    <row r="8" spans="1:17" x14ac:dyDescent="0.2">
      <c r="A8" s="136"/>
      <c r="B8" s="597">
        <v>42156</v>
      </c>
      <c r="C8" s="597">
        <v>42248</v>
      </c>
      <c r="D8" s="597">
        <v>42339</v>
      </c>
      <c r="E8" s="597">
        <v>42430</v>
      </c>
      <c r="F8" s="597">
        <v>42522</v>
      </c>
      <c r="G8" s="597">
        <v>42614</v>
      </c>
      <c r="H8" s="597">
        <v>42705</v>
      </c>
      <c r="I8" s="597">
        <v>42795</v>
      </c>
      <c r="J8" s="597">
        <v>42887</v>
      </c>
      <c r="K8" s="597">
        <v>42979</v>
      </c>
      <c r="L8" s="134"/>
      <c r="M8" s="134"/>
      <c r="N8" s="134"/>
      <c r="O8" s="134"/>
      <c r="P8" s="134"/>
      <c r="Q8" s="134"/>
    </row>
    <row r="9" spans="1:17" x14ac:dyDescent="0.2">
      <c r="A9" s="158" t="s">
        <v>369</v>
      </c>
      <c r="B9" s="159">
        <v>0.948583380870888</v>
      </c>
      <c r="C9" s="159">
        <v>0.94595930785320403</v>
      </c>
      <c r="D9" s="159">
        <v>0.95264465833259748</v>
      </c>
      <c r="E9" s="160">
        <v>0.92734853189035749</v>
      </c>
      <c r="F9" s="155">
        <v>0.91257813384311603</v>
      </c>
      <c r="G9" s="159">
        <v>0.88991732446474603</v>
      </c>
      <c r="H9" s="159">
        <v>0.86776090416205864</v>
      </c>
      <c r="I9" s="159">
        <v>0.82141036989351146</v>
      </c>
      <c r="J9" s="159">
        <v>0.81496079099897711</v>
      </c>
      <c r="K9" s="159">
        <v>0.8020284032253564</v>
      </c>
      <c r="L9" s="159"/>
      <c r="M9" s="160"/>
      <c r="N9" s="155"/>
      <c r="O9" s="159"/>
      <c r="P9" s="159"/>
      <c r="Q9" s="159"/>
    </row>
    <row r="10" spans="1:17" x14ac:dyDescent="0.2">
      <c r="A10" s="158" t="s">
        <v>370</v>
      </c>
      <c r="B10" s="159">
        <v>0.89800000000000002</v>
      </c>
      <c r="C10" s="159">
        <v>0.92100000000000004</v>
      </c>
      <c r="D10" s="159">
        <v>0.94099999999999995</v>
      </c>
      <c r="E10" s="159">
        <v>0.94699999999999995</v>
      </c>
      <c r="F10" s="159">
        <v>0.91</v>
      </c>
      <c r="G10" s="159">
        <v>0.90100000000000002</v>
      </c>
      <c r="H10" s="159">
        <v>0.873</v>
      </c>
      <c r="I10" s="159">
        <v>0.81399999999999995</v>
      </c>
      <c r="J10" s="159">
        <v>0.82199999999999995</v>
      </c>
      <c r="K10" s="159">
        <v>0.84299999999999997</v>
      </c>
      <c r="L10" s="159"/>
      <c r="M10" s="159"/>
      <c r="N10" s="159"/>
      <c r="O10" s="159"/>
      <c r="P10" s="159"/>
      <c r="Q10" s="159"/>
    </row>
    <row r="11" spans="1:17" x14ac:dyDescent="0.2">
      <c r="A11" s="134" t="s">
        <v>15</v>
      </c>
      <c r="B11" s="160">
        <v>1</v>
      </c>
      <c r="C11" s="160">
        <v>1</v>
      </c>
      <c r="D11" s="160">
        <v>1</v>
      </c>
      <c r="E11" s="160">
        <v>1</v>
      </c>
      <c r="F11" s="160">
        <v>1</v>
      </c>
      <c r="G11" s="160">
        <v>1</v>
      </c>
      <c r="H11" s="160">
        <v>1</v>
      </c>
      <c r="I11" s="160">
        <v>1</v>
      </c>
      <c r="J11" s="160">
        <v>1</v>
      </c>
      <c r="K11" s="160">
        <v>1</v>
      </c>
      <c r="L11" s="160">
        <v>1</v>
      </c>
      <c r="M11" s="160">
        <v>1</v>
      </c>
      <c r="N11" s="160">
        <v>1</v>
      </c>
      <c r="O11" s="160">
        <v>1</v>
      </c>
      <c r="P11" s="160">
        <v>1</v>
      </c>
      <c r="Q11" s="160">
        <v>1</v>
      </c>
    </row>
    <row r="12" spans="1:17" x14ac:dyDescent="0.2">
      <c r="A12" s="127"/>
      <c r="B12" s="155"/>
      <c r="C12" s="155"/>
      <c r="D12" s="155"/>
      <c r="E12" s="155"/>
      <c r="F12" s="155"/>
      <c r="G12" s="155"/>
      <c r="H12" s="155"/>
      <c r="I12" s="155"/>
      <c r="J12" s="155"/>
      <c r="K12" s="155"/>
      <c r="L12" s="155"/>
      <c r="M12" s="155"/>
      <c r="N12" s="155"/>
      <c r="O12" s="155"/>
      <c r="P12" s="155"/>
      <c r="Q12" s="155"/>
    </row>
    <row r="13" spans="1:17" x14ac:dyDescent="0.2">
      <c r="A13" s="136"/>
      <c r="B13" s="157">
        <v>42156</v>
      </c>
      <c r="C13" s="157">
        <v>42248</v>
      </c>
      <c r="D13" s="157">
        <v>42339</v>
      </c>
      <c r="E13" s="157">
        <v>42430</v>
      </c>
      <c r="F13" s="157">
        <v>42522</v>
      </c>
      <c r="G13" s="157">
        <v>42615</v>
      </c>
      <c r="H13" s="157">
        <v>42705</v>
      </c>
      <c r="I13" s="157">
        <v>42795</v>
      </c>
      <c r="J13" s="597">
        <v>42887</v>
      </c>
      <c r="K13" s="597">
        <v>42979</v>
      </c>
      <c r="L13" s="157"/>
      <c r="M13" s="157"/>
      <c r="N13" s="157"/>
      <c r="O13" s="157"/>
      <c r="P13" s="157"/>
      <c r="Q13" s="157"/>
    </row>
    <row r="14" spans="1:17" x14ac:dyDescent="0.2">
      <c r="A14" s="134" t="s">
        <v>369</v>
      </c>
      <c r="B14" s="151">
        <v>4056</v>
      </c>
      <c r="C14" s="151">
        <v>4263</v>
      </c>
      <c r="D14" s="151">
        <v>3754</v>
      </c>
      <c r="E14" s="151">
        <v>5733</v>
      </c>
      <c r="F14" s="151">
        <v>6951</v>
      </c>
      <c r="G14" s="151">
        <v>8242</v>
      </c>
      <c r="H14" s="151">
        <v>9805</v>
      </c>
      <c r="I14" s="151">
        <v>13316</v>
      </c>
      <c r="J14" s="151">
        <v>13568</v>
      </c>
      <c r="K14" s="151">
        <v>14191</v>
      </c>
      <c r="L14" s="151"/>
      <c r="M14" s="151"/>
      <c r="N14" s="151"/>
      <c r="O14" s="151"/>
      <c r="P14" s="151"/>
      <c r="Q14" s="151"/>
    </row>
    <row r="15" spans="1:17" x14ac:dyDescent="0.2">
      <c r="A15" s="134" t="s">
        <v>221</v>
      </c>
      <c r="B15" s="151">
        <f>(B14/100)*14.5</f>
        <v>588.12</v>
      </c>
      <c r="C15" s="151">
        <f>(C14/100)*14.5</f>
        <v>618.13499999999999</v>
      </c>
      <c r="D15" s="151">
        <f>(D14/100)*14.5</f>
        <v>544.33000000000004</v>
      </c>
      <c r="E15" s="151">
        <f>(E14/100)*14.5</f>
        <v>831.28499999999997</v>
      </c>
      <c r="F15" s="152">
        <f>(F14/100)*14.66</f>
        <v>1019.0166</v>
      </c>
      <c r="G15" s="151">
        <f>(G14/100)*14.66</f>
        <v>1208.2772</v>
      </c>
      <c r="H15" s="151">
        <f>(H14/100)*14.66</f>
        <v>1437.413</v>
      </c>
      <c r="I15" s="151">
        <f>(I14/100)*14.66</f>
        <v>1952.1256000000001</v>
      </c>
      <c r="J15" s="648">
        <f>(J14/100)*14.76</f>
        <v>2002.6368</v>
      </c>
      <c r="K15" s="204">
        <f t="shared" ref="K15:M15" si="0">(K14/100)*14.76</f>
        <v>2094.5915999999997</v>
      </c>
      <c r="L15" s="204">
        <f t="shared" si="0"/>
        <v>0</v>
      </c>
      <c r="M15" s="204">
        <f t="shared" si="0"/>
        <v>0</v>
      </c>
      <c r="N15" s="410"/>
      <c r="O15" s="151"/>
      <c r="P15" s="151"/>
      <c r="Q15" s="151"/>
    </row>
    <row r="16" spans="1:17" s="145" customFormat="1" x14ac:dyDescent="0.2">
      <c r="A16" s="134" t="s">
        <v>370</v>
      </c>
      <c r="B16" s="119">
        <v>1331</v>
      </c>
      <c r="C16" s="119">
        <v>1000</v>
      </c>
      <c r="D16" s="119">
        <v>779</v>
      </c>
      <c r="E16" s="119">
        <v>684</v>
      </c>
      <c r="F16" s="119">
        <v>1102</v>
      </c>
      <c r="G16" s="119">
        <v>1098</v>
      </c>
      <c r="H16" s="119">
        <v>1398</v>
      </c>
      <c r="I16" s="119">
        <v>2069</v>
      </c>
      <c r="J16" s="119">
        <v>1997</v>
      </c>
      <c r="K16" s="119">
        <v>1736</v>
      </c>
      <c r="L16" s="119"/>
      <c r="M16" s="119"/>
      <c r="N16" s="119"/>
      <c r="O16" s="119"/>
      <c r="P16" s="119"/>
      <c r="Q16" s="119"/>
    </row>
    <row r="17" spans="1:17" s="145" customFormat="1" x14ac:dyDescent="0.2">
      <c r="A17" s="134" t="s">
        <v>16</v>
      </c>
      <c r="B17" s="190">
        <v>0</v>
      </c>
      <c r="C17" s="190">
        <v>0</v>
      </c>
      <c r="D17" s="190">
        <v>0</v>
      </c>
      <c r="E17" s="190">
        <v>0</v>
      </c>
      <c r="F17" s="190">
        <v>0</v>
      </c>
      <c r="G17" s="190">
        <v>0</v>
      </c>
      <c r="H17" s="190">
        <v>0</v>
      </c>
      <c r="I17" s="190">
        <v>0</v>
      </c>
      <c r="J17" s="190">
        <v>0</v>
      </c>
      <c r="K17" s="190">
        <v>0</v>
      </c>
      <c r="L17" s="190">
        <v>0</v>
      </c>
      <c r="M17" s="190">
        <v>0</v>
      </c>
      <c r="N17" s="190">
        <v>0</v>
      </c>
      <c r="O17" s="190">
        <v>0</v>
      </c>
      <c r="P17" s="190">
        <v>0</v>
      </c>
      <c r="Q17" s="190">
        <v>0</v>
      </c>
    </row>
    <row r="19" spans="1:17" x14ac:dyDescent="0.2">
      <c r="A19" s="140" t="s">
        <v>273</v>
      </c>
      <c r="B19" s="155"/>
      <c r="C19" s="155"/>
      <c r="D19" s="155"/>
      <c r="E19" s="155"/>
      <c r="F19" s="155"/>
    </row>
    <row r="20" spans="1:17" x14ac:dyDescent="0.2">
      <c r="A20" s="413" t="s">
        <v>453</v>
      </c>
      <c r="B20" s="155"/>
      <c r="C20" s="155"/>
      <c r="D20" s="155"/>
      <c r="E20" s="155"/>
      <c r="F20"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16"/>
  <sheetViews>
    <sheetView workbookViewId="0">
      <pane xSplit="1" topLeftCell="B1" activePane="topRight" state="frozen"/>
      <selection pane="topRight"/>
    </sheetView>
  </sheetViews>
  <sheetFormatPr defaultColWidth="9.140625" defaultRowHeight="12.75" x14ac:dyDescent="0.2"/>
  <cols>
    <col min="1" max="1" width="28.28515625" style="107" customWidth="1"/>
    <col min="2" max="2" width="9.5703125" style="107" customWidth="1"/>
    <col min="3" max="16384" width="9.140625" style="107"/>
  </cols>
  <sheetData>
    <row r="1" spans="1:49" x14ac:dyDescent="0.2">
      <c r="A1" s="106" t="s">
        <v>345</v>
      </c>
    </row>
    <row r="3" spans="1:49" x14ac:dyDescent="0.2">
      <c r="A3" s="108" t="s">
        <v>436</v>
      </c>
      <c r="B3" s="145" t="s">
        <v>55</v>
      </c>
    </row>
    <row r="4" spans="1:49" x14ac:dyDescent="0.2">
      <c r="A4" s="108" t="s">
        <v>143</v>
      </c>
      <c r="B4" s="126">
        <f>HLOOKUP(MAX(B9:AW9),B9:AW13,5,0)</f>
        <v>1</v>
      </c>
    </row>
    <row r="5" spans="1:49" x14ac:dyDescent="0.2">
      <c r="A5" s="108" t="s">
        <v>118</v>
      </c>
      <c r="B5" s="128">
        <f>MAX(B9:AW9)</f>
        <v>43040</v>
      </c>
    </row>
    <row r="6" spans="1:49" x14ac:dyDescent="0.2">
      <c r="A6" s="108" t="s">
        <v>195</v>
      </c>
      <c r="B6" s="128"/>
    </row>
    <row r="7" spans="1:49" x14ac:dyDescent="0.2">
      <c r="A7" s="108" t="s">
        <v>438</v>
      </c>
      <c r="B7" s="162" t="s">
        <v>139</v>
      </c>
    </row>
    <row r="8" spans="1:49" x14ac:dyDescent="0.2">
      <c r="A8" s="281"/>
    </row>
    <row r="9" spans="1:49" x14ac:dyDescent="0.2">
      <c r="A9" s="229"/>
      <c r="B9" s="268">
        <v>42095</v>
      </c>
      <c r="C9" s="268">
        <v>42125</v>
      </c>
      <c r="D9" s="268">
        <v>42156</v>
      </c>
      <c r="E9" s="268">
        <v>42186</v>
      </c>
      <c r="F9" s="268">
        <v>42217</v>
      </c>
      <c r="G9" s="268">
        <v>42248</v>
      </c>
      <c r="H9" s="268">
        <v>42278</v>
      </c>
      <c r="I9" s="268">
        <v>42309</v>
      </c>
      <c r="J9" s="157">
        <v>42339</v>
      </c>
      <c r="K9" s="157">
        <v>42370</v>
      </c>
      <c r="L9" s="157">
        <v>42401</v>
      </c>
      <c r="M9" s="157">
        <v>42430</v>
      </c>
      <c r="N9" s="157">
        <v>42461</v>
      </c>
      <c r="O9" s="157">
        <v>42491</v>
      </c>
      <c r="P9" s="157">
        <v>42522</v>
      </c>
      <c r="Q9" s="157">
        <v>42552</v>
      </c>
      <c r="R9" s="157">
        <v>42583</v>
      </c>
      <c r="S9" s="157">
        <v>42614</v>
      </c>
      <c r="T9" s="157">
        <v>42644</v>
      </c>
      <c r="U9" s="157">
        <v>42675</v>
      </c>
      <c r="V9" s="157">
        <v>42705</v>
      </c>
      <c r="W9" s="157">
        <v>42736</v>
      </c>
      <c r="X9" s="157">
        <v>42767</v>
      </c>
      <c r="Y9" s="157">
        <v>42795</v>
      </c>
      <c r="Z9" s="157">
        <v>42826</v>
      </c>
      <c r="AA9" s="157">
        <v>42856</v>
      </c>
      <c r="AB9" s="268">
        <v>42887</v>
      </c>
      <c r="AC9" s="597">
        <v>42917</v>
      </c>
      <c r="AD9" s="268">
        <v>42948</v>
      </c>
      <c r="AE9" s="597">
        <v>42979</v>
      </c>
      <c r="AF9" s="268">
        <v>43009</v>
      </c>
      <c r="AG9" s="597">
        <v>43040</v>
      </c>
      <c r="AH9" s="157"/>
      <c r="AI9" s="157"/>
      <c r="AJ9" s="157"/>
      <c r="AK9" s="157"/>
      <c r="AL9" s="157"/>
      <c r="AM9" s="157"/>
      <c r="AN9" s="157"/>
      <c r="AO9" s="157"/>
      <c r="AP9" s="157"/>
      <c r="AQ9" s="157"/>
      <c r="AR9" s="157"/>
      <c r="AS9" s="157"/>
      <c r="AT9" s="157"/>
      <c r="AU9" s="157"/>
      <c r="AV9" s="157"/>
      <c r="AW9" s="157"/>
    </row>
    <row r="10" spans="1:49" x14ac:dyDescent="0.2">
      <c r="A10" s="229" t="s">
        <v>70</v>
      </c>
      <c r="B10" s="224">
        <v>18</v>
      </c>
      <c r="C10" s="224">
        <v>28</v>
      </c>
      <c r="D10" s="224">
        <v>18</v>
      </c>
      <c r="E10" s="224">
        <v>10</v>
      </c>
      <c r="F10" s="224">
        <v>18</v>
      </c>
      <c r="G10" s="224">
        <v>13</v>
      </c>
      <c r="H10" s="224">
        <v>20</v>
      </c>
      <c r="I10" s="224">
        <v>16</v>
      </c>
      <c r="J10" s="273">
        <v>11</v>
      </c>
      <c r="K10" s="273">
        <v>30</v>
      </c>
      <c r="L10" s="273">
        <v>28</v>
      </c>
      <c r="M10" s="273">
        <v>29</v>
      </c>
      <c r="N10" s="273">
        <v>29</v>
      </c>
      <c r="O10" s="273">
        <v>28</v>
      </c>
      <c r="P10" s="273">
        <v>11</v>
      </c>
      <c r="Q10" s="224">
        <v>14</v>
      </c>
      <c r="R10" s="273">
        <v>22</v>
      </c>
      <c r="S10" s="273">
        <v>31</v>
      </c>
      <c r="T10" s="273">
        <v>47</v>
      </c>
      <c r="U10" s="273">
        <v>35</v>
      </c>
      <c r="V10" s="273">
        <v>23</v>
      </c>
      <c r="W10" s="273">
        <v>32</v>
      </c>
      <c r="X10" s="273">
        <v>23</v>
      </c>
      <c r="Y10" s="273">
        <v>17</v>
      </c>
      <c r="Z10" s="224">
        <v>16</v>
      </c>
      <c r="AA10" s="224">
        <v>21</v>
      </c>
      <c r="AB10" s="224">
        <v>29</v>
      </c>
      <c r="AC10" s="224">
        <v>26</v>
      </c>
      <c r="AD10" s="224">
        <v>18</v>
      </c>
      <c r="AE10" s="224">
        <v>14</v>
      </c>
      <c r="AF10" s="224">
        <v>17</v>
      </c>
      <c r="AG10" s="224">
        <v>14</v>
      </c>
      <c r="AH10" s="273"/>
      <c r="AI10" s="273"/>
      <c r="AJ10" s="273"/>
      <c r="AK10" s="273"/>
      <c r="AL10" s="273"/>
      <c r="AM10" s="273"/>
      <c r="AN10" s="273"/>
      <c r="AO10" s="224"/>
      <c r="AP10" s="273"/>
      <c r="AQ10" s="273"/>
      <c r="AR10" s="273"/>
      <c r="AS10" s="273"/>
      <c r="AT10" s="273"/>
      <c r="AU10" s="273"/>
      <c r="AV10" s="273"/>
      <c r="AW10" s="273"/>
    </row>
    <row r="11" spans="1:49" x14ac:dyDescent="0.2">
      <c r="A11" s="229" t="s">
        <v>71</v>
      </c>
      <c r="B11" s="224">
        <v>0</v>
      </c>
      <c r="C11" s="224">
        <v>0</v>
      </c>
      <c r="D11" s="224">
        <v>0</v>
      </c>
      <c r="E11" s="224">
        <v>0</v>
      </c>
      <c r="F11" s="224">
        <v>0</v>
      </c>
      <c r="G11" s="224">
        <v>0</v>
      </c>
      <c r="H11" s="224">
        <v>0</v>
      </c>
      <c r="I11" s="224">
        <v>0</v>
      </c>
      <c r="J11" s="273">
        <v>0</v>
      </c>
      <c r="K11" s="273">
        <v>1</v>
      </c>
      <c r="L11" s="273">
        <v>0</v>
      </c>
      <c r="M11" s="273">
        <v>0</v>
      </c>
      <c r="N11" s="273">
        <v>0</v>
      </c>
      <c r="O11" s="273">
        <v>1</v>
      </c>
      <c r="P11" s="273">
        <v>0</v>
      </c>
      <c r="Q11" s="224">
        <v>0</v>
      </c>
      <c r="R11" s="273">
        <v>0</v>
      </c>
      <c r="S11" s="273">
        <v>0</v>
      </c>
      <c r="T11" s="273">
        <v>0</v>
      </c>
      <c r="U11" s="273">
        <v>1</v>
      </c>
      <c r="V11" s="273">
        <v>0</v>
      </c>
      <c r="W11" s="273">
        <v>0</v>
      </c>
      <c r="X11" s="273">
        <v>0</v>
      </c>
      <c r="Y11" s="273">
        <v>0</v>
      </c>
      <c r="Z11" s="224">
        <v>1</v>
      </c>
      <c r="AA11" s="224">
        <v>0</v>
      </c>
      <c r="AB11" s="224">
        <v>0</v>
      </c>
      <c r="AC11" s="224">
        <v>0</v>
      </c>
      <c r="AD11" s="224">
        <v>0</v>
      </c>
      <c r="AE11" s="224">
        <v>0</v>
      </c>
      <c r="AF11" s="224">
        <v>0</v>
      </c>
      <c r="AG11" s="224">
        <v>0</v>
      </c>
      <c r="AH11" s="273"/>
      <c r="AI11" s="273"/>
      <c r="AJ11" s="273"/>
      <c r="AK11" s="273"/>
      <c r="AL11" s="273"/>
      <c r="AM11" s="273"/>
      <c r="AN11" s="273"/>
      <c r="AO11" s="224"/>
      <c r="AP11" s="273"/>
      <c r="AQ11" s="273"/>
      <c r="AR11" s="273"/>
      <c r="AS11" s="273"/>
      <c r="AT11" s="273"/>
      <c r="AU11" s="273"/>
      <c r="AV11" s="273"/>
      <c r="AW11" s="273"/>
    </row>
    <row r="12" spans="1:49" x14ac:dyDescent="0.2">
      <c r="A12" s="229" t="s">
        <v>72</v>
      </c>
      <c r="B12" s="224">
        <v>18</v>
      </c>
      <c r="C12" s="224">
        <v>28</v>
      </c>
      <c r="D12" s="224">
        <v>18</v>
      </c>
      <c r="E12" s="224">
        <v>10</v>
      </c>
      <c r="F12" s="224">
        <v>18</v>
      </c>
      <c r="G12" s="224">
        <v>13</v>
      </c>
      <c r="H12" s="224">
        <v>20</v>
      </c>
      <c r="I12" s="224">
        <v>16</v>
      </c>
      <c r="J12" s="273">
        <v>11</v>
      </c>
      <c r="K12" s="273">
        <v>31</v>
      </c>
      <c r="L12" s="273">
        <v>28</v>
      </c>
      <c r="M12" s="273">
        <v>29</v>
      </c>
      <c r="N12" s="273">
        <v>29</v>
      </c>
      <c r="O12" s="273">
        <v>29</v>
      </c>
      <c r="P12" s="273">
        <v>11</v>
      </c>
      <c r="Q12" s="224">
        <v>14</v>
      </c>
      <c r="R12" s="273">
        <v>22</v>
      </c>
      <c r="S12" s="273">
        <v>31</v>
      </c>
      <c r="T12" s="273">
        <v>47</v>
      </c>
      <c r="U12" s="273">
        <v>36</v>
      </c>
      <c r="V12" s="273">
        <v>23</v>
      </c>
      <c r="W12" s="273">
        <v>32</v>
      </c>
      <c r="X12" s="273">
        <v>23</v>
      </c>
      <c r="Y12" s="273">
        <v>17</v>
      </c>
      <c r="Z12" s="224">
        <v>17</v>
      </c>
      <c r="AA12" s="224">
        <v>21</v>
      </c>
      <c r="AB12" s="224">
        <v>29</v>
      </c>
      <c r="AC12" s="224">
        <v>26</v>
      </c>
      <c r="AD12" s="224">
        <v>18</v>
      </c>
      <c r="AE12" s="224">
        <v>14</v>
      </c>
      <c r="AF12" s="224">
        <v>17</v>
      </c>
      <c r="AG12" s="224">
        <v>14</v>
      </c>
      <c r="AH12" s="273"/>
      <c r="AI12" s="273"/>
      <c r="AJ12" s="273"/>
      <c r="AK12" s="273"/>
      <c r="AL12" s="273"/>
      <c r="AM12" s="273"/>
      <c r="AN12" s="273"/>
      <c r="AO12" s="224"/>
      <c r="AP12" s="273"/>
      <c r="AQ12" s="273"/>
      <c r="AR12" s="273"/>
      <c r="AS12" s="273"/>
      <c r="AT12" s="273"/>
      <c r="AU12" s="273"/>
      <c r="AV12" s="273"/>
      <c r="AW12" s="273"/>
    </row>
    <row r="13" spans="1:49" x14ac:dyDescent="0.2">
      <c r="A13" s="229" t="s">
        <v>20</v>
      </c>
      <c r="B13" s="280">
        <f t="shared" ref="B13:AW13" si="0">B10/B12</f>
        <v>1</v>
      </c>
      <c r="C13" s="280">
        <f>C10/C12</f>
        <v>1</v>
      </c>
      <c r="D13" s="280">
        <f t="shared" si="0"/>
        <v>1</v>
      </c>
      <c r="E13" s="280">
        <f t="shared" si="0"/>
        <v>1</v>
      </c>
      <c r="F13" s="280">
        <f t="shared" si="0"/>
        <v>1</v>
      </c>
      <c r="G13" s="280">
        <f t="shared" si="0"/>
        <v>1</v>
      </c>
      <c r="H13" s="280">
        <f t="shared" si="0"/>
        <v>1</v>
      </c>
      <c r="I13" s="280">
        <f t="shared" si="0"/>
        <v>1</v>
      </c>
      <c r="J13" s="280">
        <f t="shared" si="0"/>
        <v>1</v>
      </c>
      <c r="K13" s="280">
        <f t="shared" si="0"/>
        <v>0.967741935483871</v>
      </c>
      <c r="L13" s="280">
        <f t="shared" si="0"/>
        <v>1</v>
      </c>
      <c r="M13" s="280">
        <f t="shared" si="0"/>
        <v>1</v>
      </c>
      <c r="N13" s="280">
        <f>N10/N12</f>
        <v>1</v>
      </c>
      <c r="O13" s="280">
        <f>O10/O12</f>
        <v>0.96551724137931039</v>
      </c>
      <c r="P13" s="280">
        <f t="shared" si="0"/>
        <v>1</v>
      </c>
      <c r="Q13" s="280">
        <f t="shared" si="0"/>
        <v>1</v>
      </c>
      <c r="R13" s="280">
        <f t="shared" si="0"/>
        <v>1</v>
      </c>
      <c r="S13" s="280">
        <f t="shared" si="0"/>
        <v>1</v>
      </c>
      <c r="T13" s="280">
        <f t="shared" si="0"/>
        <v>1</v>
      </c>
      <c r="U13" s="280">
        <f t="shared" si="0"/>
        <v>0.97222222222222221</v>
      </c>
      <c r="V13" s="280">
        <f t="shared" si="0"/>
        <v>1</v>
      </c>
      <c r="W13" s="280">
        <f t="shared" si="0"/>
        <v>1</v>
      </c>
      <c r="X13" s="280">
        <f t="shared" si="0"/>
        <v>1</v>
      </c>
      <c r="Y13" s="280">
        <f t="shared" si="0"/>
        <v>1</v>
      </c>
      <c r="Z13" s="280">
        <f t="shared" si="0"/>
        <v>0.94117647058823528</v>
      </c>
      <c r="AA13" s="280">
        <f t="shared" si="0"/>
        <v>1</v>
      </c>
      <c r="AB13" s="280">
        <f t="shared" si="0"/>
        <v>1</v>
      </c>
      <c r="AC13" s="280">
        <f t="shared" si="0"/>
        <v>1</v>
      </c>
      <c r="AD13" s="280">
        <f t="shared" si="0"/>
        <v>1</v>
      </c>
      <c r="AE13" s="280">
        <f t="shared" si="0"/>
        <v>1</v>
      </c>
      <c r="AF13" s="280">
        <f>AF10/AF12</f>
        <v>1</v>
      </c>
      <c r="AG13" s="280">
        <f>AG10/AG12</f>
        <v>1</v>
      </c>
      <c r="AH13" s="280" t="e">
        <f t="shared" si="0"/>
        <v>#DIV/0!</v>
      </c>
      <c r="AI13" s="280" t="e">
        <f t="shared" si="0"/>
        <v>#DIV/0!</v>
      </c>
      <c r="AJ13" s="280" t="e">
        <f t="shared" si="0"/>
        <v>#DIV/0!</v>
      </c>
      <c r="AK13" s="280" t="e">
        <f t="shared" si="0"/>
        <v>#DIV/0!</v>
      </c>
      <c r="AL13" s="280" t="e">
        <f t="shared" si="0"/>
        <v>#DIV/0!</v>
      </c>
      <c r="AM13" s="280" t="e">
        <f t="shared" si="0"/>
        <v>#DIV/0!</v>
      </c>
      <c r="AN13" s="280" t="e">
        <f t="shared" si="0"/>
        <v>#DIV/0!</v>
      </c>
      <c r="AO13" s="280" t="e">
        <f t="shared" si="0"/>
        <v>#DIV/0!</v>
      </c>
      <c r="AP13" s="280" t="e">
        <f t="shared" si="0"/>
        <v>#DIV/0!</v>
      </c>
      <c r="AQ13" s="280" t="e">
        <f t="shared" si="0"/>
        <v>#DIV/0!</v>
      </c>
      <c r="AR13" s="280" t="e">
        <f t="shared" si="0"/>
        <v>#DIV/0!</v>
      </c>
      <c r="AS13" s="280" t="e">
        <f t="shared" si="0"/>
        <v>#DIV/0!</v>
      </c>
      <c r="AT13" s="280" t="e">
        <f t="shared" si="0"/>
        <v>#DIV/0!</v>
      </c>
      <c r="AU13" s="280" t="e">
        <f t="shared" si="0"/>
        <v>#DIV/0!</v>
      </c>
      <c r="AV13" s="280" t="e">
        <f t="shared" si="0"/>
        <v>#DIV/0!</v>
      </c>
      <c r="AW13" s="280" t="e">
        <f t="shared" si="0"/>
        <v>#DIV/0!</v>
      </c>
    </row>
    <row r="14" spans="1:49" x14ac:dyDescent="0.2">
      <c r="A14" s="363" t="s">
        <v>317</v>
      </c>
      <c r="B14" s="364">
        <v>0.9</v>
      </c>
      <c r="C14" s="364">
        <v>0.9</v>
      </c>
      <c r="D14" s="364">
        <v>0.9</v>
      </c>
      <c r="E14" s="364">
        <v>0.9</v>
      </c>
      <c r="F14" s="364">
        <v>0.9</v>
      </c>
      <c r="G14" s="364">
        <v>0.9</v>
      </c>
      <c r="H14" s="364">
        <v>0.9</v>
      </c>
      <c r="I14" s="364">
        <v>0.9</v>
      </c>
      <c r="J14" s="364">
        <v>0.9</v>
      </c>
      <c r="K14" s="364">
        <v>0.9</v>
      </c>
      <c r="L14" s="364">
        <v>0.9</v>
      </c>
      <c r="M14" s="364">
        <v>0.9</v>
      </c>
      <c r="N14" s="364">
        <v>0.9</v>
      </c>
      <c r="O14" s="364">
        <v>0.9</v>
      </c>
      <c r="P14" s="364">
        <v>0.9</v>
      </c>
      <c r="Q14" s="364">
        <v>0.9</v>
      </c>
      <c r="R14" s="364">
        <v>0.9</v>
      </c>
      <c r="S14" s="364">
        <v>0.9</v>
      </c>
      <c r="T14" s="364">
        <v>0.9</v>
      </c>
      <c r="U14" s="364">
        <v>0.9</v>
      </c>
      <c r="V14" s="364">
        <v>0.9</v>
      </c>
      <c r="W14" s="364">
        <v>0.9</v>
      </c>
      <c r="X14" s="364">
        <v>0.9</v>
      </c>
      <c r="Y14" s="364">
        <v>0.9</v>
      </c>
      <c r="Z14" s="364">
        <v>0.9</v>
      </c>
      <c r="AA14" s="364">
        <v>0.9</v>
      </c>
      <c r="AB14" s="364">
        <v>0.9</v>
      </c>
      <c r="AC14" s="364">
        <v>0.9</v>
      </c>
      <c r="AD14" s="364">
        <v>0.9</v>
      </c>
      <c r="AE14" s="364">
        <v>0.9</v>
      </c>
      <c r="AF14" s="364">
        <v>0.9</v>
      </c>
      <c r="AG14" s="364">
        <v>0.9</v>
      </c>
      <c r="AH14" s="364">
        <v>0.9</v>
      </c>
      <c r="AI14" s="364">
        <v>0.9</v>
      </c>
      <c r="AJ14" s="364">
        <v>0.9</v>
      </c>
      <c r="AK14" s="364">
        <v>0.9</v>
      </c>
      <c r="AL14" s="364">
        <v>0.9</v>
      </c>
      <c r="AM14" s="364">
        <v>0.9</v>
      </c>
      <c r="AN14" s="364">
        <v>0.9</v>
      </c>
      <c r="AO14" s="364">
        <v>0.9</v>
      </c>
      <c r="AP14" s="364">
        <v>0.9</v>
      </c>
      <c r="AQ14" s="364">
        <v>0.9</v>
      </c>
      <c r="AR14" s="364">
        <v>0.9</v>
      </c>
      <c r="AS14" s="364">
        <v>0.9</v>
      </c>
      <c r="AT14" s="364">
        <v>0.9</v>
      </c>
      <c r="AU14" s="364">
        <v>0.9</v>
      </c>
      <c r="AV14" s="364">
        <v>0.9</v>
      </c>
      <c r="AW14" s="364">
        <v>0.9</v>
      </c>
    </row>
    <row r="16" spans="1:49" x14ac:dyDescent="0.2">
      <c r="A16" s="127" t="s">
        <v>585</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41" orientation="landscape" copies="1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sheetPr>
  <dimension ref="A1:Q34"/>
  <sheetViews>
    <sheetView workbookViewId="0"/>
  </sheetViews>
  <sheetFormatPr defaultColWidth="9.140625" defaultRowHeight="12.75" x14ac:dyDescent="0.2"/>
  <cols>
    <col min="1" max="1" width="29.7109375" style="107" customWidth="1"/>
    <col min="2" max="2" width="9.85546875" style="107" bestFit="1" customWidth="1"/>
    <col min="3" max="16384" width="9.140625" style="107"/>
  </cols>
  <sheetData>
    <row r="1" spans="1:17" x14ac:dyDescent="0.2">
      <c r="A1" s="283" t="s">
        <v>345</v>
      </c>
    </row>
    <row r="2" spans="1:17" x14ac:dyDescent="0.2">
      <c r="A2" s="106"/>
    </row>
    <row r="3" spans="1:17" x14ac:dyDescent="0.2">
      <c r="A3" s="127" t="s">
        <v>710</v>
      </c>
      <c r="B3" s="343" t="str">
        <f>IF(HLOOKUP(MAX(B7:Q7),A7:Q9,3,0)&gt;HLOOKUP(MAX(B7:Q7),A7:Q9,2,0),"Better", "Worse")</f>
        <v>Worse</v>
      </c>
      <c r="C3" s="112" t="str">
        <f>IF(HLOOKUP(MAX(B7:Q7),A7:Q9,3,0)=HLOOKUP(MAX(B7:Q7),A7:Q9,2,0),"Equal")</f>
        <v>Equal</v>
      </c>
    </row>
    <row r="4" spans="1:17" x14ac:dyDescent="0.2">
      <c r="A4" s="127" t="s">
        <v>144</v>
      </c>
      <c r="B4" s="111">
        <f>MAX(B7:Q7)</f>
        <v>42979</v>
      </c>
    </row>
    <row r="5" spans="1:17" x14ac:dyDescent="0.2">
      <c r="A5" s="127" t="s">
        <v>206</v>
      </c>
      <c r="B5" s="128" t="s">
        <v>224</v>
      </c>
    </row>
    <row r="7" spans="1:17" x14ac:dyDescent="0.2">
      <c r="A7" s="136"/>
      <c r="B7" s="157">
        <v>42156</v>
      </c>
      <c r="C7" s="157">
        <v>42248</v>
      </c>
      <c r="D7" s="157">
        <v>42339</v>
      </c>
      <c r="E7" s="157">
        <v>42430</v>
      </c>
      <c r="F7" s="157">
        <v>42522</v>
      </c>
      <c r="G7" s="157">
        <v>42615</v>
      </c>
      <c r="H7" s="157">
        <v>42705</v>
      </c>
      <c r="I7" s="157">
        <v>42795</v>
      </c>
      <c r="J7" s="597">
        <v>42887</v>
      </c>
      <c r="K7" s="597">
        <v>42979</v>
      </c>
      <c r="L7" s="157"/>
      <c r="M7" s="157"/>
      <c r="N7" s="157"/>
      <c r="O7" s="157"/>
      <c r="P7" s="157"/>
      <c r="Q7" s="157"/>
    </row>
    <row r="8" spans="1:17" x14ac:dyDescent="0.2">
      <c r="A8" s="158" t="s">
        <v>369</v>
      </c>
      <c r="B8" s="159">
        <v>1</v>
      </c>
      <c r="C8" s="159">
        <v>1</v>
      </c>
      <c r="D8" s="159">
        <v>1</v>
      </c>
      <c r="E8" s="160">
        <v>0.997</v>
      </c>
      <c r="F8" s="155">
        <v>0.997</v>
      </c>
      <c r="G8" s="159">
        <v>1</v>
      </c>
      <c r="H8" s="159">
        <v>0.998</v>
      </c>
      <c r="I8" s="159">
        <v>1</v>
      </c>
      <c r="J8" s="159">
        <v>0.99757281553398058</v>
      </c>
      <c r="K8" s="159">
        <v>1</v>
      </c>
      <c r="L8" s="159"/>
      <c r="M8" s="160"/>
      <c r="N8" s="155"/>
      <c r="O8" s="159"/>
      <c r="P8" s="159"/>
      <c r="Q8" s="159"/>
    </row>
    <row r="9" spans="1:17" x14ac:dyDescent="0.2">
      <c r="A9" s="158" t="s">
        <v>370</v>
      </c>
      <c r="B9" s="159">
        <v>1</v>
      </c>
      <c r="C9" s="159">
        <v>1</v>
      </c>
      <c r="D9" s="159">
        <v>1</v>
      </c>
      <c r="E9" s="159">
        <v>0.98899999999999999</v>
      </c>
      <c r="F9" s="159">
        <v>0.98599999999999999</v>
      </c>
      <c r="G9" s="159">
        <v>1</v>
      </c>
      <c r="H9" s="159">
        <v>0.99099999999999999</v>
      </c>
      <c r="I9" s="159">
        <v>1</v>
      </c>
      <c r="J9" s="159">
        <v>0.9850746268656716</v>
      </c>
      <c r="K9" s="159">
        <v>1</v>
      </c>
      <c r="L9" s="159"/>
      <c r="M9" s="159"/>
      <c r="N9" s="159"/>
      <c r="O9" s="159"/>
      <c r="P9" s="159"/>
      <c r="Q9" s="159"/>
    </row>
    <row r="11" spans="1:17" x14ac:dyDescent="0.2">
      <c r="A11" s="145"/>
      <c r="B11" s="145"/>
      <c r="C11" s="145"/>
      <c r="D11" s="145"/>
      <c r="E11" s="282"/>
      <c r="F11" s="155"/>
    </row>
    <row r="12" spans="1:17" x14ac:dyDescent="0.2">
      <c r="E12" s="155"/>
      <c r="F12" s="155"/>
    </row>
    <row r="15" spans="1:17" x14ac:dyDescent="0.2">
      <c r="A15" s="145"/>
      <c r="B15" s="145"/>
      <c r="C15" s="145"/>
      <c r="D15" s="145"/>
      <c r="E15" s="145"/>
      <c r="F15" s="145"/>
      <c r="G15" s="145"/>
      <c r="H15" s="145"/>
      <c r="I15" s="145"/>
      <c r="J15" s="145"/>
      <c r="K15" s="145"/>
    </row>
    <row r="34" spans="15:15" x14ac:dyDescent="0.2">
      <c r="O34"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W60"/>
  <sheetViews>
    <sheetView zoomScaleNormal="100" workbookViewId="0">
      <pane xSplit="1" topLeftCell="B1" activePane="topRight" state="frozen"/>
      <selection pane="topRight"/>
    </sheetView>
  </sheetViews>
  <sheetFormatPr defaultColWidth="9.140625" defaultRowHeight="12.75" x14ac:dyDescent="0.2"/>
  <cols>
    <col min="1" max="1" width="37" style="107" customWidth="1"/>
    <col min="2" max="2" width="10" style="107" customWidth="1"/>
    <col min="3" max="14" width="9.140625" style="107" customWidth="1"/>
    <col min="15" max="16384" width="9.140625" style="107"/>
  </cols>
  <sheetData>
    <row r="1" spans="1:49" x14ac:dyDescent="0.2">
      <c r="A1" s="283" t="s">
        <v>345</v>
      </c>
    </row>
    <row r="2" spans="1:49" x14ac:dyDescent="0.2">
      <c r="A2" s="283"/>
    </row>
    <row r="3" spans="1:49" x14ac:dyDescent="0.2">
      <c r="A3" s="108" t="s">
        <v>436</v>
      </c>
      <c r="B3" s="107" t="s">
        <v>272</v>
      </c>
    </row>
    <row r="4" spans="1:49" x14ac:dyDescent="0.2">
      <c r="A4" s="108" t="s">
        <v>151</v>
      </c>
      <c r="B4" s="126">
        <f>HLOOKUP(MAX(B10:AW10),B10:AW32,23,0)</f>
        <v>0.62038563998477736</v>
      </c>
    </row>
    <row r="5" spans="1:49" x14ac:dyDescent="0.2">
      <c r="A5" s="108" t="s">
        <v>152</v>
      </c>
      <c r="B5" s="139">
        <f>HLOOKUP(MAX(B10:AW10),B10:AW32,13,0)</f>
        <v>23940</v>
      </c>
    </row>
    <row r="6" spans="1:49" x14ac:dyDescent="0.2">
      <c r="A6" s="108" t="s">
        <v>118</v>
      </c>
      <c r="B6" s="128">
        <f>MAX(B10:AW10)</f>
        <v>43070</v>
      </c>
    </row>
    <row r="7" spans="1:49" x14ac:dyDescent="0.2">
      <c r="A7" s="108" t="s">
        <v>195</v>
      </c>
      <c r="B7" s="409" t="s">
        <v>176</v>
      </c>
    </row>
    <row r="8" spans="1:49" x14ac:dyDescent="0.2">
      <c r="A8" s="108" t="s">
        <v>438</v>
      </c>
      <c r="B8" s="162" t="s">
        <v>137</v>
      </c>
    </row>
    <row r="9" spans="1:49" x14ac:dyDescent="0.2">
      <c r="A9" s="108"/>
      <c r="B9" s="162"/>
    </row>
    <row r="10" spans="1:49" x14ac:dyDescent="0.2">
      <c r="A10" s="134" t="s">
        <v>368</v>
      </c>
      <c r="B10" s="268">
        <v>42095</v>
      </c>
      <c r="C10" s="268">
        <v>42125</v>
      </c>
      <c r="D10" s="268">
        <v>42156</v>
      </c>
      <c r="E10" s="268">
        <v>42186</v>
      </c>
      <c r="F10" s="268">
        <v>42217</v>
      </c>
      <c r="G10" s="268">
        <v>42248</v>
      </c>
      <c r="H10" s="268">
        <v>42278</v>
      </c>
      <c r="I10" s="268">
        <v>42309</v>
      </c>
      <c r="J10" s="157">
        <v>42339</v>
      </c>
      <c r="K10" s="157">
        <v>42370</v>
      </c>
      <c r="L10" s="157">
        <v>42401</v>
      </c>
      <c r="M10" s="157">
        <v>42430</v>
      </c>
      <c r="N10" s="157">
        <v>42461</v>
      </c>
      <c r="O10" s="157">
        <v>42491</v>
      </c>
      <c r="P10" s="157">
        <v>42522</v>
      </c>
      <c r="Q10" s="157">
        <v>42552</v>
      </c>
      <c r="R10" s="157">
        <v>42583</v>
      </c>
      <c r="S10" s="157">
        <v>42614</v>
      </c>
      <c r="T10" s="157">
        <v>42644</v>
      </c>
      <c r="U10" s="157">
        <v>42675</v>
      </c>
      <c r="V10" s="157">
        <v>42705</v>
      </c>
      <c r="W10" s="157">
        <v>42736</v>
      </c>
      <c r="X10" s="157">
        <v>42767</v>
      </c>
      <c r="Y10" s="157">
        <v>42795</v>
      </c>
      <c r="Z10" s="157">
        <v>42826</v>
      </c>
      <c r="AA10" s="157">
        <v>42856</v>
      </c>
      <c r="AB10" s="597">
        <v>42887</v>
      </c>
      <c r="AC10" s="597">
        <v>42917</v>
      </c>
      <c r="AD10" s="597">
        <v>42948</v>
      </c>
      <c r="AE10" s="597">
        <v>42979</v>
      </c>
      <c r="AF10" s="597">
        <v>43009</v>
      </c>
      <c r="AG10" s="597">
        <v>43040</v>
      </c>
      <c r="AH10" s="597">
        <v>43070</v>
      </c>
      <c r="AI10" s="157"/>
      <c r="AJ10" s="157"/>
      <c r="AK10" s="157"/>
      <c r="AL10" s="157"/>
      <c r="AM10" s="157"/>
      <c r="AN10" s="157"/>
      <c r="AO10" s="157"/>
      <c r="AP10" s="157"/>
      <c r="AQ10" s="157"/>
      <c r="AR10" s="157"/>
      <c r="AS10" s="157"/>
      <c r="AT10" s="157"/>
      <c r="AU10" s="157"/>
      <c r="AV10" s="157"/>
      <c r="AW10" s="157"/>
    </row>
    <row r="11" spans="1:49" x14ac:dyDescent="0.2">
      <c r="A11" s="284" t="s">
        <v>204</v>
      </c>
      <c r="B11" s="119">
        <v>13</v>
      </c>
      <c r="C11" s="119">
        <v>19</v>
      </c>
      <c r="D11" s="119">
        <v>14</v>
      </c>
      <c r="E11" s="119">
        <v>19</v>
      </c>
      <c r="F11" s="119">
        <v>49</v>
      </c>
      <c r="G11" s="119">
        <v>68</v>
      </c>
      <c r="H11" s="119">
        <v>44</v>
      </c>
      <c r="I11" s="119">
        <v>29</v>
      </c>
      <c r="J11" s="119">
        <v>41</v>
      </c>
      <c r="K11" s="119">
        <v>217</v>
      </c>
      <c r="L11" s="119">
        <v>222</v>
      </c>
      <c r="M11" s="119">
        <v>157</v>
      </c>
      <c r="N11" s="119">
        <v>80</v>
      </c>
      <c r="O11" s="119">
        <v>44</v>
      </c>
      <c r="P11" s="119">
        <v>32</v>
      </c>
      <c r="Q11" s="119">
        <v>213</v>
      </c>
      <c r="R11" s="119">
        <v>1130</v>
      </c>
      <c r="S11" s="285">
        <v>1839</v>
      </c>
      <c r="T11" s="285">
        <v>2425</v>
      </c>
      <c r="U11" s="285">
        <v>2443</v>
      </c>
      <c r="V11" s="285">
        <v>2439</v>
      </c>
      <c r="W11" s="285">
        <v>2249</v>
      </c>
      <c r="X11" s="285">
        <v>1854</v>
      </c>
      <c r="Y11" s="285">
        <v>1723</v>
      </c>
      <c r="Z11" s="285">
        <v>2090</v>
      </c>
      <c r="AA11" s="119">
        <v>2431</v>
      </c>
      <c r="AB11" s="119">
        <v>2843</v>
      </c>
      <c r="AC11" s="119">
        <v>3340</v>
      </c>
      <c r="AD11" s="119">
        <v>4204</v>
      </c>
      <c r="AE11" s="119">
        <v>4917</v>
      </c>
      <c r="AF11" s="119">
        <v>5058</v>
      </c>
      <c r="AG11" s="119">
        <v>4981</v>
      </c>
      <c r="AH11" s="119">
        <v>5231</v>
      </c>
      <c r="AI11" s="119"/>
      <c r="AJ11" s="119"/>
      <c r="AK11" s="119"/>
      <c r="AL11" s="119"/>
      <c r="AM11" s="119"/>
      <c r="AN11" s="119"/>
      <c r="AO11" s="119"/>
      <c r="AP11" s="119"/>
      <c r="AQ11" s="285"/>
      <c r="AR11" s="285"/>
      <c r="AS11" s="285"/>
      <c r="AT11" s="285"/>
      <c r="AU11" s="285"/>
      <c r="AV11" s="285"/>
      <c r="AW11" s="285"/>
    </row>
    <row r="12" spans="1:49" s="186" customFormat="1" x14ac:dyDescent="0.2">
      <c r="A12" s="284" t="s">
        <v>403</v>
      </c>
      <c r="B12" s="286">
        <v>515</v>
      </c>
      <c r="C12" s="286">
        <v>665</v>
      </c>
      <c r="D12" s="286">
        <v>558</v>
      </c>
      <c r="E12" s="286">
        <v>912</v>
      </c>
      <c r="F12" s="286">
        <v>1291</v>
      </c>
      <c r="G12" s="286">
        <v>1623</v>
      </c>
      <c r="H12" s="286">
        <v>1847</v>
      </c>
      <c r="I12" s="286">
        <v>1982</v>
      </c>
      <c r="J12" s="286">
        <v>2165</v>
      </c>
      <c r="K12" s="286">
        <v>2366</v>
      </c>
      <c r="L12" s="286">
        <v>2166</v>
      </c>
      <c r="M12" s="286">
        <v>1916</v>
      </c>
      <c r="N12" s="286">
        <v>2201</v>
      </c>
      <c r="O12" s="286">
        <v>2255</v>
      </c>
      <c r="P12" s="286">
        <v>2321</v>
      </c>
      <c r="Q12" s="286">
        <v>2660</v>
      </c>
      <c r="R12" s="286">
        <v>2927</v>
      </c>
      <c r="S12" s="287">
        <v>2977</v>
      </c>
      <c r="T12" s="287">
        <v>3078</v>
      </c>
      <c r="U12" s="287">
        <v>3176</v>
      </c>
      <c r="V12" s="287">
        <v>3213</v>
      </c>
      <c r="W12" s="287">
        <v>3172</v>
      </c>
      <c r="X12" s="287">
        <v>3071</v>
      </c>
      <c r="Y12" s="287">
        <v>2566</v>
      </c>
      <c r="Z12" s="287">
        <v>2796</v>
      </c>
      <c r="AA12" s="286">
        <v>2823</v>
      </c>
      <c r="AB12" s="286">
        <v>3022</v>
      </c>
      <c r="AC12" s="286">
        <v>3222</v>
      </c>
      <c r="AD12" s="286">
        <v>3586</v>
      </c>
      <c r="AE12" s="286">
        <v>3834</v>
      </c>
      <c r="AF12" s="286">
        <v>3902</v>
      </c>
      <c r="AG12" s="286">
        <v>4078</v>
      </c>
      <c r="AH12" s="286">
        <v>4339</v>
      </c>
      <c r="AI12" s="286"/>
      <c r="AJ12" s="286"/>
      <c r="AK12" s="286"/>
      <c r="AL12" s="286"/>
      <c r="AM12" s="286"/>
      <c r="AN12" s="286"/>
      <c r="AO12" s="286"/>
      <c r="AP12" s="286"/>
      <c r="AQ12" s="287"/>
      <c r="AR12" s="287"/>
      <c r="AS12" s="287"/>
      <c r="AT12" s="287"/>
      <c r="AU12" s="287"/>
      <c r="AV12" s="287"/>
      <c r="AW12" s="287"/>
    </row>
    <row r="13" spans="1:49" s="186" customFormat="1" x14ac:dyDescent="0.2">
      <c r="A13" s="284" t="s">
        <v>402</v>
      </c>
      <c r="B13" s="286">
        <v>477</v>
      </c>
      <c r="C13" s="286">
        <v>671</v>
      </c>
      <c r="D13" s="286">
        <v>902</v>
      </c>
      <c r="E13" s="286">
        <v>1208</v>
      </c>
      <c r="F13" s="286">
        <v>1334</v>
      </c>
      <c r="G13" s="286">
        <v>1360</v>
      </c>
      <c r="H13" s="286">
        <v>1375</v>
      </c>
      <c r="I13" s="286">
        <v>1292</v>
      </c>
      <c r="J13" s="286">
        <v>1439</v>
      </c>
      <c r="K13" s="286">
        <v>1445</v>
      </c>
      <c r="L13" s="286">
        <v>1547</v>
      </c>
      <c r="M13" s="286">
        <v>1617</v>
      </c>
      <c r="N13" s="286">
        <v>1845</v>
      </c>
      <c r="O13" s="286">
        <v>2087</v>
      </c>
      <c r="P13" s="286">
        <v>2327</v>
      </c>
      <c r="Q13" s="286">
        <v>2596</v>
      </c>
      <c r="R13" s="286">
        <v>3112</v>
      </c>
      <c r="S13" s="287">
        <v>3686</v>
      </c>
      <c r="T13" s="287">
        <v>3999</v>
      </c>
      <c r="U13" s="287">
        <v>4360</v>
      </c>
      <c r="V13" s="287">
        <v>4296</v>
      </c>
      <c r="W13" s="287">
        <v>4159</v>
      </c>
      <c r="X13" s="287">
        <v>3875</v>
      </c>
      <c r="Y13" s="287">
        <v>3419</v>
      </c>
      <c r="Z13" s="287">
        <v>3496</v>
      </c>
      <c r="AA13" s="286">
        <v>3745</v>
      </c>
      <c r="AB13" s="286">
        <v>3882</v>
      </c>
      <c r="AC13" s="286">
        <v>4169</v>
      </c>
      <c r="AD13" s="286">
        <v>4001</v>
      </c>
      <c r="AE13" s="286">
        <v>4023</v>
      </c>
      <c r="AF13" s="286">
        <v>3728</v>
      </c>
      <c r="AG13" s="286">
        <v>3275</v>
      </c>
      <c r="AH13" s="286">
        <v>3174</v>
      </c>
      <c r="AI13" s="286"/>
      <c r="AJ13" s="286"/>
      <c r="AK13" s="286"/>
      <c r="AL13" s="286"/>
      <c r="AM13" s="286"/>
      <c r="AN13" s="286"/>
      <c r="AO13" s="286"/>
      <c r="AP13" s="286"/>
      <c r="AQ13" s="287"/>
      <c r="AR13" s="287"/>
      <c r="AS13" s="287"/>
      <c r="AT13" s="287"/>
      <c r="AU13" s="287"/>
      <c r="AV13" s="287"/>
      <c r="AW13" s="287"/>
    </row>
    <row r="14" spans="1:49" s="186" customFormat="1" x14ac:dyDescent="0.2">
      <c r="A14" s="284" t="s">
        <v>407</v>
      </c>
      <c r="B14" s="286">
        <v>336</v>
      </c>
      <c r="C14" s="286">
        <v>378</v>
      </c>
      <c r="D14" s="286">
        <v>326</v>
      </c>
      <c r="E14" s="286">
        <v>475</v>
      </c>
      <c r="F14" s="286">
        <v>395</v>
      </c>
      <c r="G14" s="286">
        <v>412</v>
      </c>
      <c r="H14" s="286">
        <v>335</v>
      </c>
      <c r="I14" s="286">
        <v>212</v>
      </c>
      <c r="J14" s="286">
        <v>157</v>
      </c>
      <c r="K14" s="286">
        <v>192</v>
      </c>
      <c r="L14" s="286">
        <v>188</v>
      </c>
      <c r="M14" s="286">
        <v>121</v>
      </c>
      <c r="N14" s="286">
        <v>189</v>
      </c>
      <c r="O14" s="286">
        <v>224</v>
      </c>
      <c r="P14" s="286">
        <v>216</v>
      </c>
      <c r="Q14" s="286">
        <v>342</v>
      </c>
      <c r="R14" s="286">
        <v>350</v>
      </c>
      <c r="S14" s="287">
        <v>356</v>
      </c>
      <c r="T14" s="287">
        <v>346</v>
      </c>
      <c r="U14" s="287">
        <v>354</v>
      </c>
      <c r="V14" s="287">
        <v>534</v>
      </c>
      <c r="W14" s="287">
        <v>752</v>
      </c>
      <c r="X14" s="287">
        <v>782</v>
      </c>
      <c r="Y14" s="287">
        <v>651</v>
      </c>
      <c r="Z14" s="287">
        <v>960</v>
      </c>
      <c r="AA14" s="286">
        <v>1239</v>
      </c>
      <c r="AB14" s="286">
        <v>1360</v>
      </c>
      <c r="AC14" s="286">
        <v>1505</v>
      </c>
      <c r="AD14" s="286">
        <v>1764</v>
      </c>
      <c r="AE14" s="286">
        <v>1860</v>
      </c>
      <c r="AF14" s="286">
        <v>2162</v>
      </c>
      <c r="AG14" s="286">
        <v>2338</v>
      </c>
      <c r="AH14" s="286">
        <v>2389</v>
      </c>
      <c r="AI14" s="286"/>
      <c r="AJ14" s="286"/>
      <c r="AK14" s="286"/>
      <c r="AL14" s="286"/>
      <c r="AM14" s="286"/>
      <c r="AN14" s="286"/>
      <c r="AO14" s="286"/>
      <c r="AP14" s="286"/>
      <c r="AQ14" s="287"/>
      <c r="AR14" s="287"/>
      <c r="AS14" s="287"/>
      <c r="AT14" s="287"/>
      <c r="AU14" s="287"/>
      <c r="AV14" s="287"/>
      <c r="AW14" s="287"/>
    </row>
    <row r="15" spans="1:49" s="186" customFormat="1" x14ac:dyDescent="0.2">
      <c r="A15" s="284" t="s">
        <v>406</v>
      </c>
      <c r="B15" s="286">
        <v>398</v>
      </c>
      <c r="C15" s="286">
        <v>438</v>
      </c>
      <c r="D15" s="286">
        <v>321</v>
      </c>
      <c r="E15" s="286">
        <v>606</v>
      </c>
      <c r="F15" s="286">
        <v>648</v>
      </c>
      <c r="G15" s="286">
        <v>542</v>
      </c>
      <c r="H15" s="286">
        <v>525</v>
      </c>
      <c r="I15" s="286">
        <v>390</v>
      </c>
      <c r="J15" s="286">
        <v>377</v>
      </c>
      <c r="K15" s="286">
        <v>407</v>
      </c>
      <c r="L15" s="286">
        <v>404</v>
      </c>
      <c r="M15" s="286">
        <v>353</v>
      </c>
      <c r="N15" s="286">
        <v>386</v>
      </c>
      <c r="O15" s="286">
        <v>391</v>
      </c>
      <c r="P15" s="286">
        <v>351</v>
      </c>
      <c r="Q15" s="286">
        <v>326</v>
      </c>
      <c r="R15" s="286">
        <v>471</v>
      </c>
      <c r="S15" s="287">
        <v>669</v>
      </c>
      <c r="T15" s="287">
        <v>744</v>
      </c>
      <c r="U15" s="287">
        <v>551</v>
      </c>
      <c r="V15" s="287">
        <v>462</v>
      </c>
      <c r="W15" s="287">
        <v>604</v>
      </c>
      <c r="X15" s="287">
        <v>657</v>
      </c>
      <c r="Y15" s="287">
        <v>608</v>
      </c>
      <c r="Z15" s="287">
        <v>790</v>
      </c>
      <c r="AA15" s="286">
        <v>1032</v>
      </c>
      <c r="AB15" s="286">
        <v>1277</v>
      </c>
      <c r="AC15" s="286">
        <v>1417</v>
      </c>
      <c r="AD15" s="286">
        <v>1614</v>
      </c>
      <c r="AE15" s="286">
        <v>1868</v>
      </c>
      <c r="AF15" s="286">
        <v>1880</v>
      </c>
      <c r="AG15" s="286">
        <v>2030</v>
      </c>
      <c r="AH15" s="286">
        <v>2164</v>
      </c>
      <c r="AI15" s="286"/>
      <c r="AJ15" s="286"/>
      <c r="AK15" s="286"/>
      <c r="AL15" s="286"/>
      <c r="AM15" s="286"/>
      <c r="AN15" s="286"/>
      <c r="AO15" s="286"/>
      <c r="AP15" s="286"/>
      <c r="AQ15" s="287"/>
      <c r="AR15" s="287"/>
      <c r="AS15" s="287"/>
      <c r="AT15" s="287"/>
      <c r="AU15" s="287"/>
      <c r="AV15" s="287"/>
      <c r="AW15" s="287"/>
    </row>
    <row r="16" spans="1:49" s="186" customFormat="1" x14ac:dyDescent="0.2">
      <c r="A16" s="284" t="s">
        <v>404</v>
      </c>
      <c r="B16" s="286">
        <v>454</v>
      </c>
      <c r="C16" s="286">
        <v>583</v>
      </c>
      <c r="D16" s="286">
        <v>632</v>
      </c>
      <c r="E16" s="286">
        <v>854</v>
      </c>
      <c r="F16" s="286">
        <v>1036</v>
      </c>
      <c r="G16" s="286">
        <v>1141</v>
      </c>
      <c r="H16" s="286">
        <v>1197</v>
      </c>
      <c r="I16" s="286">
        <v>1110</v>
      </c>
      <c r="J16" s="286">
        <v>1120</v>
      </c>
      <c r="K16" s="286">
        <v>1387</v>
      </c>
      <c r="L16" s="286">
        <v>1535</v>
      </c>
      <c r="M16" s="286">
        <v>1375</v>
      </c>
      <c r="N16" s="286">
        <v>1684</v>
      </c>
      <c r="O16" s="286">
        <v>2064</v>
      </c>
      <c r="P16" s="286">
        <v>2042</v>
      </c>
      <c r="Q16" s="286">
        <v>2116</v>
      </c>
      <c r="R16" s="286">
        <v>2196</v>
      </c>
      <c r="S16" s="287">
        <v>2438</v>
      </c>
      <c r="T16" s="287">
        <v>2671</v>
      </c>
      <c r="U16" s="287">
        <v>2773</v>
      </c>
      <c r="V16" s="287">
        <v>2757</v>
      </c>
      <c r="W16" s="287">
        <v>2830</v>
      </c>
      <c r="X16" s="287">
        <v>2891</v>
      </c>
      <c r="Y16" s="287">
        <v>2527</v>
      </c>
      <c r="Z16" s="287">
        <v>2742</v>
      </c>
      <c r="AA16" s="286">
        <v>2799</v>
      </c>
      <c r="AB16" s="286">
        <v>2759</v>
      </c>
      <c r="AC16" s="286">
        <v>2766</v>
      </c>
      <c r="AD16" s="286">
        <v>2770</v>
      </c>
      <c r="AE16" s="286">
        <v>2549</v>
      </c>
      <c r="AF16" s="286">
        <v>2323</v>
      </c>
      <c r="AG16" s="286">
        <v>1988</v>
      </c>
      <c r="AH16" s="286">
        <v>1862</v>
      </c>
      <c r="AI16" s="286"/>
      <c r="AJ16" s="286"/>
      <c r="AK16" s="286"/>
      <c r="AL16" s="286"/>
      <c r="AM16" s="286"/>
      <c r="AN16" s="286"/>
      <c r="AO16" s="286"/>
      <c r="AP16" s="286"/>
      <c r="AQ16" s="287"/>
      <c r="AR16" s="287"/>
      <c r="AS16" s="287"/>
      <c r="AT16" s="287"/>
      <c r="AU16" s="287"/>
      <c r="AV16" s="287"/>
      <c r="AW16" s="287"/>
    </row>
    <row r="17" spans="1:49" s="186" customFormat="1" x14ac:dyDescent="0.2">
      <c r="A17" s="284" t="s">
        <v>405</v>
      </c>
      <c r="B17" s="286">
        <v>431</v>
      </c>
      <c r="C17" s="286">
        <v>504</v>
      </c>
      <c r="D17" s="286">
        <v>541</v>
      </c>
      <c r="E17" s="286">
        <v>872</v>
      </c>
      <c r="F17" s="286">
        <v>1093</v>
      </c>
      <c r="G17" s="286">
        <v>1040</v>
      </c>
      <c r="H17" s="286">
        <v>681</v>
      </c>
      <c r="I17" s="286">
        <v>478</v>
      </c>
      <c r="J17" s="286">
        <v>373</v>
      </c>
      <c r="K17" s="286">
        <v>394</v>
      </c>
      <c r="L17" s="286">
        <v>390</v>
      </c>
      <c r="M17" s="286">
        <v>345</v>
      </c>
      <c r="N17" s="286">
        <v>492</v>
      </c>
      <c r="O17" s="286">
        <v>596</v>
      </c>
      <c r="P17" s="286">
        <v>827</v>
      </c>
      <c r="Q17" s="286">
        <v>921</v>
      </c>
      <c r="R17" s="286">
        <v>1072</v>
      </c>
      <c r="S17" s="287">
        <v>1155</v>
      </c>
      <c r="T17" s="287">
        <v>1239</v>
      </c>
      <c r="U17" s="287">
        <v>1490</v>
      </c>
      <c r="V17" s="287">
        <v>1869</v>
      </c>
      <c r="W17" s="287">
        <v>2113</v>
      </c>
      <c r="X17" s="287">
        <v>1831</v>
      </c>
      <c r="Y17" s="287">
        <v>1413</v>
      </c>
      <c r="Z17" s="287">
        <v>1572</v>
      </c>
      <c r="AA17" s="286">
        <v>1639</v>
      </c>
      <c r="AB17" s="286">
        <v>1586</v>
      </c>
      <c r="AC17" s="286">
        <v>1619</v>
      </c>
      <c r="AD17" s="286">
        <v>1788</v>
      </c>
      <c r="AE17" s="286">
        <v>1782</v>
      </c>
      <c r="AF17" s="286">
        <v>1676</v>
      </c>
      <c r="AG17" s="286">
        <v>1529</v>
      </c>
      <c r="AH17" s="286">
        <v>1792</v>
      </c>
      <c r="AI17" s="286"/>
      <c r="AJ17" s="286"/>
      <c r="AK17" s="286"/>
      <c r="AL17" s="286"/>
      <c r="AM17" s="286"/>
      <c r="AN17" s="286"/>
      <c r="AO17" s="286"/>
      <c r="AP17" s="286"/>
      <c r="AQ17" s="287"/>
      <c r="AR17" s="287"/>
      <c r="AS17" s="287"/>
      <c r="AT17" s="287"/>
      <c r="AU17" s="287"/>
      <c r="AV17" s="287"/>
      <c r="AW17" s="287"/>
    </row>
    <row r="18" spans="1:49" s="186" customFormat="1" x14ac:dyDescent="0.2">
      <c r="A18" s="284" t="s">
        <v>166</v>
      </c>
      <c r="B18" s="286">
        <v>124</v>
      </c>
      <c r="C18" s="286">
        <v>125</v>
      </c>
      <c r="D18" s="286">
        <v>72</v>
      </c>
      <c r="E18" s="286">
        <v>100</v>
      </c>
      <c r="F18" s="286">
        <v>107</v>
      </c>
      <c r="G18" s="286">
        <v>82</v>
      </c>
      <c r="H18" s="286">
        <v>59</v>
      </c>
      <c r="I18" s="286">
        <v>49</v>
      </c>
      <c r="J18" s="286">
        <v>51</v>
      </c>
      <c r="K18" s="286">
        <v>56</v>
      </c>
      <c r="L18" s="286">
        <v>62</v>
      </c>
      <c r="M18" s="286">
        <v>48</v>
      </c>
      <c r="N18" s="286">
        <v>79</v>
      </c>
      <c r="O18" s="286">
        <v>184</v>
      </c>
      <c r="P18" s="286">
        <v>240</v>
      </c>
      <c r="Q18" s="286">
        <v>294</v>
      </c>
      <c r="R18" s="286">
        <v>263</v>
      </c>
      <c r="S18" s="287">
        <v>304</v>
      </c>
      <c r="T18" s="287">
        <v>290</v>
      </c>
      <c r="U18" s="287">
        <v>303</v>
      </c>
      <c r="V18" s="287">
        <v>293</v>
      </c>
      <c r="W18" s="287">
        <v>228</v>
      </c>
      <c r="X18" s="287">
        <v>219</v>
      </c>
      <c r="Y18" s="287">
        <v>192</v>
      </c>
      <c r="Z18" s="287">
        <v>234</v>
      </c>
      <c r="AA18" s="286">
        <v>256</v>
      </c>
      <c r="AB18" s="286">
        <v>351</v>
      </c>
      <c r="AC18" s="286">
        <v>412</v>
      </c>
      <c r="AD18" s="286">
        <v>509</v>
      </c>
      <c r="AE18" s="286">
        <v>566</v>
      </c>
      <c r="AF18" s="286">
        <v>579</v>
      </c>
      <c r="AG18" s="286">
        <v>537</v>
      </c>
      <c r="AH18" s="286">
        <v>570</v>
      </c>
      <c r="AI18" s="286"/>
      <c r="AJ18" s="286"/>
      <c r="AK18" s="286"/>
      <c r="AL18" s="286"/>
      <c r="AM18" s="286"/>
      <c r="AN18" s="286"/>
      <c r="AO18" s="286"/>
      <c r="AP18" s="286"/>
      <c r="AQ18" s="287"/>
      <c r="AR18" s="287"/>
      <c r="AS18" s="287"/>
      <c r="AT18" s="287"/>
      <c r="AU18" s="287"/>
      <c r="AV18" s="287"/>
      <c r="AW18" s="287"/>
    </row>
    <row r="19" spans="1:49" s="186" customFormat="1" x14ac:dyDescent="0.2">
      <c r="A19" s="365" t="s">
        <v>759</v>
      </c>
      <c r="B19" s="286">
        <v>4</v>
      </c>
      <c r="C19" s="286">
        <v>6</v>
      </c>
      <c r="D19" s="286">
        <v>59</v>
      </c>
      <c r="E19" s="286">
        <v>60</v>
      </c>
      <c r="F19" s="286">
        <v>57</v>
      </c>
      <c r="G19" s="286">
        <v>39</v>
      </c>
      <c r="H19" s="286">
        <v>21</v>
      </c>
      <c r="I19" s="286">
        <v>36</v>
      </c>
      <c r="J19" s="286">
        <v>70</v>
      </c>
      <c r="K19" s="286">
        <v>75</v>
      </c>
      <c r="L19" s="286">
        <v>81</v>
      </c>
      <c r="M19" s="286">
        <v>39</v>
      </c>
      <c r="N19" s="286">
        <v>76</v>
      </c>
      <c r="O19" s="286">
        <v>136</v>
      </c>
      <c r="P19" s="286">
        <v>195</v>
      </c>
      <c r="Q19" s="286">
        <v>253</v>
      </c>
      <c r="R19" s="286">
        <v>285</v>
      </c>
      <c r="S19" s="287">
        <v>276</v>
      </c>
      <c r="T19" s="287">
        <v>277</v>
      </c>
      <c r="U19" s="287">
        <v>277</v>
      </c>
      <c r="V19" s="287">
        <v>246</v>
      </c>
      <c r="W19" s="287">
        <v>192</v>
      </c>
      <c r="X19" s="287">
        <v>184</v>
      </c>
      <c r="Y19" s="287">
        <v>189</v>
      </c>
      <c r="Z19" s="287">
        <v>179</v>
      </c>
      <c r="AA19" s="286">
        <v>291</v>
      </c>
      <c r="AB19" s="286">
        <v>240</v>
      </c>
      <c r="AC19" s="286">
        <v>257</v>
      </c>
      <c r="AD19" s="286">
        <v>345</v>
      </c>
      <c r="AE19" s="286">
        <v>389</v>
      </c>
      <c r="AF19" s="286">
        <v>492</v>
      </c>
      <c r="AG19" s="286">
        <v>327</v>
      </c>
      <c r="AH19" s="286">
        <v>373</v>
      </c>
      <c r="AI19" s="286"/>
      <c r="AJ19" s="286"/>
      <c r="AK19" s="286"/>
      <c r="AL19" s="286"/>
      <c r="AM19" s="286"/>
      <c r="AN19" s="286"/>
      <c r="AO19" s="286"/>
      <c r="AP19" s="286"/>
      <c r="AQ19" s="287"/>
      <c r="AR19" s="287"/>
      <c r="AS19" s="287"/>
      <c r="AT19" s="287"/>
      <c r="AU19" s="287"/>
      <c r="AV19" s="287"/>
      <c r="AW19" s="287"/>
    </row>
    <row r="20" spans="1:49" x14ac:dyDescent="0.2">
      <c r="A20" s="284" t="s">
        <v>762</v>
      </c>
      <c r="B20" s="119">
        <v>7</v>
      </c>
      <c r="C20" s="119">
        <v>12</v>
      </c>
      <c r="D20" s="119">
        <v>5</v>
      </c>
      <c r="E20" s="119">
        <v>9</v>
      </c>
      <c r="F20" s="119">
        <v>3</v>
      </c>
      <c r="G20" s="119">
        <v>4</v>
      </c>
      <c r="H20" s="119">
        <v>4</v>
      </c>
      <c r="I20" s="119">
        <v>3</v>
      </c>
      <c r="J20" s="119">
        <v>12</v>
      </c>
      <c r="K20" s="119">
        <v>18</v>
      </c>
      <c r="L20" s="119">
        <v>29</v>
      </c>
      <c r="M20" s="119">
        <v>30</v>
      </c>
      <c r="N20" s="119">
        <v>42</v>
      </c>
      <c r="O20" s="119">
        <v>60</v>
      </c>
      <c r="P20" s="119">
        <v>72</v>
      </c>
      <c r="Q20" s="119">
        <v>118</v>
      </c>
      <c r="R20" s="119">
        <v>142</v>
      </c>
      <c r="S20" s="285">
        <v>127</v>
      </c>
      <c r="T20" s="285">
        <v>140</v>
      </c>
      <c r="U20" s="285">
        <v>148</v>
      </c>
      <c r="V20" s="285">
        <v>164</v>
      </c>
      <c r="W20" s="285">
        <v>183</v>
      </c>
      <c r="X20" s="285">
        <v>206</v>
      </c>
      <c r="Y20" s="285">
        <v>215</v>
      </c>
      <c r="Z20" s="285">
        <v>266</v>
      </c>
      <c r="AA20" s="119">
        <v>261</v>
      </c>
      <c r="AB20" s="119">
        <v>279</v>
      </c>
      <c r="AC20" s="119">
        <v>297</v>
      </c>
      <c r="AD20" s="119">
        <v>404</v>
      </c>
      <c r="AE20" s="119">
        <v>433</v>
      </c>
      <c r="AF20" s="119">
        <v>405</v>
      </c>
      <c r="AG20" s="119">
        <v>393</v>
      </c>
      <c r="AH20" s="119">
        <v>361</v>
      </c>
      <c r="AI20" s="119"/>
      <c r="AJ20" s="119"/>
      <c r="AK20" s="119"/>
      <c r="AL20" s="119"/>
      <c r="AM20" s="119"/>
      <c r="AN20" s="119"/>
      <c r="AO20" s="119"/>
      <c r="AP20" s="119"/>
      <c r="AQ20" s="285"/>
      <c r="AR20" s="285"/>
      <c r="AS20" s="285"/>
      <c r="AT20" s="285"/>
      <c r="AU20" s="285"/>
      <c r="AV20" s="285"/>
      <c r="AW20" s="285"/>
    </row>
    <row r="21" spans="1:49" x14ac:dyDescent="0.2">
      <c r="A21" s="284" t="s">
        <v>408</v>
      </c>
      <c r="B21" s="119">
        <v>708</v>
      </c>
      <c r="C21" s="119">
        <v>860</v>
      </c>
      <c r="D21" s="119">
        <v>762</v>
      </c>
      <c r="E21" s="119">
        <v>972</v>
      </c>
      <c r="F21" s="119">
        <v>920</v>
      </c>
      <c r="G21" s="119">
        <v>1117</v>
      </c>
      <c r="H21" s="119">
        <v>1403</v>
      </c>
      <c r="I21" s="119">
        <v>1198</v>
      </c>
      <c r="J21" s="119">
        <v>1337</v>
      </c>
      <c r="K21" s="119">
        <v>1268</v>
      </c>
      <c r="L21" s="119">
        <v>1362</v>
      </c>
      <c r="M21" s="119">
        <v>1035</v>
      </c>
      <c r="N21" s="119">
        <v>1186</v>
      </c>
      <c r="O21" s="119">
        <v>1363</v>
      </c>
      <c r="P21" s="119">
        <v>1512</v>
      </c>
      <c r="Q21" s="119">
        <v>1872</v>
      </c>
      <c r="R21" s="119">
        <v>2220</v>
      </c>
      <c r="S21" s="285">
        <v>2438</v>
      </c>
      <c r="T21" s="285">
        <v>2681</v>
      </c>
      <c r="U21" s="285">
        <v>2705</v>
      </c>
      <c r="V21" s="285">
        <v>2938</v>
      </c>
      <c r="W21" s="285">
        <v>2534</v>
      </c>
      <c r="X21" s="285">
        <v>2397</v>
      </c>
      <c r="Y21" s="285">
        <v>1984</v>
      </c>
      <c r="Z21" s="285">
        <v>2186</v>
      </c>
      <c r="AA21" s="119">
        <v>2183</v>
      </c>
      <c r="AB21" s="119">
        <v>2174</v>
      </c>
      <c r="AC21" s="119">
        <v>2269</v>
      </c>
      <c r="AD21" s="119">
        <v>2210</v>
      </c>
      <c r="AE21" s="119">
        <v>2183</v>
      </c>
      <c r="AF21" s="119">
        <v>2057</v>
      </c>
      <c r="AG21" s="119">
        <v>1566</v>
      </c>
      <c r="AH21" s="119">
        <v>1685</v>
      </c>
      <c r="AI21" s="119"/>
      <c r="AJ21" s="119"/>
      <c r="AK21" s="119"/>
      <c r="AL21" s="119"/>
      <c r="AM21" s="119"/>
      <c r="AN21" s="119"/>
      <c r="AO21" s="119"/>
      <c r="AP21" s="119"/>
      <c r="AQ21" s="285"/>
      <c r="AR21" s="285"/>
      <c r="AS21" s="285"/>
      <c r="AT21" s="285"/>
      <c r="AU21" s="285"/>
      <c r="AV21" s="285"/>
      <c r="AW21" s="285"/>
    </row>
    <row r="22" spans="1:49" x14ac:dyDescent="0.2">
      <c r="A22" s="271" t="s">
        <v>581</v>
      </c>
      <c r="B22" s="288">
        <v>3467</v>
      </c>
      <c r="C22" s="288">
        <v>4261</v>
      </c>
      <c r="D22" s="288">
        <v>4192</v>
      </c>
      <c r="E22" s="288">
        <v>6087</v>
      </c>
      <c r="F22" s="288">
        <v>6933</v>
      </c>
      <c r="G22" s="288">
        <v>7428</v>
      </c>
      <c r="H22" s="288">
        <v>7491</v>
      </c>
      <c r="I22" s="288">
        <v>6779</v>
      </c>
      <c r="J22" s="289">
        <v>7142</v>
      </c>
      <c r="K22" s="289">
        <v>7825</v>
      </c>
      <c r="L22" s="289">
        <v>7986</v>
      </c>
      <c r="M22" s="289">
        <v>7036</v>
      </c>
      <c r="N22" s="289">
        <v>8260</v>
      </c>
      <c r="O22" s="289">
        <v>9404</v>
      </c>
      <c r="P22" s="289">
        <v>10135</v>
      </c>
      <c r="Q22" s="289">
        <v>11711</v>
      </c>
      <c r="R22" s="289">
        <v>14168</v>
      </c>
      <c r="S22" s="289">
        <v>16265</v>
      </c>
      <c r="T22" s="289">
        <v>17890</v>
      </c>
      <c r="U22" s="289">
        <v>18580</v>
      </c>
      <c r="V22" s="289">
        <v>19211</v>
      </c>
      <c r="W22" s="289">
        <v>19016</v>
      </c>
      <c r="X22" s="289">
        <v>17967</v>
      </c>
      <c r="Y22" s="289">
        <v>15487</v>
      </c>
      <c r="Z22" s="289">
        <v>17311</v>
      </c>
      <c r="AA22" s="288">
        <v>18699</v>
      </c>
      <c r="AB22" s="288">
        <v>19773</v>
      </c>
      <c r="AC22" s="288">
        <v>21273</v>
      </c>
      <c r="AD22" s="288">
        <v>23195</v>
      </c>
      <c r="AE22" s="288">
        <v>24404</v>
      </c>
      <c r="AF22" s="288">
        <v>24262</v>
      </c>
      <c r="AG22" s="288">
        <v>23042</v>
      </c>
      <c r="AH22" s="289">
        <v>23940</v>
      </c>
      <c r="AI22" s="289"/>
      <c r="AJ22" s="289"/>
      <c r="AK22" s="289"/>
      <c r="AL22" s="289"/>
      <c r="AM22" s="289"/>
      <c r="AN22" s="289"/>
      <c r="AO22" s="289"/>
      <c r="AP22" s="289"/>
      <c r="AQ22" s="289"/>
      <c r="AR22" s="289"/>
      <c r="AS22" s="289"/>
      <c r="AT22" s="289"/>
      <c r="AU22" s="289"/>
      <c r="AV22" s="289"/>
      <c r="AW22" s="289"/>
    </row>
    <row r="23" spans="1:49" s="422" customFormat="1" x14ac:dyDescent="0.2">
      <c r="A23" s="425" t="s">
        <v>16</v>
      </c>
      <c r="B23" s="426">
        <v>0</v>
      </c>
      <c r="C23" s="426">
        <v>0</v>
      </c>
      <c r="D23" s="426">
        <v>0</v>
      </c>
      <c r="E23" s="426">
        <v>0</v>
      </c>
      <c r="F23" s="426">
        <v>0</v>
      </c>
      <c r="G23" s="426">
        <v>0</v>
      </c>
      <c r="H23" s="426">
        <v>0</v>
      </c>
      <c r="I23" s="426">
        <v>0</v>
      </c>
      <c r="J23" s="426">
        <v>0</v>
      </c>
      <c r="K23" s="426">
        <v>0</v>
      </c>
      <c r="L23" s="426">
        <v>0</v>
      </c>
      <c r="M23" s="426">
        <v>0</v>
      </c>
      <c r="N23" s="426">
        <v>0</v>
      </c>
      <c r="O23" s="426">
        <v>0</v>
      </c>
      <c r="P23" s="426">
        <v>0</v>
      </c>
      <c r="Q23" s="426">
        <v>0</v>
      </c>
      <c r="R23" s="426">
        <v>0</v>
      </c>
      <c r="S23" s="426">
        <v>0</v>
      </c>
      <c r="T23" s="426">
        <v>0</v>
      </c>
      <c r="U23" s="426">
        <v>0</v>
      </c>
      <c r="V23" s="426">
        <v>0</v>
      </c>
      <c r="W23" s="426">
        <v>0</v>
      </c>
      <c r="X23" s="426">
        <v>0</v>
      </c>
      <c r="Y23" s="426">
        <v>0</v>
      </c>
      <c r="Z23" s="426">
        <v>0</v>
      </c>
      <c r="AA23" s="426">
        <v>0</v>
      </c>
      <c r="AB23" s="426">
        <v>0</v>
      </c>
      <c r="AC23" s="426">
        <v>0</v>
      </c>
      <c r="AD23" s="426">
        <v>0</v>
      </c>
      <c r="AE23" s="426">
        <v>0</v>
      </c>
      <c r="AF23" s="426">
        <v>0</v>
      </c>
      <c r="AG23" s="426">
        <v>0</v>
      </c>
      <c r="AH23" s="426">
        <v>0</v>
      </c>
      <c r="AI23" s="426">
        <v>0</v>
      </c>
      <c r="AJ23" s="426">
        <v>0</v>
      </c>
      <c r="AK23" s="426">
        <v>0</v>
      </c>
      <c r="AL23" s="426">
        <v>0</v>
      </c>
      <c r="AM23" s="426">
        <v>0</v>
      </c>
      <c r="AN23" s="426">
        <v>0</v>
      </c>
      <c r="AO23" s="426">
        <v>0</v>
      </c>
      <c r="AP23" s="426">
        <v>0</v>
      </c>
      <c r="AQ23" s="426">
        <v>0</v>
      </c>
      <c r="AR23" s="426">
        <v>0</v>
      </c>
      <c r="AS23" s="426">
        <v>0</v>
      </c>
      <c r="AT23" s="426">
        <v>0</v>
      </c>
      <c r="AU23" s="426">
        <v>0</v>
      </c>
      <c r="AV23" s="426">
        <v>0</v>
      </c>
      <c r="AW23" s="426">
        <v>0</v>
      </c>
    </row>
    <row r="24" spans="1:49" x14ac:dyDescent="0.2">
      <c r="A24" s="89"/>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row>
    <row r="25" spans="1:49" x14ac:dyDescent="0.2">
      <c r="A25" s="229"/>
      <c r="B25" s="163">
        <v>42095</v>
      </c>
      <c r="C25" s="163">
        <v>42125</v>
      </c>
      <c r="D25" s="163">
        <v>42156</v>
      </c>
      <c r="E25" s="163">
        <v>42186</v>
      </c>
      <c r="F25" s="163">
        <v>42217</v>
      </c>
      <c r="G25" s="163">
        <v>42248</v>
      </c>
      <c r="H25" s="163">
        <v>42278</v>
      </c>
      <c r="I25" s="164">
        <v>42309</v>
      </c>
      <c r="J25" s="164">
        <v>42339</v>
      </c>
      <c r="K25" s="164">
        <v>42370</v>
      </c>
      <c r="L25" s="164">
        <v>42401</v>
      </c>
      <c r="M25" s="164">
        <v>42430</v>
      </c>
      <c r="N25" s="164">
        <v>42461</v>
      </c>
      <c r="O25" s="164">
        <v>42491</v>
      </c>
      <c r="P25" s="164">
        <v>42522</v>
      </c>
      <c r="Q25" s="164">
        <v>42552</v>
      </c>
      <c r="R25" s="157">
        <v>42583</v>
      </c>
      <c r="S25" s="164">
        <v>42614</v>
      </c>
      <c r="T25" s="164">
        <v>42644</v>
      </c>
      <c r="U25" s="164">
        <v>42675</v>
      </c>
      <c r="V25" s="164">
        <v>42705</v>
      </c>
      <c r="W25" s="164">
        <v>42736</v>
      </c>
      <c r="X25" s="164">
        <v>42767</v>
      </c>
      <c r="Y25" s="157">
        <v>42795</v>
      </c>
      <c r="Z25" s="164">
        <v>42826</v>
      </c>
      <c r="AA25" s="157">
        <v>42856</v>
      </c>
      <c r="AB25" s="597">
        <v>42887</v>
      </c>
      <c r="AC25" s="597">
        <v>42917</v>
      </c>
      <c r="AD25" s="597">
        <v>42948</v>
      </c>
      <c r="AE25" s="597">
        <v>42979</v>
      </c>
      <c r="AF25" s="597">
        <v>43009</v>
      </c>
      <c r="AG25" s="597">
        <v>43040</v>
      </c>
      <c r="AH25" s="597">
        <v>43070</v>
      </c>
      <c r="AI25" s="164"/>
      <c r="AJ25" s="164"/>
      <c r="AK25" s="164"/>
      <c r="AL25" s="164"/>
      <c r="AM25" s="164"/>
      <c r="AN25" s="164"/>
      <c r="AO25" s="164"/>
      <c r="AP25" s="157"/>
      <c r="AQ25" s="164"/>
      <c r="AR25" s="164"/>
      <c r="AS25" s="164"/>
      <c r="AT25" s="164"/>
      <c r="AU25" s="164"/>
      <c r="AV25" s="164"/>
      <c r="AW25" s="157"/>
    </row>
    <row r="26" spans="1:49" x14ac:dyDescent="0.2">
      <c r="A26" s="229" t="s">
        <v>409</v>
      </c>
      <c r="B26" s="119">
        <v>46547</v>
      </c>
      <c r="C26" s="119">
        <v>48672</v>
      </c>
      <c r="D26" s="119">
        <v>50243</v>
      </c>
      <c r="E26" s="119">
        <v>53046</v>
      </c>
      <c r="F26" s="119">
        <v>52040</v>
      </c>
      <c r="G26" s="119">
        <v>50788</v>
      </c>
      <c r="H26" s="119">
        <v>50850</v>
      </c>
      <c r="I26" s="269">
        <v>48845</v>
      </c>
      <c r="J26" s="269">
        <v>47999</v>
      </c>
      <c r="K26" s="269">
        <v>47199</v>
      </c>
      <c r="L26" s="269">
        <v>48434</v>
      </c>
      <c r="M26" s="269">
        <v>48681</v>
      </c>
      <c r="N26" s="269">
        <v>51574</v>
      </c>
      <c r="O26" s="269">
        <v>52886</v>
      </c>
      <c r="P26" s="269">
        <v>54777</v>
      </c>
      <c r="Q26" s="269">
        <v>57280</v>
      </c>
      <c r="R26" s="269">
        <v>58481</v>
      </c>
      <c r="S26" s="269">
        <v>59696</v>
      </c>
      <c r="T26" s="269">
        <v>60854</v>
      </c>
      <c r="U26" s="269">
        <v>60339</v>
      </c>
      <c r="V26" s="269">
        <v>59377</v>
      </c>
      <c r="W26" s="269">
        <v>57907</v>
      </c>
      <c r="X26" s="269">
        <v>56911</v>
      </c>
      <c r="Y26" s="269">
        <v>56796</v>
      </c>
      <c r="Z26" s="269">
        <v>59076</v>
      </c>
      <c r="AA26" s="119">
        <v>60675</v>
      </c>
      <c r="AB26" s="119">
        <f>+SUM(AB27:AB28)</f>
        <v>62726</v>
      </c>
      <c r="AC26" s="119">
        <v>64826</v>
      </c>
      <c r="AD26" s="119">
        <v>65362</v>
      </c>
      <c r="AE26" s="119">
        <v>66479</v>
      </c>
      <c r="AF26" s="119">
        <v>65541</v>
      </c>
      <c r="AG26" s="269">
        <v>63878</v>
      </c>
      <c r="AH26" s="269">
        <v>63064</v>
      </c>
      <c r="AI26" s="269"/>
      <c r="AJ26" s="269"/>
      <c r="AK26" s="269"/>
      <c r="AL26" s="269"/>
      <c r="AM26" s="269"/>
      <c r="AN26" s="269"/>
      <c r="AO26" s="269"/>
      <c r="AP26" s="269"/>
      <c r="AQ26" s="269"/>
      <c r="AR26" s="269"/>
      <c r="AS26" s="269"/>
      <c r="AT26" s="269"/>
      <c r="AU26" s="269"/>
      <c r="AV26" s="269"/>
      <c r="AW26" s="269"/>
    </row>
    <row r="27" spans="1:49" x14ac:dyDescent="0.2">
      <c r="A27" s="229" t="s">
        <v>398</v>
      </c>
      <c r="B27" s="119">
        <v>45843</v>
      </c>
      <c r="C27" s="119">
        <v>47951</v>
      </c>
      <c r="D27" s="119">
        <v>49004</v>
      </c>
      <c r="E27" s="119">
        <v>51930</v>
      </c>
      <c r="F27" s="119">
        <v>50867</v>
      </c>
      <c r="G27" s="119">
        <v>49746</v>
      </c>
      <c r="H27" s="119">
        <v>50011</v>
      </c>
      <c r="I27" s="269">
        <v>47890</v>
      </c>
      <c r="J27" s="269">
        <v>46516</v>
      </c>
      <c r="K27" s="269">
        <v>46319</v>
      </c>
      <c r="L27" s="269">
        <v>47485</v>
      </c>
      <c r="M27" s="269">
        <v>47874</v>
      </c>
      <c r="N27" s="269">
        <v>50912</v>
      </c>
      <c r="O27" s="269">
        <v>51652</v>
      </c>
      <c r="P27" s="269">
        <v>53490</v>
      </c>
      <c r="Q27" s="269">
        <v>56083</v>
      </c>
      <c r="R27" s="269">
        <v>57414</v>
      </c>
      <c r="S27" s="269">
        <v>58721</v>
      </c>
      <c r="T27" s="269">
        <v>59783</v>
      </c>
      <c r="U27" s="269">
        <v>59268</v>
      </c>
      <c r="V27" s="269">
        <v>58154</v>
      </c>
      <c r="W27" s="269">
        <v>56692</v>
      </c>
      <c r="X27" s="269">
        <v>55608</v>
      </c>
      <c r="Y27" s="269">
        <v>55634</v>
      </c>
      <c r="Z27" s="269">
        <v>58384</v>
      </c>
      <c r="AA27" s="119">
        <v>59781</v>
      </c>
      <c r="AB27" s="119">
        <v>61634</v>
      </c>
      <c r="AC27" s="119">
        <v>63520</v>
      </c>
      <c r="AD27" s="119">
        <v>64134</v>
      </c>
      <c r="AE27" s="119">
        <v>65411</v>
      </c>
      <c r="AF27" s="119">
        <v>64698</v>
      </c>
      <c r="AG27" s="269">
        <v>62998</v>
      </c>
      <c r="AH27" s="269">
        <v>61984</v>
      </c>
      <c r="AI27" s="269"/>
      <c r="AJ27" s="269"/>
      <c r="AK27" s="269"/>
      <c r="AL27" s="269"/>
      <c r="AM27" s="269"/>
      <c r="AN27" s="269"/>
      <c r="AO27" s="269"/>
      <c r="AP27" s="269"/>
      <c r="AQ27" s="269"/>
      <c r="AR27" s="269"/>
      <c r="AS27" s="269"/>
      <c r="AT27" s="269"/>
      <c r="AU27" s="269"/>
      <c r="AV27" s="269"/>
      <c r="AW27" s="269"/>
    </row>
    <row r="28" spans="1:49" x14ac:dyDescent="0.2">
      <c r="A28" s="229" t="s">
        <v>399</v>
      </c>
      <c r="B28" s="226">
        <v>704</v>
      </c>
      <c r="C28" s="226">
        <v>721</v>
      </c>
      <c r="D28" s="119">
        <v>1239</v>
      </c>
      <c r="E28" s="119">
        <v>1116</v>
      </c>
      <c r="F28" s="119">
        <v>1173</v>
      </c>
      <c r="G28" s="119">
        <v>1042</v>
      </c>
      <c r="H28" s="226">
        <v>839</v>
      </c>
      <c r="I28" s="227">
        <v>955</v>
      </c>
      <c r="J28" s="269">
        <v>1483</v>
      </c>
      <c r="K28" s="227">
        <v>880</v>
      </c>
      <c r="L28" s="227">
        <v>949</v>
      </c>
      <c r="M28" s="227">
        <v>807</v>
      </c>
      <c r="N28" s="227">
        <v>662</v>
      </c>
      <c r="O28" s="269">
        <v>1234</v>
      </c>
      <c r="P28" s="269">
        <v>1287</v>
      </c>
      <c r="Q28" s="269">
        <v>1197</v>
      </c>
      <c r="R28" s="269">
        <v>1067</v>
      </c>
      <c r="S28" s="269">
        <v>975</v>
      </c>
      <c r="T28" s="269">
        <v>1071</v>
      </c>
      <c r="U28" s="269">
        <v>1071</v>
      </c>
      <c r="V28" s="269">
        <v>1223</v>
      </c>
      <c r="W28" s="269">
        <v>1215</v>
      </c>
      <c r="X28" s="269">
        <v>1303</v>
      </c>
      <c r="Y28" s="269">
        <v>1162</v>
      </c>
      <c r="Z28" s="269">
        <v>692</v>
      </c>
      <c r="AA28" s="226">
        <v>894</v>
      </c>
      <c r="AB28" s="119">
        <v>1092</v>
      </c>
      <c r="AC28" s="119">
        <v>1306</v>
      </c>
      <c r="AD28" s="119">
        <v>1228</v>
      </c>
      <c r="AE28" s="119">
        <v>1068</v>
      </c>
      <c r="AF28" s="226">
        <v>843</v>
      </c>
      <c r="AG28" s="227">
        <v>880</v>
      </c>
      <c r="AH28" s="269">
        <v>1080</v>
      </c>
      <c r="AI28" s="227"/>
      <c r="AJ28" s="227"/>
      <c r="AK28" s="227"/>
      <c r="AL28" s="227"/>
      <c r="AM28" s="269"/>
      <c r="AN28" s="269"/>
      <c r="AO28" s="269"/>
      <c r="AP28" s="269"/>
      <c r="AQ28" s="269"/>
      <c r="AR28" s="269"/>
      <c r="AS28" s="269"/>
      <c r="AT28" s="269"/>
      <c r="AU28" s="269"/>
      <c r="AV28" s="269"/>
      <c r="AW28" s="269"/>
    </row>
    <row r="29" spans="1:49" x14ac:dyDescent="0.2">
      <c r="A29" s="229" t="s">
        <v>410</v>
      </c>
      <c r="B29" s="237">
        <f t="shared" ref="B29:Q29" si="0">+B28/B26</f>
        <v>1.512449781940834E-2</v>
      </c>
      <c r="C29" s="237">
        <f t="shared" si="0"/>
        <v>1.4813445101906641E-2</v>
      </c>
      <c r="D29" s="237">
        <f t="shared" si="0"/>
        <v>2.4660151662918219E-2</v>
      </c>
      <c r="E29" s="237">
        <f t="shared" si="0"/>
        <v>2.1038344078724125E-2</v>
      </c>
      <c r="F29" s="237">
        <f t="shared" si="0"/>
        <v>2.2540353574173711E-2</v>
      </c>
      <c r="G29" s="237">
        <f t="shared" si="0"/>
        <v>2.0516657478144445E-2</v>
      </c>
      <c r="H29" s="237">
        <f t="shared" si="0"/>
        <v>1.6499508357915436E-2</v>
      </c>
      <c r="I29" s="237">
        <f t="shared" si="0"/>
        <v>1.9551642952195723E-2</v>
      </c>
      <c r="J29" s="237">
        <f t="shared" si="0"/>
        <v>3.0896477009937705E-2</v>
      </c>
      <c r="K29" s="237">
        <f t="shared" si="0"/>
        <v>1.864446280641539E-2</v>
      </c>
      <c r="L29" s="237">
        <f t="shared" si="0"/>
        <v>1.9593673865466409E-2</v>
      </c>
      <c r="M29" s="237">
        <f t="shared" si="0"/>
        <v>1.6577309422567327E-2</v>
      </c>
      <c r="N29" s="237">
        <f t="shared" si="0"/>
        <v>1.2835925078527941E-2</v>
      </c>
      <c r="O29" s="237">
        <f t="shared" si="0"/>
        <v>2.3333207276027682E-2</v>
      </c>
      <c r="P29" s="237">
        <f t="shared" si="0"/>
        <v>2.3495262610219617E-2</v>
      </c>
      <c r="Q29" s="237">
        <f t="shared" si="0"/>
        <v>2.0897346368715083E-2</v>
      </c>
      <c r="R29" s="237">
        <f t="shared" ref="R29:AH29" si="1">+R28/R26</f>
        <v>1.8245242044424684E-2</v>
      </c>
      <c r="S29" s="237">
        <f t="shared" si="1"/>
        <v>1.6332752613240419E-2</v>
      </c>
      <c r="T29" s="237">
        <f t="shared" si="1"/>
        <v>1.7599500443684885E-2</v>
      </c>
      <c r="U29" s="237">
        <f t="shared" si="1"/>
        <v>1.7749714115248845E-2</v>
      </c>
      <c r="V29" s="237">
        <f t="shared" si="1"/>
        <v>2.0597200936389511E-2</v>
      </c>
      <c r="W29" s="237">
        <f t="shared" si="1"/>
        <v>2.0981919284369765E-2</v>
      </c>
      <c r="X29" s="237">
        <f t="shared" si="1"/>
        <v>2.2895398077700267E-2</v>
      </c>
      <c r="Y29" s="237">
        <f t="shared" si="1"/>
        <v>2.0459187266708923E-2</v>
      </c>
      <c r="Z29" s="237">
        <f t="shared" si="1"/>
        <v>1.1713724693615004E-2</v>
      </c>
      <c r="AA29" s="237">
        <f t="shared" si="1"/>
        <v>1.4734239802224968E-2</v>
      </c>
      <c r="AB29" s="237">
        <f t="shared" si="1"/>
        <v>1.7409048879252622E-2</v>
      </c>
      <c r="AC29" s="237">
        <f t="shared" si="1"/>
        <v>2.014623762070774E-2</v>
      </c>
      <c r="AD29" s="237">
        <f t="shared" si="1"/>
        <v>1.8787674795752884E-2</v>
      </c>
      <c r="AE29" s="237">
        <f t="shared" si="1"/>
        <v>1.6065223604446517E-2</v>
      </c>
      <c r="AF29" s="237">
        <f t="shared" si="1"/>
        <v>1.2862177873392227E-2</v>
      </c>
      <c r="AG29" s="237">
        <f>+AG28/AG26</f>
        <v>1.3776260997526536E-2</v>
      </c>
      <c r="AH29" s="237">
        <f t="shared" si="1"/>
        <v>1.7125459850310797E-2</v>
      </c>
      <c r="AI29" s="237"/>
      <c r="AJ29" s="237"/>
      <c r="AK29" s="237"/>
      <c r="AL29" s="237"/>
      <c r="AM29" s="237"/>
      <c r="AN29" s="237"/>
      <c r="AO29" s="237"/>
      <c r="AP29" s="237"/>
      <c r="AQ29" s="237"/>
      <c r="AR29" s="237"/>
      <c r="AS29" s="237"/>
      <c r="AT29" s="237"/>
      <c r="AU29" s="237"/>
      <c r="AV29" s="237"/>
      <c r="AW29" s="237"/>
    </row>
    <row r="30" spans="1:49" x14ac:dyDescent="0.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row>
    <row r="31" spans="1:49" x14ac:dyDescent="0.2">
      <c r="A31" s="190"/>
      <c r="B31" s="163">
        <v>42095</v>
      </c>
      <c r="C31" s="163">
        <v>42125</v>
      </c>
      <c r="D31" s="163">
        <v>42156</v>
      </c>
      <c r="E31" s="163">
        <v>42186</v>
      </c>
      <c r="F31" s="163">
        <v>42217</v>
      </c>
      <c r="G31" s="163">
        <v>42248</v>
      </c>
      <c r="H31" s="163">
        <v>42278</v>
      </c>
      <c r="I31" s="163">
        <v>42309</v>
      </c>
      <c r="J31" s="163">
        <v>42339</v>
      </c>
      <c r="K31" s="163">
        <v>42370</v>
      </c>
      <c r="L31" s="163">
        <v>42401</v>
      </c>
      <c r="M31" s="163">
        <v>42430</v>
      </c>
      <c r="N31" s="163">
        <v>42461</v>
      </c>
      <c r="O31" s="163">
        <v>42491</v>
      </c>
      <c r="P31" s="163">
        <v>42522</v>
      </c>
      <c r="Q31" s="163">
        <v>42552</v>
      </c>
      <c r="R31" s="163">
        <v>42583</v>
      </c>
      <c r="S31" s="163">
        <v>42614</v>
      </c>
      <c r="T31" s="163">
        <v>42644</v>
      </c>
      <c r="U31" s="164">
        <v>42675</v>
      </c>
      <c r="V31" s="163">
        <v>42705</v>
      </c>
      <c r="W31" s="164">
        <v>42736</v>
      </c>
      <c r="X31" s="163">
        <v>42767</v>
      </c>
      <c r="Y31" s="157">
        <v>42795</v>
      </c>
      <c r="Z31" s="163">
        <v>42826</v>
      </c>
      <c r="AA31" s="157">
        <v>42856</v>
      </c>
      <c r="AB31" s="597">
        <v>42887</v>
      </c>
      <c r="AC31" s="597">
        <v>42917</v>
      </c>
      <c r="AD31" s="597">
        <v>42948</v>
      </c>
      <c r="AE31" s="597">
        <v>42979</v>
      </c>
      <c r="AF31" s="597">
        <v>43009</v>
      </c>
      <c r="AG31" s="597">
        <v>43040</v>
      </c>
      <c r="AH31" s="597">
        <v>43070</v>
      </c>
      <c r="AI31" s="163"/>
      <c r="AJ31" s="163"/>
      <c r="AK31" s="163"/>
      <c r="AL31" s="163"/>
      <c r="AM31" s="163"/>
      <c r="AN31" s="163"/>
      <c r="AO31" s="163"/>
      <c r="AP31" s="163"/>
      <c r="AQ31" s="163"/>
      <c r="AR31" s="163"/>
      <c r="AS31" s="164"/>
      <c r="AT31" s="163"/>
      <c r="AU31" s="164"/>
      <c r="AV31" s="163"/>
      <c r="AW31" s="157"/>
    </row>
    <row r="32" spans="1:49" ht="25.5" x14ac:dyDescent="0.2">
      <c r="A32" s="551" t="s">
        <v>499</v>
      </c>
      <c r="B32" s="116">
        <f>1-B22/B26</f>
        <v>0.92551614497174894</v>
      </c>
      <c r="C32" s="116">
        <f t="shared" ref="C32:AF32" si="2">1-C22/C26</f>
        <v>0.91245479947403019</v>
      </c>
      <c r="D32" s="116">
        <f t="shared" si="2"/>
        <v>0.91656549171028801</v>
      </c>
      <c r="E32" s="116">
        <f t="shared" si="2"/>
        <v>0.88525053726953962</v>
      </c>
      <c r="F32" s="116">
        <f t="shared" si="2"/>
        <v>0.8667755572636433</v>
      </c>
      <c r="G32" s="116">
        <f t="shared" si="2"/>
        <v>0.85374497912892811</v>
      </c>
      <c r="H32" s="116">
        <f t="shared" si="2"/>
        <v>0.85268436578171092</v>
      </c>
      <c r="I32" s="116">
        <f t="shared" si="2"/>
        <v>0.86121404442624627</v>
      </c>
      <c r="J32" s="116">
        <f t="shared" si="2"/>
        <v>0.85120523344236343</v>
      </c>
      <c r="K32" s="116">
        <f t="shared" si="2"/>
        <v>0.83421258924977226</v>
      </c>
      <c r="L32" s="116">
        <f t="shared" si="2"/>
        <v>0.83511582772432591</v>
      </c>
      <c r="M32" s="116">
        <f t="shared" si="2"/>
        <v>0.855467225406216</v>
      </c>
      <c r="N32" s="116">
        <f t="shared" si="2"/>
        <v>0.83984178074223448</v>
      </c>
      <c r="O32" s="116">
        <f t="shared" si="2"/>
        <v>0.82218356464848918</v>
      </c>
      <c r="P32" s="116">
        <f t="shared" si="2"/>
        <v>0.81497708892418352</v>
      </c>
      <c r="Q32" s="116">
        <f t="shared" si="2"/>
        <v>0.79554818435754193</v>
      </c>
      <c r="R32" s="116">
        <f t="shared" si="2"/>
        <v>0.75773328089464953</v>
      </c>
      <c r="S32" s="116">
        <f t="shared" si="2"/>
        <v>0.72753618332886627</v>
      </c>
      <c r="T32" s="116">
        <f t="shared" si="2"/>
        <v>0.70601768166431134</v>
      </c>
      <c r="U32" s="116">
        <f t="shared" si="2"/>
        <v>0.69207312020417966</v>
      </c>
      <c r="V32" s="116">
        <f t="shared" si="2"/>
        <v>0.67645721407278914</v>
      </c>
      <c r="W32" s="116">
        <f t="shared" si="2"/>
        <v>0.67161137686290084</v>
      </c>
      <c r="X32" s="116">
        <f t="shared" si="2"/>
        <v>0.68429653318339168</v>
      </c>
      <c r="Y32" s="116">
        <f t="shared" si="2"/>
        <v>0.72732234664412987</v>
      </c>
      <c r="Z32" s="116">
        <f t="shared" si="2"/>
        <v>0.70697068183357037</v>
      </c>
      <c r="AA32" s="116">
        <f t="shared" si="2"/>
        <v>0.69181705809641536</v>
      </c>
      <c r="AB32" s="116">
        <f t="shared" si="2"/>
        <v>0.68477186493639008</v>
      </c>
      <c r="AC32" s="116">
        <f t="shared" si="2"/>
        <v>0.67184463024095264</v>
      </c>
      <c r="AD32" s="116">
        <f t="shared" si="2"/>
        <v>0.64513019797435822</v>
      </c>
      <c r="AE32" s="116">
        <f t="shared" si="2"/>
        <v>0.63290663216955734</v>
      </c>
      <c r="AF32" s="116">
        <f t="shared" si="2"/>
        <v>0.62981950229627248</v>
      </c>
      <c r="AG32" s="116">
        <f>1-AG22/AG26</f>
        <v>0.63928112965340178</v>
      </c>
      <c r="AH32" s="116">
        <f>1-AH22/AH26</f>
        <v>0.62038563998477736</v>
      </c>
      <c r="AI32" s="116"/>
      <c r="AJ32" s="116"/>
      <c r="AK32" s="116"/>
      <c r="AL32" s="116"/>
      <c r="AM32" s="116"/>
      <c r="AN32" s="116"/>
      <c r="AO32" s="116"/>
      <c r="AP32" s="116"/>
      <c r="AQ32" s="116"/>
      <c r="AR32" s="116"/>
      <c r="AS32" s="116"/>
      <c r="AT32" s="116"/>
      <c r="AU32" s="116"/>
      <c r="AV32" s="116"/>
      <c r="AW32" s="116"/>
    </row>
    <row r="33" spans="1:49" x14ac:dyDescent="0.2">
      <c r="A33" s="190" t="s">
        <v>15</v>
      </c>
      <c r="B33" s="120">
        <v>0.95</v>
      </c>
      <c r="C33" s="120">
        <v>0.95</v>
      </c>
      <c r="D33" s="120">
        <v>0.95</v>
      </c>
      <c r="E33" s="120">
        <v>0.95</v>
      </c>
      <c r="F33" s="120">
        <v>0.95</v>
      </c>
      <c r="G33" s="120">
        <v>0.95</v>
      </c>
      <c r="H33" s="120">
        <v>0.95</v>
      </c>
      <c r="I33" s="120">
        <v>0.95</v>
      </c>
      <c r="J33" s="120">
        <v>0.95</v>
      </c>
      <c r="K33" s="120">
        <v>0.95</v>
      </c>
      <c r="L33" s="120">
        <v>0.95</v>
      </c>
      <c r="M33" s="120">
        <v>0.95</v>
      </c>
      <c r="N33" s="120">
        <v>0.95</v>
      </c>
      <c r="O33" s="120">
        <v>0.95</v>
      </c>
      <c r="P33" s="120">
        <v>0.95</v>
      </c>
      <c r="Q33" s="120">
        <v>0.95</v>
      </c>
      <c r="R33" s="120">
        <v>0.95</v>
      </c>
      <c r="S33" s="120">
        <v>0.95</v>
      </c>
      <c r="T33" s="120">
        <v>0.95</v>
      </c>
      <c r="U33" s="120">
        <v>0.95</v>
      </c>
      <c r="V33" s="120">
        <v>0.95</v>
      </c>
      <c r="W33" s="120">
        <v>0.95</v>
      </c>
      <c r="X33" s="120">
        <v>0.95</v>
      </c>
      <c r="Y33" s="120">
        <v>0.95</v>
      </c>
      <c r="Z33" s="120">
        <v>0.95</v>
      </c>
      <c r="AA33" s="120">
        <v>0.95</v>
      </c>
      <c r="AB33" s="120">
        <v>0.95</v>
      </c>
      <c r="AC33" s="120">
        <v>0.95</v>
      </c>
      <c r="AD33" s="120">
        <v>0.95</v>
      </c>
      <c r="AE33" s="120">
        <v>0.95</v>
      </c>
      <c r="AF33" s="120">
        <v>0.95</v>
      </c>
      <c r="AG33" s="120">
        <v>0.95</v>
      </c>
      <c r="AH33" s="120">
        <v>0.95</v>
      </c>
      <c r="AI33" s="120">
        <v>0.95</v>
      </c>
      <c r="AJ33" s="120">
        <v>0.95</v>
      </c>
      <c r="AK33" s="120">
        <v>0.95</v>
      </c>
      <c r="AL33" s="120">
        <v>0.95</v>
      </c>
      <c r="AM33" s="120">
        <v>0.95</v>
      </c>
      <c r="AN33" s="120">
        <v>0.95</v>
      </c>
      <c r="AO33" s="120">
        <v>0.95</v>
      </c>
      <c r="AP33" s="120">
        <v>0.95</v>
      </c>
      <c r="AQ33" s="120">
        <v>0.95</v>
      </c>
      <c r="AR33" s="120">
        <v>0.95</v>
      </c>
      <c r="AS33" s="120">
        <v>0.95</v>
      </c>
      <c r="AT33" s="120">
        <v>0.95</v>
      </c>
      <c r="AU33" s="120">
        <v>0.95</v>
      </c>
      <c r="AV33" s="120">
        <v>0.95</v>
      </c>
      <c r="AW33" s="120">
        <v>0.95</v>
      </c>
    </row>
    <row r="35" spans="1:49" x14ac:dyDescent="0.2">
      <c r="A35" s="651" t="s">
        <v>586</v>
      </c>
      <c r="B35" s="155"/>
      <c r="C35" s="155"/>
      <c r="D35" s="155"/>
      <c r="E35" s="155"/>
      <c r="F35" s="155"/>
      <c r="G35" s="155"/>
      <c r="H35" s="155"/>
      <c r="I35" s="155"/>
      <c r="J35" s="155"/>
      <c r="K35" s="155"/>
      <c r="L35" s="155"/>
      <c r="M35" s="649" t="s">
        <v>587</v>
      </c>
      <c r="N35" s="155"/>
      <c r="O35" s="155"/>
      <c r="P35" s="155"/>
      <c r="Q35" s="155"/>
    </row>
    <row r="60" spans="1:1" x14ac:dyDescent="0.2">
      <c r="A60" s="127" t="s">
        <v>584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sheetPr>
  <dimension ref="A1:X37"/>
  <sheetViews>
    <sheetView workbookViewId="0"/>
  </sheetViews>
  <sheetFormatPr defaultColWidth="9.140625" defaultRowHeight="12.75" x14ac:dyDescent="0.2"/>
  <cols>
    <col min="1" max="1" width="29.7109375" style="107" customWidth="1"/>
    <col min="2" max="2" width="9.85546875" style="107" bestFit="1" customWidth="1"/>
    <col min="3" max="16384" width="9.140625" style="107"/>
  </cols>
  <sheetData>
    <row r="1" spans="1:17" x14ac:dyDescent="0.2">
      <c r="A1" s="106" t="s">
        <v>345</v>
      </c>
    </row>
    <row r="2" spans="1:17" x14ac:dyDescent="0.2">
      <c r="A2" s="106"/>
      <c r="B2" s="442"/>
    </row>
    <row r="3" spans="1:17" x14ac:dyDescent="0.2">
      <c r="A3" s="127" t="s">
        <v>721</v>
      </c>
      <c r="B3" s="343" t="str">
        <f>IF(HLOOKUP(MAX(B8:Q8),A8:Q10,3,0)&gt;HLOOKUP(MAX(B8:Q8),A8:Q10,2,0),"Better", "Worse")</f>
        <v>Worse</v>
      </c>
      <c r="C3" s="491" t="b">
        <f>IF(HLOOKUP(MAX(B8:Q8),A8:Q10,3,0)=HLOOKUP(MAX(B8:Q8),A8:Q10,2,0),"Equal")</f>
        <v>0</v>
      </c>
    </row>
    <row r="4" spans="1:17" x14ac:dyDescent="0.2">
      <c r="A4" s="127" t="s">
        <v>722</v>
      </c>
      <c r="B4" s="343" t="str">
        <f>IF(HLOOKUP(MAX(B13:Q13),A13:Q16,4,0)&lt;HLOOKUP(MAX(B13:Q13),A13:Q16,3,0),"Better", "Worse")</f>
        <v>Worse</v>
      </c>
      <c r="C4" s="491"/>
    </row>
    <row r="5" spans="1:17" x14ac:dyDescent="0.2">
      <c r="A5" s="127" t="s">
        <v>144</v>
      </c>
      <c r="B5" s="492">
        <f>MAX(B8:Q8)</f>
        <v>42979</v>
      </c>
      <c r="C5" s="186"/>
    </row>
    <row r="6" spans="1:17" x14ac:dyDescent="0.2">
      <c r="A6" s="127" t="s">
        <v>206</v>
      </c>
      <c r="B6" s="128" t="s">
        <v>224</v>
      </c>
    </row>
    <row r="7" spans="1:17" x14ac:dyDescent="0.2">
      <c r="A7" s="127"/>
      <c r="B7" s="128"/>
    </row>
    <row r="8" spans="1:17" x14ac:dyDescent="0.2">
      <c r="A8" s="489"/>
      <c r="B8" s="137">
        <v>42156</v>
      </c>
      <c r="C8" s="137">
        <v>42248</v>
      </c>
      <c r="D8" s="137">
        <v>42339</v>
      </c>
      <c r="E8" s="137">
        <v>42430</v>
      </c>
      <c r="F8" s="137">
        <v>42522</v>
      </c>
      <c r="G8" s="137">
        <v>42614</v>
      </c>
      <c r="H8" s="137">
        <v>42705</v>
      </c>
      <c r="I8" s="137">
        <v>42795</v>
      </c>
      <c r="J8" s="137">
        <v>42887</v>
      </c>
      <c r="K8" s="137">
        <v>42979</v>
      </c>
      <c r="L8" s="741"/>
      <c r="M8" s="741"/>
      <c r="N8" s="741"/>
      <c r="O8" s="741"/>
      <c r="P8" s="741"/>
      <c r="Q8" s="741"/>
    </row>
    <row r="9" spans="1:17" x14ac:dyDescent="0.2">
      <c r="A9" s="158" t="s">
        <v>369</v>
      </c>
      <c r="B9" s="159">
        <v>0.89769710086246746</v>
      </c>
      <c r="C9" s="159">
        <v>0.86114172826289825</v>
      </c>
      <c r="D9" s="159">
        <v>0.87534302628960992</v>
      </c>
      <c r="E9" s="160">
        <v>0.88825616376258321</v>
      </c>
      <c r="F9" s="155">
        <v>0.85658436489948098</v>
      </c>
      <c r="G9" s="159">
        <v>0.79289348890449307</v>
      </c>
      <c r="H9" s="159">
        <v>0.75707672110002999</v>
      </c>
      <c r="I9" s="159">
        <v>0.80583927190138405</v>
      </c>
      <c r="J9" s="159">
        <v>0.73949514851393272</v>
      </c>
      <c r="K9" s="159">
        <v>0.69724459291567931</v>
      </c>
      <c r="L9" s="159"/>
      <c r="M9" s="160"/>
      <c r="N9" s="155"/>
      <c r="O9" s="159"/>
      <c r="P9" s="159"/>
      <c r="Q9" s="159"/>
    </row>
    <row r="10" spans="1:17" x14ac:dyDescent="0.2">
      <c r="A10" s="158" t="s">
        <v>370</v>
      </c>
      <c r="B10" s="159">
        <v>0.91078926550234285</v>
      </c>
      <c r="C10" s="159">
        <v>0.84872627322883265</v>
      </c>
      <c r="D10" s="159">
        <v>0.84961361099997901</v>
      </c>
      <c r="E10" s="159">
        <v>0.85181979308354971</v>
      </c>
      <c r="F10" s="159">
        <v>0.81686613883262749</v>
      </c>
      <c r="G10" s="159">
        <v>0.72694260448539061</v>
      </c>
      <c r="H10" s="159">
        <v>0.67661316569314311</v>
      </c>
      <c r="I10" s="159">
        <v>0.72685020932377775</v>
      </c>
      <c r="J10" s="159">
        <v>0.68212530712530706</v>
      </c>
      <c r="K10" s="159">
        <v>0.63290663216955734</v>
      </c>
      <c r="L10" s="159"/>
      <c r="M10" s="159"/>
      <c r="N10" s="159"/>
      <c r="O10" s="159"/>
      <c r="P10" s="159"/>
      <c r="Q10" s="159"/>
    </row>
    <row r="11" spans="1:17" x14ac:dyDescent="0.2">
      <c r="A11" s="484" t="s">
        <v>15</v>
      </c>
      <c r="B11" s="160">
        <v>0.95</v>
      </c>
      <c r="C11" s="160">
        <v>0.95</v>
      </c>
      <c r="D11" s="160">
        <v>0.95</v>
      </c>
      <c r="E11" s="160">
        <v>0.95</v>
      </c>
      <c r="F11" s="160">
        <v>0.95</v>
      </c>
      <c r="G11" s="160">
        <v>0.95</v>
      </c>
      <c r="H11" s="160">
        <v>0.95</v>
      </c>
      <c r="I11" s="160">
        <v>0.95</v>
      </c>
      <c r="J11" s="485">
        <v>0.95</v>
      </c>
      <c r="K11" s="485">
        <v>0.95</v>
      </c>
      <c r="L11" s="485">
        <v>0.95</v>
      </c>
      <c r="M11" s="485">
        <v>0.95</v>
      </c>
      <c r="N11" s="485">
        <v>0.95</v>
      </c>
      <c r="O11" s="485">
        <v>0.95</v>
      </c>
      <c r="P11" s="485">
        <v>0.95</v>
      </c>
      <c r="Q11" s="485">
        <v>0.95</v>
      </c>
    </row>
    <row r="12" spans="1:17" x14ac:dyDescent="0.2">
      <c r="A12" s="89"/>
      <c r="B12" s="487"/>
      <c r="C12" s="487"/>
      <c r="D12" s="487"/>
      <c r="E12" s="487"/>
      <c r="F12" s="487"/>
      <c r="G12" s="487"/>
      <c r="H12" s="487"/>
      <c r="I12" s="487"/>
      <c r="J12" s="488"/>
      <c r="K12" s="488"/>
      <c r="L12" s="488"/>
      <c r="M12" s="488"/>
      <c r="N12" s="488"/>
      <c r="O12" s="488"/>
      <c r="P12" s="488"/>
      <c r="Q12" s="488"/>
    </row>
    <row r="13" spans="1:17" x14ac:dyDescent="0.2">
      <c r="A13" s="190"/>
      <c r="B13" s="137">
        <v>42156</v>
      </c>
      <c r="C13" s="137">
        <v>42248</v>
      </c>
      <c r="D13" s="137">
        <v>42339</v>
      </c>
      <c r="E13" s="137">
        <v>42430</v>
      </c>
      <c r="F13" s="137">
        <v>42522</v>
      </c>
      <c r="G13" s="137">
        <v>42614</v>
      </c>
      <c r="H13" s="137">
        <v>42705</v>
      </c>
      <c r="I13" s="137">
        <v>42795</v>
      </c>
      <c r="J13" s="137">
        <v>42887</v>
      </c>
      <c r="K13" s="137">
        <v>42979</v>
      </c>
      <c r="L13" s="742"/>
      <c r="M13" s="742"/>
      <c r="N13" s="742"/>
      <c r="O13" s="742"/>
      <c r="P13" s="742"/>
      <c r="Q13" s="742"/>
    </row>
    <row r="14" spans="1:17" x14ac:dyDescent="0.2">
      <c r="A14" s="134" t="s">
        <v>369</v>
      </c>
      <c r="B14" s="151">
        <v>28551</v>
      </c>
      <c r="C14" s="151">
        <v>39432</v>
      </c>
      <c r="D14" s="151">
        <v>33206</v>
      </c>
      <c r="E14" s="151">
        <v>29827</v>
      </c>
      <c r="F14" s="151">
        <v>42774</v>
      </c>
      <c r="G14" s="151">
        <v>64593</v>
      </c>
      <c r="H14" s="151">
        <v>73829</v>
      </c>
      <c r="I14" s="151">
        <v>58987</v>
      </c>
      <c r="J14" s="151">
        <v>84222</v>
      </c>
      <c r="K14" s="151">
        <v>102592</v>
      </c>
      <c r="L14" s="151"/>
      <c r="M14" s="151"/>
      <c r="N14" s="151"/>
      <c r="O14" s="151"/>
      <c r="P14" s="151"/>
      <c r="Q14" s="151"/>
    </row>
    <row r="15" spans="1:17" x14ac:dyDescent="0.2">
      <c r="A15" s="134" t="s">
        <v>221</v>
      </c>
      <c r="B15" s="151">
        <f>(B14/100)*14.5</f>
        <v>4139.8949999999995</v>
      </c>
      <c r="C15" s="151">
        <f>(C14/100)*14.5</f>
        <v>5717.64</v>
      </c>
      <c r="D15" s="151">
        <f>(D14/100)*14.5</f>
        <v>4814.87</v>
      </c>
      <c r="E15" s="151">
        <f>(E14/100)*14.5</f>
        <v>4324.915</v>
      </c>
      <c r="F15" s="152">
        <f>(F14/100)*14.66</f>
        <v>6270.6684000000005</v>
      </c>
      <c r="G15" s="151">
        <f>(G14/100)*14.66</f>
        <v>9469.3337999999985</v>
      </c>
      <c r="H15" s="151">
        <f>(H14/100)*14.66</f>
        <v>10823.331399999999</v>
      </c>
      <c r="I15" s="151">
        <f>(I14/100)*14.66</f>
        <v>8647.494200000001</v>
      </c>
      <c r="J15" s="416">
        <f>(J14/100)*14.76</f>
        <v>12431.1672</v>
      </c>
      <c r="K15" s="410">
        <f t="shared" ref="K15:M15" si="0">(K14/100)*14.76</f>
        <v>15142.5792</v>
      </c>
      <c r="L15" s="410">
        <f t="shared" si="0"/>
        <v>0</v>
      </c>
      <c r="M15" s="410">
        <f t="shared" si="0"/>
        <v>0</v>
      </c>
      <c r="N15" s="410"/>
      <c r="O15" s="151"/>
      <c r="P15" s="151"/>
      <c r="Q15" s="151"/>
    </row>
    <row r="16" spans="1:17" x14ac:dyDescent="0.2">
      <c r="A16" s="134" t="s">
        <v>370</v>
      </c>
      <c r="B16" s="151">
        <v>4398</v>
      </c>
      <c r="C16" s="151">
        <v>7595</v>
      </c>
      <c r="D16" s="151">
        <v>7142</v>
      </c>
      <c r="E16" s="151">
        <v>7190</v>
      </c>
      <c r="F16" s="151">
        <v>9946</v>
      </c>
      <c r="G16" s="151">
        <v>16242</v>
      </c>
      <c r="H16" s="151">
        <v>18879</v>
      </c>
      <c r="I16" s="151">
        <v>15398</v>
      </c>
      <c r="J16" s="151">
        <v>19665</v>
      </c>
      <c r="K16" s="151">
        <v>24404</v>
      </c>
      <c r="L16" s="151"/>
      <c r="M16" s="151"/>
      <c r="N16" s="151"/>
      <c r="O16" s="151"/>
      <c r="P16" s="151"/>
      <c r="Q16" s="151"/>
    </row>
    <row r="17" spans="1:24" x14ac:dyDescent="0.2">
      <c r="A17" s="145"/>
      <c r="B17" s="145"/>
      <c r="C17" s="145"/>
      <c r="D17" s="145"/>
      <c r="E17" s="145"/>
      <c r="F17" s="145"/>
      <c r="G17" s="145"/>
      <c r="H17" s="145"/>
      <c r="I17" s="145"/>
      <c r="J17" s="145"/>
      <c r="K17" s="145"/>
    </row>
    <row r="18" spans="1:24" x14ac:dyDescent="0.2">
      <c r="A18" s="140" t="s">
        <v>273</v>
      </c>
      <c r="B18" s="145"/>
      <c r="C18" s="145"/>
      <c r="D18" s="145"/>
      <c r="E18" s="145"/>
      <c r="F18" s="145"/>
      <c r="G18" s="145"/>
      <c r="H18" s="145"/>
      <c r="I18" s="145"/>
      <c r="J18" s="145"/>
      <c r="K18" s="145"/>
    </row>
    <row r="19" spans="1:24" x14ac:dyDescent="0.2">
      <c r="A19" s="413" t="s">
        <v>453</v>
      </c>
      <c r="B19" s="155"/>
      <c r="C19" s="155"/>
      <c r="D19" s="155"/>
      <c r="E19" s="155"/>
      <c r="F19" s="155"/>
    </row>
    <row r="20" spans="1:24" ht="12.75" customHeight="1" x14ac:dyDescent="0.2">
      <c r="A20" s="322"/>
      <c r="B20" s="322"/>
      <c r="C20" s="322"/>
      <c r="D20" s="322"/>
      <c r="E20" s="322"/>
      <c r="F20" s="322"/>
      <c r="G20" s="322"/>
      <c r="H20" s="322"/>
      <c r="I20" s="322"/>
      <c r="J20" s="322"/>
      <c r="K20" s="322"/>
      <c r="L20" s="322"/>
      <c r="M20" s="322"/>
      <c r="N20" s="322"/>
      <c r="O20" s="322"/>
      <c r="P20" s="322"/>
      <c r="Q20" s="322"/>
      <c r="R20" s="109"/>
      <c r="S20" s="109"/>
      <c r="T20" s="109"/>
      <c r="U20" s="109"/>
      <c r="V20" s="109"/>
      <c r="W20" s="109"/>
      <c r="X20" s="109"/>
    </row>
    <row r="21" spans="1:24" x14ac:dyDescent="0.2">
      <c r="A21" s="322"/>
      <c r="B21" s="322"/>
      <c r="C21" s="322"/>
      <c r="D21" s="322"/>
      <c r="E21" s="322"/>
      <c r="F21" s="322"/>
      <c r="G21" s="322"/>
      <c r="H21" s="322"/>
      <c r="I21" s="322"/>
      <c r="J21" s="322"/>
      <c r="K21" s="322"/>
      <c r="L21" s="322"/>
      <c r="M21" s="322"/>
      <c r="N21" s="322"/>
      <c r="O21" s="322"/>
      <c r="P21" s="322"/>
      <c r="Q21" s="322"/>
      <c r="R21" s="109"/>
      <c r="S21" s="109"/>
      <c r="T21" s="109"/>
      <c r="U21" s="109"/>
      <c r="V21" s="109"/>
      <c r="W21" s="109"/>
      <c r="X21" s="109"/>
    </row>
    <row r="22" spans="1:24" x14ac:dyDescent="0.2">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row>
    <row r="23" spans="1:24" x14ac:dyDescent="0.2">
      <c r="A23" s="442"/>
    </row>
    <row r="37" spans="15:15" x14ac:dyDescent="0.2">
      <c r="O37"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59"/>
  <sheetViews>
    <sheetView workbookViewId="0"/>
  </sheetViews>
  <sheetFormatPr defaultColWidth="9.140625" defaultRowHeight="12.75" x14ac:dyDescent="0.2"/>
  <cols>
    <col min="1" max="1" width="19.5703125" style="107" bestFit="1" customWidth="1"/>
    <col min="2" max="2" width="14.42578125" style="107" bestFit="1" customWidth="1"/>
    <col min="3" max="3" width="12" style="107" bestFit="1" customWidth="1"/>
    <col min="4" max="6" width="9.140625" style="107" customWidth="1"/>
    <col min="7" max="16384" width="9.140625" style="107"/>
  </cols>
  <sheetData>
    <row r="1" spans="1:6" x14ac:dyDescent="0.2">
      <c r="A1" s="106" t="s">
        <v>345</v>
      </c>
    </row>
    <row r="2" spans="1:6" x14ac:dyDescent="0.2">
      <c r="A2" s="106"/>
    </row>
    <row r="3" spans="1:6" x14ac:dyDescent="0.2">
      <c r="A3" s="108" t="s">
        <v>436</v>
      </c>
      <c r="B3" s="107" t="s">
        <v>56</v>
      </c>
    </row>
    <row r="4" spans="1:6" x14ac:dyDescent="0.2">
      <c r="A4" s="108" t="s">
        <v>143</v>
      </c>
      <c r="B4" s="175">
        <f>VLOOKUP(MAX(A12:A59),A12:B59,2,0)</f>
        <v>8.8000000000000007</v>
      </c>
    </row>
    <row r="5" spans="1:6" x14ac:dyDescent="0.2">
      <c r="A5" s="108" t="s">
        <v>118</v>
      </c>
      <c r="B5" s="128">
        <f>MAX(A12:A59)</f>
        <v>43040</v>
      </c>
    </row>
    <row r="6" spans="1:6" x14ac:dyDescent="0.2">
      <c r="A6" s="108" t="s">
        <v>195</v>
      </c>
      <c r="B6" s="409" t="s">
        <v>176</v>
      </c>
      <c r="E6" s="186"/>
    </row>
    <row r="7" spans="1:6" x14ac:dyDescent="0.2">
      <c r="A7" s="108" t="s">
        <v>438</v>
      </c>
      <c r="B7" s="550" t="s">
        <v>745</v>
      </c>
    </row>
    <row r="8" spans="1:6" x14ac:dyDescent="0.2">
      <c r="A8" s="127" t="s">
        <v>710</v>
      </c>
      <c r="B8" s="129" t="s">
        <v>77</v>
      </c>
    </row>
    <row r="9" spans="1:6" x14ac:dyDescent="0.2">
      <c r="A9" s="127" t="s">
        <v>144</v>
      </c>
      <c r="B9" s="129" t="s">
        <v>77</v>
      </c>
    </row>
    <row r="10" spans="1:6" x14ac:dyDescent="0.2">
      <c r="A10" s="124"/>
      <c r="F10" s="196"/>
    </row>
    <row r="11" spans="1:6" ht="51" x14ac:dyDescent="0.2">
      <c r="A11" s="144"/>
      <c r="B11" s="173" t="s">
        <v>33</v>
      </c>
      <c r="C11" s="246" t="s">
        <v>15</v>
      </c>
    </row>
    <row r="12" spans="1:6" x14ac:dyDescent="0.2">
      <c r="A12" s="174">
        <v>42095</v>
      </c>
      <c r="B12" s="290">
        <v>8.5</v>
      </c>
      <c r="C12" s="290">
        <v>9</v>
      </c>
      <c r="E12" s="291" t="s">
        <v>300</v>
      </c>
    </row>
    <row r="13" spans="1:6" x14ac:dyDescent="0.2">
      <c r="A13" s="174">
        <v>42125</v>
      </c>
      <c r="B13" s="290">
        <v>8.6</v>
      </c>
      <c r="C13" s="290">
        <v>9</v>
      </c>
    </row>
    <row r="14" spans="1:6" x14ac:dyDescent="0.2">
      <c r="A14" s="174">
        <v>42156</v>
      </c>
      <c r="B14" s="290">
        <v>8.5</v>
      </c>
      <c r="C14" s="290">
        <v>9</v>
      </c>
    </row>
    <row r="15" spans="1:6" x14ac:dyDescent="0.2">
      <c r="A15" s="174">
        <v>42186</v>
      </c>
      <c r="B15" s="290">
        <v>8.6999999999999993</v>
      </c>
      <c r="C15" s="290">
        <v>9</v>
      </c>
    </row>
    <row r="16" spans="1:6" x14ac:dyDescent="0.2">
      <c r="A16" s="174">
        <v>42217</v>
      </c>
      <c r="B16" s="290">
        <v>8.6999999999999993</v>
      </c>
      <c r="C16" s="290">
        <v>9</v>
      </c>
    </row>
    <row r="17" spans="1:3" x14ac:dyDescent="0.2">
      <c r="A17" s="174">
        <v>42248</v>
      </c>
      <c r="B17" s="290">
        <v>8.6999999999999993</v>
      </c>
      <c r="C17" s="290">
        <v>9</v>
      </c>
    </row>
    <row r="18" spans="1:3" x14ac:dyDescent="0.2">
      <c r="A18" s="174">
        <v>42278</v>
      </c>
      <c r="B18" s="290">
        <v>8.6</v>
      </c>
      <c r="C18" s="290">
        <v>9</v>
      </c>
    </row>
    <row r="19" spans="1:3" x14ac:dyDescent="0.2">
      <c r="A19" s="174">
        <v>42309</v>
      </c>
      <c r="B19" s="290">
        <v>8.6999999999999993</v>
      </c>
      <c r="C19" s="290">
        <v>9</v>
      </c>
    </row>
    <row r="20" spans="1:3" x14ac:dyDescent="0.2">
      <c r="A20" s="174">
        <v>42339</v>
      </c>
      <c r="B20" s="290">
        <v>8.6999999999999993</v>
      </c>
      <c r="C20" s="290">
        <v>9</v>
      </c>
    </row>
    <row r="21" spans="1:3" x14ac:dyDescent="0.2">
      <c r="A21" s="174">
        <v>42370</v>
      </c>
      <c r="B21" s="290">
        <v>8.4</v>
      </c>
      <c r="C21" s="290">
        <v>9</v>
      </c>
    </row>
    <row r="22" spans="1:3" x14ac:dyDescent="0.2">
      <c r="A22" s="174">
        <v>42401</v>
      </c>
      <c r="B22" s="824">
        <v>8.6999999999999993</v>
      </c>
      <c r="C22" s="290">
        <v>9</v>
      </c>
    </row>
    <row r="23" spans="1:3" x14ac:dyDescent="0.2">
      <c r="A23" s="174">
        <v>42430</v>
      </c>
      <c r="B23" s="824">
        <v>8.5</v>
      </c>
      <c r="C23" s="290">
        <v>9</v>
      </c>
    </row>
    <row r="24" spans="1:3" x14ac:dyDescent="0.2">
      <c r="A24" s="174">
        <v>42461</v>
      </c>
      <c r="B24" s="824">
        <v>8.6999999999999993</v>
      </c>
      <c r="C24" s="290">
        <v>9</v>
      </c>
    </row>
    <row r="25" spans="1:3" x14ac:dyDescent="0.2">
      <c r="A25" s="174">
        <v>42491</v>
      </c>
      <c r="B25" s="824">
        <v>8.9</v>
      </c>
      <c r="C25" s="290">
        <v>9</v>
      </c>
    </row>
    <row r="26" spans="1:3" x14ac:dyDescent="0.2">
      <c r="A26" s="174">
        <v>42522</v>
      </c>
      <c r="B26" s="824">
        <v>8.8000000000000007</v>
      </c>
      <c r="C26" s="290">
        <v>9</v>
      </c>
    </row>
    <row r="27" spans="1:3" x14ac:dyDescent="0.2">
      <c r="A27" s="174">
        <v>42552</v>
      </c>
      <c r="B27" s="824">
        <v>9.1</v>
      </c>
      <c r="C27" s="290">
        <v>9</v>
      </c>
    </row>
    <row r="28" spans="1:3" x14ac:dyDescent="0.2">
      <c r="A28" s="174">
        <v>42583</v>
      </c>
      <c r="B28" s="824">
        <v>9</v>
      </c>
      <c r="C28" s="290">
        <v>9</v>
      </c>
    </row>
    <row r="29" spans="1:3" x14ac:dyDescent="0.2">
      <c r="A29" s="174">
        <v>42614</v>
      </c>
      <c r="B29" s="824">
        <v>9</v>
      </c>
      <c r="C29" s="290">
        <v>9</v>
      </c>
    </row>
    <row r="30" spans="1:3" x14ac:dyDescent="0.2">
      <c r="A30" s="174">
        <v>42644</v>
      </c>
      <c r="B30" s="824">
        <v>8.9</v>
      </c>
      <c r="C30" s="290">
        <v>9</v>
      </c>
    </row>
    <row r="31" spans="1:3" x14ac:dyDescent="0.2">
      <c r="A31" s="174">
        <v>42675</v>
      </c>
      <c r="B31" s="824">
        <v>9</v>
      </c>
      <c r="C31" s="290">
        <v>9</v>
      </c>
    </row>
    <row r="32" spans="1:3" x14ac:dyDescent="0.2">
      <c r="A32" s="174">
        <v>42705</v>
      </c>
      <c r="B32" s="824">
        <v>8.9</v>
      </c>
      <c r="C32" s="290">
        <v>9</v>
      </c>
    </row>
    <row r="33" spans="1:3" x14ac:dyDescent="0.2">
      <c r="A33" s="174">
        <v>42736</v>
      </c>
      <c r="B33" s="824">
        <v>8.8000000000000007</v>
      </c>
      <c r="C33" s="290">
        <v>9</v>
      </c>
    </row>
    <row r="34" spans="1:3" x14ac:dyDescent="0.2">
      <c r="A34" s="174">
        <v>42767</v>
      </c>
      <c r="B34" s="824">
        <v>8.9</v>
      </c>
      <c r="C34" s="290">
        <v>9</v>
      </c>
    </row>
    <row r="35" spans="1:3" x14ac:dyDescent="0.2">
      <c r="A35" s="174">
        <v>42795</v>
      </c>
      <c r="B35" s="824">
        <v>8.8000000000000007</v>
      </c>
      <c r="C35" s="290">
        <v>9</v>
      </c>
    </row>
    <row r="36" spans="1:3" x14ac:dyDescent="0.2">
      <c r="A36" s="174">
        <v>42826</v>
      </c>
      <c r="B36" s="290">
        <v>8.9</v>
      </c>
      <c r="C36" s="290">
        <v>9</v>
      </c>
    </row>
    <row r="37" spans="1:3" x14ac:dyDescent="0.2">
      <c r="A37" s="174">
        <v>42856</v>
      </c>
      <c r="B37" s="290">
        <v>9</v>
      </c>
      <c r="C37" s="290">
        <v>9</v>
      </c>
    </row>
    <row r="38" spans="1:3" x14ac:dyDescent="0.2">
      <c r="A38" s="174">
        <v>42887</v>
      </c>
      <c r="B38" s="290">
        <v>8.9</v>
      </c>
      <c r="C38" s="290">
        <v>9</v>
      </c>
    </row>
    <row r="39" spans="1:3" x14ac:dyDescent="0.2">
      <c r="A39" s="174">
        <v>42917</v>
      </c>
      <c r="B39" s="290">
        <v>8.9</v>
      </c>
      <c r="C39" s="290">
        <v>9</v>
      </c>
    </row>
    <row r="40" spans="1:3" x14ac:dyDescent="0.2">
      <c r="A40" s="174">
        <v>42948</v>
      </c>
      <c r="B40" s="290">
        <v>8.9</v>
      </c>
      <c r="C40" s="290">
        <v>9</v>
      </c>
    </row>
    <row r="41" spans="1:3" x14ac:dyDescent="0.2">
      <c r="A41" s="174">
        <v>42979</v>
      </c>
      <c r="B41" s="290">
        <v>9</v>
      </c>
      <c r="C41" s="290">
        <v>9</v>
      </c>
    </row>
    <row r="42" spans="1:3" x14ac:dyDescent="0.2">
      <c r="A42" s="174">
        <v>43009</v>
      </c>
      <c r="B42" s="290">
        <v>9</v>
      </c>
      <c r="C42" s="290">
        <v>9</v>
      </c>
    </row>
    <row r="43" spans="1:3" x14ac:dyDescent="0.2">
      <c r="A43" s="174">
        <v>43040</v>
      </c>
      <c r="B43" s="290">
        <v>8.8000000000000007</v>
      </c>
      <c r="C43" s="290">
        <v>9</v>
      </c>
    </row>
    <row r="44" spans="1:3" x14ac:dyDescent="0.2">
      <c r="A44" s="174"/>
      <c r="B44" s="824"/>
      <c r="C44" s="290">
        <v>9</v>
      </c>
    </row>
    <row r="45" spans="1:3" x14ac:dyDescent="0.2">
      <c r="A45" s="174"/>
      <c r="B45" s="824"/>
      <c r="C45" s="290">
        <v>9</v>
      </c>
    </row>
    <row r="46" spans="1:3" x14ac:dyDescent="0.2">
      <c r="A46" s="174"/>
      <c r="B46" s="824"/>
      <c r="C46" s="290">
        <v>9</v>
      </c>
    </row>
    <row r="47" spans="1:3" x14ac:dyDescent="0.2">
      <c r="A47" s="174"/>
      <c r="B47" s="824"/>
      <c r="C47" s="290">
        <v>9</v>
      </c>
    </row>
    <row r="48" spans="1:3" x14ac:dyDescent="0.2">
      <c r="A48" s="174"/>
      <c r="B48" s="824"/>
      <c r="C48" s="290">
        <v>9</v>
      </c>
    </row>
    <row r="49" spans="1:3" x14ac:dyDescent="0.2">
      <c r="A49" s="174"/>
      <c r="B49" s="824"/>
      <c r="C49" s="290">
        <v>9</v>
      </c>
    </row>
    <row r="50" spans="1:3" x14ac:dyDescent="0.2">
      <c r="A50" s="174"/>
      <c r="B50" s="824"/>
      <c r="C50" s="290">
        <v>9</v>
      </c>
    </row>
    <row r="51" spans="1:3" x14ac:dyDescent="0.2">
      <c r="A51" s="174"/>
      <c r="B51" s="824"/>
      <c r="C51" s="290">
        <v>9</v>
      </c>
    </row>
    <row r="52" spans="1:3" x14ac:dyDescent="0.2">
      <c r="A52" s="174"/>
      <c r="B52" s="824"/>
      <c r="C52" s="290">
        <v>9</v>
      </c>
    </row>
    <row r="53" spans="1:3" x14ac:dyDescent="0.2">
      <c r="A53" s="174"/>
      <c r="B53" s="824"/>
      <c r="C53" s="290">
        <v>9</v>
      </c>
    </row>
    <row r="54" spans="1:3" x14ac:dyDescent="0.2">
      <c r="A54" s="174"/>
      <c r="B54" s="824"/>
      <c r="C54" s="290">
        <v>9</v>
      </c>
    </row>
    <row r="55" spans="1:3" x14ac:dyDescent="0.2">
      <c r="A55" s="174"/>
      <c r="B55" s="824"/>
      <c r="C55" s="290">
        <v>9</v>
      </c>
    </row>
    <row r="56" spans="1:3" x14ac:dyDescent="0.2">
      <c r="A56" s="174"/>
      <c r="B56" s="824"/>
      <c r="C56" s="290">
        <v>9</v>
      </c>
    </row>
    <row r="57" spans="1:3" x14ac:dyDescent="0.2">
      <c r="A57" s="174"/>
      <c r="B57" s="824"/>
      <c r="C57" s="290">
        <v>9</v>
      </c>
    </row>
    <row r="58" spans="1:3" x14ac:dyDescent="0.2">
      <c r="A58" s="174"/>
      <c r="B58" s="824"/>
      <c r="C58" s="290">
        <v>9</v>
      </c>
    </row>
    <row r="59" spans="1:3" x14ac:dyDescent="0.2">
      <c r="A59" s="174"/>
      <c r="B59" s="824"/>
      <c r="C59" s="290">
        <v>9</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59">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W213"/>
  <sheetViews>
    <sheetView workbookViewId="0">
      <pane xSplit="1" topLeftCell="B1" activePane="topRight" state="frozen"/>
      <selection pane="topRight"/>
    </sheetView>
  </sheetViews>
  <sheetFormatPr defaultColWidth="9.140625" defaultRowHeight="12.75" x14ac:dyDescent="0.2"/>
  <cols>
    <col min="1" max="1" width="32.5703125" style="107" customWidth="1"/>
    <col min="2" max="22" width="9.140625" style="107" customWidth="1"/>
    <col min="23" max="26" width="9.140625" style="107"/>
    <col min="27" max="27" width="9.140625" style="186"/>
    <col min="28" max="16384" width="9.140625" style="107"/>
  </cols>
  <sheetData>
    <row r="1" spans="1:49" x14ac:dyDescent="0.2">
      <c r="A1" s="283" t="s">
        <v>345</v>
      </c>
      <c r="B1" s="813"/>
      <c r="C1" s="594"/>
      <c r="D1" s="594"/>
      <c r="E1" s="594"/>
      <c r="F1" s="594"/>
      <c r="G1" s="594"/>
      <c r="H1" s="594"/>
      <c r="I1" s="594"/>
      <c r="J1" s="594"/>
      <c r="K1" s="594"/>
      <c r="L1" s="594"/>
      <c r="M1" s="594"/>
      <c r="N1" s="594"/>
      <c r="O1" s="594"/>
      <c r="P1" s="553"/>
      <c r="Q1" s="553"/>
      <c r="R1" s="553"/>
      <c r="S1" s="553"/>
      <c r="T1" s="553"/>
      <c r="U1" s="553"/>
      <c r="V1" s="553"/>
      <c r="W1" s="553"/>
      <c r="X1" s="553"/>
      <c r="Y1" s="553"/>
      <c r="Z1" s="553"/>
      <c r="AA1" s="553"/>
    </row>
    <row r="2" spans="1:49" x14ac:dyDescent="0.2">
      <c r="A2" s="106"/>
      <c r="B2" s="595"/>
      <c r="C2" s="595"/>
      <c r="D2" s="595"/>
      <c r="E2" s="595"/>
      <c r="F2" s="595"/>
      <c r="G2" s="595"/>
      <c r="H2" s="595"/>
      <c r="I2" s="595"/>
      <c r="J2" s="595"/>
      <c r="K2" s="595"/>
      <c r="L2" s="595"/>
      <c r="M2" s="595"/>
      <c r="N2" s="595"/>
      <c r="O2" s="595"/>
      <c r="P2" s="553"/>
      <c r="Q2" s="553"/>
      <c r="R2" s="553"/>
      <c r="S2" s="553"/>
      <c r="T2" s="553"/>
      <c r="U2" s="553"/>
      <c r="V2" s="553"/>
      <c r="W2" s="553"/>
      <c r="X2" s="553"/>
      <c r="Y2" s="553"/>
      <c r="Z2" s="553"/>
      <c r="AA2" s="553"/>
    </row>
    <row r="3" spans="1:49" x14ac:dyDescent="0.2">
      <c r="A3" s="106"/>
      <c r="P3" s="553"/>
      <c r="Q3" s="553"/>
      <c r="R3" s="553"/>
      <c r="S3" s="553"/>
      <c r="T3" s="553"/>
      <c r="U3" s="553"/>
      <c r="V3" s="553"/>
      <c r="W3" s="553"/>
      <c r="X3" s="553"/>
      <c r="Y3" s="553"/>
      <c r="Z3" s="553"/>
      <c r="AA3" s="553"/>
    </row>
    <row r="4" spans="1:49" x14ac:dyDescent="0.2">
      <c r="A4" s="108" t="s">
        <v>436</v>
      </c>
      <c r="B4" s="107" t="s">
        <v>61</v>
      </c>
    </row>
    <row r="5" spans="1:49" x14ac:dyDescent="0.2">
      <c r="A5" s="108" t="s">
        <v>143</v>
      </c>
      <c r="B5" s="139">
        <f>HLOOKUP(MAX(B12:AW12),B12:AW17,6,0)</f>
        <v>4416</v>
      </c>
    </row>
    <row r="6" spans="1:49" x14ac:dyDescent="0.2">
      <c r="A6" s="108" t="s">
        <v>118</v>
      </c>
      <c r="B6" s="128">
        <f>MAX(B12:AW12)</f>
        <v>43070</v>
      </c>
    </row>
    <row r="7" spans="1:49" x14ac:dyDescent="0.2">
      <c r="A7" s="108" t="s">
        <v>195</v>
      </c>
      <c r="B7" s="409" t="s">
        <v>176</v>
      </c>
    </row>
    <row r="8" spans="1:49" x14ac:dyDescent="0.2">
      <c r="A8" s="108" t="s">
        <v>438</v>
      </c>
      <c r="B8" s="112" t="s">
        <v>133</v>
      </c>
    </row>
    <row r="9" spans="1:49" x14ac:dyDescent="0.2">
      <c r="A9" s="127" t="s">
        <v>710</v>
      </c>
      <c r="B9" s="129" t="s">
        <v>77</v>
      </c>
    </row>
    <row r="10" spans="1:49" x14ac:dyDescent="0.2">
      <c r="A10" s="127" t="s">
        <v>144</v>
      </c>
      <c r="B10" s="129" t="s">
        <v>77</v>
      </c>
      <c r="E10" s="145"/>
    </row>
    <row r="11" spans="1:49" x14ac:dyDescent="0.2">
      <c r="A11" s="690"/>
    </row>
    <row r="12" spans="1:49" x14ac:dyDescent="0.2">
      <c r="A12" s="127" t="s">
        <v>514</v>
      </c>
      <c r="B12" s="114">
        <v>42095</v>
      </c>
      <c r="C12" s="114">
        <v>42125</v>
      </c>
      <c r="D12" s="114">
        <v>42156</v>
      </c>
      <c r="E12" s="114">
        <v>42186</v>
      </c>
      <c r="F12" s="114">
        <v>42217</v>
      </c>
      <c r="G12" s="114">
        <v>42248</v>
      </c>
      <c r="H12" s="114">
        <v>42278</v>
      </c>
      <c r="I12" s="114">
        <v>42309</v>
      </c>
      <c r="J12" s="114">
        <v>42339</v>
      </c>
      <c r="K12" s="114">
        <v>42370</v>
      </c>
      <c r="L12" s="114">
        <v>42401</v>
      </c>
      <c r="M12" s="114">
        <v>42430</v>
      </c>
      <c r="N12" s="114">
        <v>42461</v>
      </c>
      <c r="O12" s="114">
        <v>42491</v>
      </c>
      <c r="P12" s="114">
        <v>42522</v>
      </c>
      <c r="Q12" s="114">
        <v>42552</v>
      </c>
      <c r="R12" s="114">
        <v>42583</v>
      </c>
      <c r="S12" s="114">
        <v>42614</v>
      </c>
      <c r="T12" s="114">
        <v>42644</v>
      </c>
      <c r="U12" s="114">
        <v>42675</v>
      </c>
      <c r="V12" s="114">
        <v>42705</v>
      </c>
      <c r="W12" s="114">
        <v>42736</v>
      </c>
      <c r="X12" s="114">
        <v>42767</v>
      </c>
      <c r="Y12" s="114">
        <v>42795</v>
      </c>
      <c r="Z12" s="114">
        <v>42826</v>
      </c>
      <c r="AA12" s="142">
        <v>42856</v>
      </c>
      <c r="AB12" s="114">
        <v>42887</v>
      </c>
      <c r="AC12" s="142">
        <v>42917</v>
      </c>
      <c r="AD12" s="114">
        <v>42948</v>
      </c>
      <c r="AE12" s="142">
        <v>42979</v>
      </c>
      <c r="AF12" s="114">
        <v>43009</v>
      </c>
      <c r="AG12" s="142">
        <v>43040</v>
      </c>
      <c r="AH12" s="114">
        <v>43070</v>
      </c>
      <c r="AI12" s="136"/>
      <c r="AJ12" s="136"/>
      <c r="AK12" s="136"/>
      <c r="AL12" s="136"/>
      <c r="AM12" s="136"/>
      <c r="AN12" s="136"/>
      <c r="AO12" s="136"/>
      <c r="AP12" s="136"/>
      <c r="AQ12" s="136"/>
      <c r="AR12" s="136"/>
      <c r="AS12" s="136"/>
      <c r="AT12" s="136"/>
      <c r="AU12" s="136"/>
      <c r="AV12" s="136"/>
      <c r="AW12" s="136"/>
    </row>
    <row r="13" spans="1:49" x14ac:dyDescent="0.2">
      <c r="A13" s="190" t="s">
        <v>376</v>
      </c>
      <c r="B13" s="226">
        <v>614</v>
      </c>
      <c r="C13" s="226">
        <v>620</v>
      </c>
      <c r="D13" s="226">
        <v>610</v>
      </c>
      <c r="E13" s="226">
        <v>657</v>
      </c>
      <c r="F13" s="226">
        <v>685</v>
      </c>
      <c r="G13" s="226">
        <v>739</v>
      </c>
      <c r="H13" s="226">
        <v>869</v>
      </c>
      <c r="I13" s="119">
        <v>1018</v>
      </c>
      <c r="J13" s="119">
        <v>1146</v>
      </c>
      <c r="K13" s="119">
        <v>1272</v>
      </c>
      <c r="L13" s="119">
        <v>1354</v>
      </c>
      <c r="M13" s="119">
        <v>1461</v>
      </c>
      <c r="N13" s="119">
        <v>1598</v>
      </c>
      <c r="O13" s="119">
        <v>1790</v>
      </c>
      <c r="P13" s="119">
        <v>2030</v>
      </c>
      <c r="Q13" s="119">
        <v>2068</v>
      </c>
      <c r="R13" s="119">
        <v>2073</v>
      </c>
      <c r="S13" s="119">
        <v>2210</v>
      </c>
      <c r="T13" s="119">
        <v>2347</v>
      </c>
      <c r="U13" s="119">
        <v>2482</v>
      </c>
      <c r="V13" s="119">
        <v>2511</v>
      </c>
      <c r="W13" s="119">
        <v>2696</v>
      </c>
      <c r="X13" s="119">
        <v>2752</v>
      </c>
      <c r="Y13" s="119">
        <v>2759</v>
      </c>
      <c r="Z13" s="119">
        <v>2852</v>
      </c>
      <c r="AA13" s="286">
        <v>2922</v>
      </c>
      <c r="AB13" s="119">
        <v>3041</v>
      </c>
      <c r="AC13" s="119">
        <v>2889</v>
      </c>
      <c r="AD13" s="119">
        <v>2863</v>
      </c>
      <c r="AE13" s="119">
        <v>2809</v>
      </c>
      <c r="AF13" s="119">
        <v>2818</v>
      </c>
      <c r="AG13" s="119">
        <v>2793</v>
      </c>
      <c r="AH13" s="119">
        <v>2781</v>
      </c>
      <c r="AI13" s="119"/>
      <c r="AJ13" s="119"/>
      <c r="AK13" s="119"/>
      <c r="AL13" s="119"/>
      <c r="AM13" s="119"/>
      <c r="AN13" s="119"/>
      <c r="AO13" s="119"/>
      <c r="AP13" s="119"/>
      <c r="AQ13" s="119"/>
      <c r="AR13" s="119"/>
      <c r="AS13" s="119"/>
      <c r="AT13" s="119"/>
      <c r="AU13" s="119"/>
      <c r="AV13" s="119"/>
      <c r="AW13" s="119"/>
    </row>
    <row r="14" spans="1:49" x14ac:dyDescent="0.2">
      <c r="A14" s="190" t="s">
        <v>379</v>
      </c>
      <c r="B14" s="226">
        <v>196</v>
      </c>
      <c r="C14" s="226">
        <v>165</v>
      </c>
      <c r="D14" s="226">
        <v>200</v>
      </c>
      <c r="E14" s="226">
        <v>235</v>
      </c>
      <c r="F14" s="226">
        <v>293</v>
      </c>
      <c r="G14" s="226">
        <v>327</v>
      </c>
      <c r="H14" s="226">
        <v>342</v>
      </c>
      <c r="I14" s="226">
        <v>356</v>
      </c>
      <c r="J14" s="226">
        <v>376</v>
      </c>
      <c r="K14" s="226">
        <v>273</v>
      </c>
      <c r="L14" s="226">
        <v>121</v>
      </c>
      <c r="M14" s="226">
        <v>73</v>
      </c>
      <c r="N14" s="226">
        <v>114</v>
      </c>
      <c r="O14" s="226">
        <v>145</v>
      </c>
      <c r="P14" s="226">
        <v>82</v>
      </c>
      <c r="Q14" s="226">
        <v>53</v>
      </c>
      <c r="R14" s="226">
        <v>163</v>
      </c>
      <c r="S14" s="226">
        <v>250</v>
      </c>
      <c r="T14" s="226">
        <v>321</v>
      </c>
      <c r="U14" s="226">
        <v>377</v>
      </c>
      <c r="V14" s="226">
        <v>298</v>
      </c>
      <c r="W14" s="226">
        <v>419</v>
      </c>
      <c r="X14" s="226">
        <v>450</v>
      </c>
      <c r="Y14" s="226">
        <v>459</v>
      </c>
      <c r="Z14" s="226">
        <v>465</v>
      </c>
      <c r="AA14" s="499">
        <v>507</v>
      </c>
      <c r="AB14" s="226">
        <v>436</v>
      </c>
      <c r="AC14" s="226">
        <v>569</v>
      </c>
      <c r="AD14" s="226">
        <v>538</v>
      </c>
      <c r="AE14" s="226">
        <v>513</v>
      </c>
      <c r="AF14" s="226">
        <v>503</v>
      </c>
      <c r="AG14" s="226">
        <v>477</v>
      </c>
      <c r="AH14" s="226">
        <v>490</v>
      </c>
      <c r="AI14" s="226"/>
      <c r="AJ14" s="226"/>
      <c r="AK14" s="226"/>
      <c r="AL14" s="226"/>
      <c r="AM14" s="226"/>
      <c r="AN14" s="226"/>
      <c r="AO14" s="226"/>
      <c r="AP14" s="226"/>
      <c r="AQ14" s="226"/>
      <c r="AR14" s="226"/>
      <c r="AS14" s="226"/>
      <c r="AT14" s="226"/>
      <c r="AU14" s="226"/>
      <c r="AV14" s="226"/>
      <c r="AW14" s="226"/>
    </row>
    <row r="15" spans="1:49" x14ac:dyDescent="0.2">
      <c r="A15" s="190" t="s">
        <v>419</v>
      </c>
      <c r="B15" s="226">
        <v>109</v>
      </c>
      <c r="C15" s="226">
        <v>119</v>
      </c>
      <c r="D15" s="226">
        <v>126</v>
      </c>
      <c r="E15" s="226">
        <v>136</v>
      </c>
      <c r="F15" s="226">
        <v>155</v>
      </c>
      <c r="G15" s="226">
        <v>165</v>
      </c>
      <c r="H15" s="226">
        <v>153</v>
      </c>
      <c r="I15" s="226">
        <v>168</v>
      </c>
      <c r="J15" s="226">
        <v>182</v>
      </c>
      <c r="K15" s="226">
        <v>187</v>
      </c>
      <c r="L15" s="226">
        <v>186</v>
      </c>
      <c r="M15" s="226">
        <v>197</v>
      </c>
      <c r="N15" s="226">
        <v>206</v>
      </c>
      <c r="O15" s="226">
        <v>220</v>
      </c>
      <c r="P15" s="226">
        <v>236</v>
      </c>
      <c r="Q15" s="226">
        <v>227</v>
      </c>
      <c r="R15" s="226">
        <v>222</v>
      </c>
      <c r="S15" s="226">
        <v>240</v>
      </c>
      <c r="T15" s="226">
        <v>249</v>
      </c>
      <c r="U15" s="226">
        <v>252</v>
      </c>
      <c r="V15" s="226">
        <v>237</v>
      </c>
      <c r="W15" s="226">
        <v>265</v>
      </c>
      <c r="X15" s="226">
        <v>251</v>
      </c>
      <c r="Y15" s="226">
        <v>238</v>
      </c>
      <c r="Z15" s="226">
        <v>237</v>
      </c>
      <c r="AA15" s="499">
        <v>235</v>
      </c>
      <c r="AB15" s="226">
        <v>101</v>
      </c>
      <c r="AC15" s="226">
        <v>229</v>
      </c>
      <c r="AD15" s="226">
        <v>226</v>
      </c>
      <c r="AE15" s="226">
        <v>210</v>
      </c>
      <c r="AF15" s="226">
        <v>202</v>
      </c>
      <c r="AG15" s="226">
        <v>209</v>
      </c>
      <c r="AH15" s="226">
        <v>219</v>
      </c>
      <c r="AI15" s="226"/>
      <c r="AJ15" s="226"/>
      <c r="AK15" s="226"/>
      <c r="AL15" s="226"/>
      <c r="AM15" s="226"/>
      <c r="AN15" s="226"/>
      <c r="AO15" s="226"/>
      <c r="AP15" s="226"/>
      <c r="AQ15" s="226"/>
      <c r="AR15" s="226"/>
      <c r="AS15" s="226"/>
      <c r="AT15" s="226"/>
      <c r="AU15" s="226"/>
      <c r="AV15" s="226"/>
      <c r="AW15" s="226"/>
    </row>
    <row r="16" spans="1:49" x14ac:dyDescent="0.2">
      <c r="A16" s="190" t="s">
        <v>377</v>
      </c>
      <c r="B16" s="226">
        <v>319</v>
      </c>
      <c r="C16" s="226">
        <v>326</v>
      </c>
      <c r="D16" s="226">
        <v>306</v>
      </c>
      <c r="E16" s="226">
        <v>341</v>
      </c>
      <c r="F16" s="226">
        <v>370</v>
      </c>
      <c r="G16" s="226">
        <v>403</v>
      </c>
      <c r="H16" s="226">
        <v>437</v>
      </c>
      <c r="I16" s="226">
        <v>497</v>
      </c>
      <c r="J16" s="226">
        <v>548</v>
      </c>
      <c r="K16" s="226">
        <v>599</v>
      </c>
      <c r="L16" s="226">
        <v>607</v>
      </c>
      <c r="M16" s="226">
        <v>604</v>
      </c>
      <c r="N16" s="226">
        <v>640</v>
      </c>
      <c r="O16" s="226">
        <v>666</v>
      </c>
      <c r="P16" s="226">
        <v>730</v>
      </c>
      <c r="Q16" s="226">
        <v>734</v>
      </c>
      <c r="R16" s="226">
        <v>749</v>
      </c>
      <c r="S16" s="226">
        <v>791</v>
      </c>
      <c r="T16" s="226">
        <v>827</v>
      </c>
      <c r="U16" s="226">
        <v>825</v>
      </c>
      <c r="V16" s="226">
        <v>779</v>
      </c>
      <c r="W16" s="226">
        <v>857</v>
      </c>
      <c r="X16" s="226">
        <v>833</v>
      </c>
      <c r="Y16" s="226">
        <v>775</v>
      </c>
      <c r="Z16" s="226">
        <v>803</v>
      </c>
      <c r="AA16" s="499">
        <v>836</v>
      </c>
      <c r="AB16" s="226">
        <v>443</v>
      </c>
      <c r="AC16" s="226">
        <v>904</v>
      </c>
      <c r="AD16" s="226">
        <v>916</v>
      </c>
      <c r="AE16" s="226">
        <v>902</v>
      </c>
      <c r="AF16" s="226">
        <v>914</v>
      </c>
      <c r="AG16" s="226">
        <v>892</v>
      </c>
      <c r="AH16" s="226">
        <v>926</v>
      </c>
      <c r="AI16" s="226"/>
      <c r="AJ16" s="226"/>
      <c r="AK16" s="226"/>
      <c r="AL16" s="226"/>
      <c r="AM16" s="226"/>
      <c r="AN16" s="226"/>
      <c r="AO16" s="226"/>
      <c r="AP16" s="226"/>
      <c r="AQ16" s="226"/>
      <c r="AR16" s="226"/>
      <c r="AS16" s="226"/>
      <c r="AT16" s="226"/>
      <c r="AU16" s="226"/>
      <c r="AV16" s="226"/>
      <c r="AW16" s="226"/>
    </row>
    <row r="17" spans="1:49" x14ac:dyDescent="0.2">
      <c r="A17" s="117" t="s">
        <v>380</v>
      </c>
      <c r="B17" s="94">
        <v>1238</v>
      </c>
      <c r="C17" s="94">
        <v>1230</v>
      </c>
      <c r="D17" s="94">
        <v>1242</v>
      </c>
      <c r="E17" s="94">
        <v>1369</v>
      </c>
      <c r="F17" s="94">
        <v>1503</v>
      </c>
      <c r="G17" s="94">
        <v>1634</v>
      </c>
      <c r="H17" s="94">
        <v>1801</v>
      </c>
      <c r="I17" s="94">
        <v>2039</v>
      </c>
      <c r="J17" s="94">
        <v>2252</v>
      </c>
      <c r="K17" s="94">
        <v>2331</v>
      </c>
      <c r="L17" s="94">
        <v>2268</v>
      </c>
      <c r="M17" s="94">
        <v>2335</v>
      </c>
      <c r="N17" s="94">
        <v>2558</v>
      </c>
      <c r="O17" s="94">
        <v>2821</v>
      </c>
      <c r="P17" s="94">
        <v>3078</v>
      </c>
      <c r="Q17" s="94">
        <v>3082</v>
      </c>
      <c r="R17" s="94">
        <v>3207</v>
      </c>
      <c r="S17" s="94">
        <v>3491</v>
      </c>
      <c r="T17" s="94">
        <v>3744</v>
      </c>
      <c r="U17" s="94">
        <v>3936</v>
      </c>
      <c r="V17" s="94">
        <v>3825</v>
      </c>
      <c r="W17" s="94">
        <v>4237</v>
      </c>
      <c r="X17" s="94">
        <v>4286</v>
      </c>
      <c r="Y17" s="94">
        <v>4231</v>
      </c>
      <c r="Z17" s="94">
        <v>4357</v>
      </c>
      <c r="AA17" s="554">
        <v>4500</v>
      </c>
      <c r="AB17" s="94">
        <v>4021</v>
      </c>
      <c r="AC17" s="94">
        <v>4591</v>
      </c>
      <c r="AD17" s="94">
        <v>4543</v>
      </c>
      <c r="AE17" s="94">
        <v>4434</v>
      </c>
      <c r="AF17" s="94">
        <v>4437</v>
      </c>
      <c r="AG17" s="94">
        <v>4371</v>
      </c>
      <c r="AH17" s="94">
        <v>4416</v>
      </c>
      <c r="AI17" s="94"/>
      <c r="AJ17" s="94"/>
      <c r="AK17" s="94"/>
      <c r="AL17" s="94"/>
      <c r="AM17" s="94"/>
      <c r="AN17" s="94"/>
      <c r="AO17" s="94"/>
      <c r="AP17" s="94"/>
      <c r="AQ17" s="94"/>
      <c r="AR17" s="94"/>
      <c r="AS17" s="94"/>
      <c r="AT17" s="94"/>
      <c r="AU17" s="94"/>
      <c r="AV17" s="94"/>
      <c r="AW17" s="94"/>
    </row>
    <row r="18" spans="1:49" x14ac:dyDescent="0.2">
      <c r="A18" s="44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554"/>
      <c r="AB18" s="94"/>
      <c r="AC18" s="94"/>
      <c r="AD18" s="94"/>
      <c r="AE18" s="94"/>
      <c r="AF18" s="94"/>
      <c r="AG18" s="94"/>
      <c r="AH18" s="94"/>
      <c r="AI18" s="94"/>
      <c r="AJ18" s="94"/>
      <c r="AK18" s="94"/>
      <c r="AL18" s="94"/>
      <c r="AM18" s="94"/>
      <c r="AN18" s="94"/>
      <c r="AO18" s="94"/>
      <c r="AP18" s="94"/>
      <c r="AQ18" s="94"/>
      <c r="AR18" s="94"/>
      <c r="AS18" s="94"/>
      <c r="AT18" s="94"/>
      <c r="AU18" s="94"/>
      <c r="AV18" s="94"/>
      <c r="AW18" s="94"/>
    </row>
    <row r="19" spans="1:49" x14ac:dyDescent="0.2">
      <c r="A19" s="563" t="s">
        <v>514</v>
      </c>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554"/>
      <c r="AB19" s="94"/>
      <c r="AC19" s="94"/>
      <c r="AD19" s="94"/>
      <c r="AE19" s="94"/>
      <c r="AF19" s="94"/>
      <c r="AG19" s="94"/>
      <c r="AH19" s="94"/>
      <c r="AI19" s="94"/>
      <c r="AJ19" s="94"/>
      <c r="AK19" s="94"/>
      <c r="AL19" s="94"/>
      <c r="AM19" s="94"/>
      <c r="AN19" s="94"/>
      <c r="AO19" s="94"/>
      <c r="AP19" s="94"/>
      <c r="AQ19" s="94"/>
      <c r="AR19" s="94"/>
      <c r="AS19" s="94"/>
      <c r="AT19" s="94"/>
      <c r="AU19" s="94"/>
      <c r="AV19" s="94"/>
      <c r="AW19" s="94"/>
    </row>
    <row r="20" spans="1:49" x14ac:dyDescent="0.2">
      <c r="A20" s="321" t="s">
        <v>130</v>
      </c>
      <c r="B20" s="516">
        <f>MEDIAN($B$17:$G$17)</f>
        <v>1305.5</v>
      </c>
      <c r="C20" s="516">
        <f t="shared" ref="C20:G20" si="0">MEDIAN($B$17:$G$17)</f>
        <v>1305.5</v>
      </c>
      <c r="D20" s="516">
        <f t="shared" si="0"/>
        <v>1305.5</v>
      </c>
      <c r="E20" s="516">
        <f t="shared" si="0"/>
        <v>1305.5</v>
      </c>
      <c r="F20" s="516">
        <f t="shared" si="0"/>
        <v>1305.5</v>
      </c>
      <c r="G20" s="516">
        <f t="shared" si="0"/>
        <v>1305.5</v>
      </c>
      <c r="H20" s="516"/>
      <c r="I20" s="516"/>
      <c r="J20" s="516"/>
      <c r="K20" s="516"/>
      <c r="L20" s="516"/>
      <c r="M20" s="516"/>
      <c r="N20" s="516"/>
      <c r="O20" s="516"/>
      <c r="P20" s="516"/>
      <c r="Q20" s="516"/>
      <c r="R20" s="516"/>
      <c r="S20" s="516"/>
      <c r="T20" s="516"/>
      <c r="U20" s="516"/>
      <c r="V20" s="516"/>
      <c r="W20" s="516"/>
      <c r="X20" s="516"/>
      <c r="Y20" s="516"/>
      <c r="Z20" s="516"/>
      <c r="AA20" s="555"/>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row>
    <row r="21" spans="1:49" x14ac:dyDescent="0.2">
      <c r="A21" s="321" t="s">
        <v>303</v>
      </c>
      <c r="B21" s="516"/>
      <c r="C21" s="516"/>
      <c r="D21" s="516"/>
      <c r="E21" s="516"/>
      <c r="F21" s="516"/>
      <c r="G21" s="516"/>
      <c r="H21" s="516">
        <f>MEDIAN($H$17:$M$17)</f>
        <v>2260</v>
      </c>
      <c r="I21" s="516">
        <f t="shared" ref="I21:L21" si="1">MEDIAN($H$17:$M$17)</f>
        <v>2260</v>
      </c>
      <c r="J21" s="516">
        <f t="shared" si="1"/>
        <v>2260</v>
      </c>
      <c r="K21" s="516">
        <f t="shared" si="1"/>
        <v>2260</v>
      </c>
      <c r="L21" s="516">
        <f t="shared" si="1"/>
        <v>2260</v>
      </c>
      <c r="M21" s="516">
        <f>MEDIAN($H$17:$M$17)</f>
        <v>2260</v>
      </c>
      <c r="N21" s="516"/>
      <c r="O21" s="516"/>
      <c r="P21" s="516"/>
      <c r="Q21" s="516"/>
      <c r="R21" s="516"/>
      <c r="S21" s="516"/>
      <c r="T21" s="516"/>
      <c r="U21" s="516"/>
      <c r="V21" s="516"/>
      <c r="W21" s="516"/>
      <c r="X21" s="516"/>
      <c r="Y21" s="516"/>
      <c r="Z21" s="516"/>
      <c r="AA21" s="555"/>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row>
    <row r="22" spans="1:49" x14ac:dyDescent="0.2">
      <c r="A22" s="321" t="s">
        <v>305</v>
      </c>
      <c r="B22" s="516"/>
      <c r="C22" s="516"/>
      <c r="D22" s="516"/>
      <c r="E22" s="516"/>
      <c r="F22" s="516"/>
      <c r="G22" s="516"/>
      <c r="H22" s="516"/>
      <c r="I22" s="516"/>
      <c r="J22" s="516"/>
      <c r="K22" s="516"/>
      <c r="L22" s="516"/>
      <c r="M22" s="516"/>
      <c r="N22" s="516">
        <f>MEDIAN($N$17:$S$17)</f>
        <v>3080</v>
      </c>
      <c r="O22" s="516">
        <f t="shared" ref="O22:R22" si="2">MEDIAN($N$17:$S$17)</f>
        <v>3080</v>
      </c>
      <c r="P22" s="516">
        <f t="shared" si="2"/>
        <v>3080</v>
      </c>
      <c r="Q22" s="516">
        <f t="shared" si="2"/>
        <v>3080</v>
      </c>
      <c r="R22" s="516">
        <f t="shared" si="2"/>
        <v>3080</v>
      </c>
      <c r="S22" s="516">
        <f>MEDIAN($N$17:$S$17)</f>
        <v>3080</v>
      </c>
      <c r="T22" s="516"/>
      <c r="U22" s="516"/>
      <c r="V22" s="516"/>
      <c r="W22" s="516"/>
      <c r="X22" s="516"/>
      <c r="Y22" s="516"/>
      <c r="Z22" s="516"/>
      <c r="AA22" s="555"/>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row>
    <row r="23" spans="1:49" x14ac:dyDescent="0.2">
      <c r="A23" s="517" t="s">
        <v>506</v>
      </c>
      <c r="B23" s="516"/>
      <c r="C23" s="516"/>
      <c r="D23" s="516"/>
      <c r="E23" s="516"/>
      <c r="F23" s="516"/>
      <c r="G23" s="516"/>
      <c r="H23" s="516"/>
      <c r="I23" s="516"/>
      <c r="J23" s="516"/>
      <c r="K23" s="516"/>
      <c r="L23" s="516"/>
      <c r="M23" s="516"/>
      <c r="N23" s="516"/>
      <c r="O23" s="516"/>
      <c r="P23" s="516"/>
      <c r="Q23" s="516"/>
      <c r="R23" s="516"/>
      <c r="S23" s="516"/>
      <c r="T23" s="516">
        <f>MEDIAN($T$17:$Y$17)</f>
        <v>4083.5</v>
      </c>
      <c r="U23" s="516">
        <f t="shared" ref="U23:AJ24" si="3">MEDIAN($T$17:$Y$17)</f>
        <v>4083.5</v>
      </c>
      <c r="V23" s="516">
        <f t="shared" si="3"/>
        <v>4083.5</v>
      </c>
      <c r="W23" s="516">
        <f t="shared" si="3"/>
        <v>4083.5</v>
      </c>
      <c r="X23" s="516">
        <f t="shared" si="3"/>
        <v>4083.5</v>
      </c>
      <c r="Y23" s="516">
        <f>MEDIAN($T$17:$Y$17)</f>
        <v>4083.5</v>
      </c>
      <c r="Z23" s="516"/>
      <c r="AA23" s="555"/>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row>
    <row r="24" spans="1:49" x14ac:dyDescent="0.2">
      <c r="A24" s="517" t="s">
        <v>507</v>
      </c>
      <c r="B24" s="516"/>
      <c r="C24" s="516"/>
      <c r="D24" s="516"/>
      <c r="E24" s="516"/>
      <c r="F24" s="516"/>
      <c r="G24" s="516"/>
      <c r="H24" s="516"/>
      <c r="I24" s="516"/>
      <c r="J24" s="516"/>
      <c r="K24" s="516"/>
      <c r="L24" s="516"/>
      <c r="M24" s="516"/>
      <c r="N24" s="516"/>
      <c r="O24" s="516"/>
      <c r="P24" s="516"/>
      <c r="Q24" s="516"/>
      <c r="R24" s="516"/>
      <c r="S24" s="516"/>
      <c r="T24" s="516"/>
      <c r="U24" s="516"/>
      <c r="V24" s="516"/>
      <c r="W24" s="516"/>
      <c r="X24" s="516"/>
      <c r="Y24" s="516">
        <f t="shared" si="3"/>
        <v>4083.5</v>
      </c>
      <c r="Z24" s="516">
        <f t="shared" si="3"/>
        <v>4083.5</v>
      </c>
      <c r="AA24" s="555">
        <f t="shared" si="3"/>
        <v>4083.5</v>
      </c>
      <c r="AB24" s="516">
        <f t="shared" si="3"/>
        <v>4083.5</v>
      </c>
      <c r="AC24" s="516">
        <f t="shared" si="3"/>
        <v>4083.5</v>
      </c>
      <c r="AD24" s="516">
        <f t="shared" si="3"/>
        <v>4083.5</v>
      </c>
      <c r="AE24" s="516">
        <f t="shared" si="3"/>
        <v>4083.5</v>
      </c>
      <c r="AF24" s="516">
        <f t="shared" si="3"/>
        <v>4083.5</v>
      </c>
      <c r="AG24" s="516">
        <f t="shared" si="3"/>
        <v>4083.5</v>
      </c>
      <c r="AH24" s="516">
        <f t="shared" si="3"/>
        <v>4083.5</v>
      </c>
      <c r="AI24" s="516">
        <f t="shared" si="3"/>
        <v>4083.5</v>
      </c>
      <c r="AJ24" s="516">
        <f t="shared" si="3"/>
        <v>4083.5</v>
      </c>
      <c r="AK24" s="516">
        <f t="shared" ref="AK24:AW24" si="4">MEDIAN($T$17:$Y$17)</f>
        <v>4083.5</v>
      </c>
      <c r="AL24" s="516">
        <f t="shared" si="4"/>
        <v>4083.5</v>
      </c>
      <c r="AM24" s="516">
        <f t="shared" si="4"/>
        <v>4083.5</v>
      </c>
      <c r="AN24" s="516">
        <f t="shared" si="4"/>
        <v>4083.5</v>
      </c>
      <c r="AO24" s="516">
        <f t="shared" si="4"/>
        <v>4083.5</v>
      </c>
      <c r="AP24" s="516">
        <f t="shared" si="4"/>
        <v>4083.5</v>
      </c>
      <c r="AQ24" s="516">
        <f t="shared" si="4"/>
        <v>4083.5</v>
      </c>
      <c r="AR24" s="516">
        <f t="shared" si="4"/>
        <v>4083.5</v>
      </c>
      <c r="AS24" s="516">
        <f t="shared" si="4"/>
        <v>4083.5</v>
      </c>
      <c r="AT24" s="516">
        <f t="shared" si="4"/>
        <v>4083.5</v>
      </c>
      <c r="AU24" s="516">
        <f t="shared" si="4"/>
        <v>4083.5</v>
      </c>
      <c r="AV24" s="516">
        <f t="shared" si="4"/>
        <v>4083.5</v>
      </c>
      <c r="AW24" s="516">
        <f t="shared" si="4"/>
        <v>4083.5</v>
      </c>
    </row>
    <row r="25" spans="1:49" x14ac:dyDescent="0.2">
      <c r="A25" s="405" t="s">
        <v>130</v>
      </c>
      <c r="B25" s="406">
        <f>MEDIAN($B$17:$M$17)</f>
        <v>1717.5</v>
      </c>
      <c r="C25" s="406">
        <f t="shared" ref="C25:M25" si="5">MEDIAN($B$17:$M$17)</f>
        <v>1717.5</v>
      </c>
      <c r="D25" s="406">
        <f t="shared" si="5"/>
        <v>1717.5</v>
      </c>
      <c r="E25" s="406">
        <f t="shared" si="5"/>
        <v>1717.5</v>
      </c>
      <c r="F25" s="406">
        <f t="shared" si="5"/>
        <v>1717.5</v>
      </c>
      <c r="G25" s="406">
        <f t="shared" si="5"/>
        <v>1717.5</v>
      </c>
      <c r="H25" s="406">
        <f t="shared" si="5"/>
        <v>1717.5</v>
      </c>
      <c r="I25" s="406">
        <f t="shared" si="5"/>
        <v>1717.5</v>
      </c>
      <c r="J25" s="406">
        <f t="shared" si="5"/>
        <v>1717.5</v>
      </c>
      <c r="K25" s="406">
        <f t="shared" si="5"/>
        <v>1717.5</v>
      </c>
      <c r="L25" s="406">
        <f t="shared" si="5"/>
        <v>1717.5</v>
      </c>
      <c r="M25" s="406">
        <f t="shared" si="5"/>
        <v>1717.5</v>
      </c>
      <c r="N25" s="406"/>
      <c r="O25" s="406"/>
      <c r="P25" s="406"/>
      <c r="Q25" s="406"/>
      <c r="R25" s="406"/>
      <c r="S25" s="406"/>
      <c r="T25" s="406"/>
      <c r="U25" s="406"/>
      <c r="V25" s="406"/>
      <c r="W25" s="406"/>
      <c r="X25" s="406"/>
      <c r="Y25" s="406"/>
      <c r="Z25" s="406"/>
      <c r="AA25" s="556"/>
      <c r="AB25" s="406"/>
      <c r="AC25" s="406"/>
      <c r="AD25" s="406"/>
      <c r="AE25" s="406"/>
      <c r="AF25" s="406"/>
      <c r="AG25" s="406"/>
      <c r="AH25" s="406"/>
      <c r="AI25" s="406"/>
      <c r="AJ25" s="406"/>
      <c r="AK25" s="406"/>
      <c r="AL25" s="406"/>
      <c r="AM25" s="406"/>
      <c r="AN25" s="406"/>
      <c r="AO25" s="406"/>
      <c r="AP25" s="406"/>
      <c r="AQ25" s="406"/>
      <c r="AR25" s="406"/>
      <c r="AS25" s="406"/>
      <c r="AT25" s="406"/>
      <c r="AU25" s="406"/>
      <c r="AV25" s="406"/>
      <c r="AW25" s="406"/>
    </row>
    <row r="26" spans="1:49" x14ac:dyDescent="0.2">
      <c r="A26" s="405" t="s">
        <v>303</v>
      </c>
      <c r="B26" s="406"/>
      <c r="C26" s="406"/>
      <c r="D26" s="406"/>
      <c r="E26" s="406"/>
      <c r="F26" s="406"/>
      <c r="G26" s="406"/>
      <c r="H26" s="406"/>
      <c r="I26" s="406"/>
      <c r="J26" s="406"/>
      <c r="K26" s="406"/>
      <c r="L26" s="406"/>
      <c r="M26" s="406"/>
      <c r="N26" s="406">
        <f>MEDIAN($N$17:$Y$17)</f>
        <v>3617.5</v>
      </c>
      <c r="O26" s="406">
        <f t="shared" ref="O26:AG27" si="6">MEDIAN($N$17:$Y$17)</f>
        <v>3617.5</v>
      </c>
      <c r="P26" s="406">
        <f t="shared" si="6"/>
        <v>3617.5</v>
      </c>
      <c r="Q26" s="406">
        <f t="shared" si="6"/>
        <v>3617.5</v>
      </c>
      <c r="R26" s="406">
        <f t="shared" si="6"/>
        <v>3617.5</v>
      </c>
      <c r="S26" s="406">
        <f t="shared" si="6"/>
        <v>3617.5</v>
      </c>
      <c r="T26" s="406">
        <f t="shared" si="6"/>
        <v>3617.5</v>
      </c>
      <c r="U26" s="406">
        <f t="shared" si="6"/>
        <v>3617.5</v>
      </c>
      <c r="V26" s="406">
        <f t="shared" si="6"/>
        <v>3617.5</v>
      </c>
      <c r="W26" s="406">
        <f t="shared" si="6"/>
        <v>3617.5</v>
      </c>
      <c r="X26" s="406">
        <f t="shared" si="6"/>
        <v>3617.5</v>
      </c>
      <c r="Y26" s="406">
        <f t="shared" si="6"/>
        <v>3617.5</v>
      </c>
      <c r="Z26" s="406"/>
      <c r="AA26" s="556"/>
      <c r="AB26" s="406"/>
      <c r="AC26" s="406"/>
      <c r="AD26" s="406"/>
      <c r="AE26" s="406"/>
      <c r="AF26" s="406"/>
      <c r="AG26" s="406"/>
      <c r="AH26" s="406"/>
      <c r="AI26" s="406"/>
      <c r="AJ26" s="406"/>
      <c r="AK26" s="406"/>
      <c r="AL26" s="406"/>
      <c r="AM26" s="406"/>
      <c r="AN26" s="406"/>
      <c r="AO26" s="406"/>
      <c r="AP26" s="406"/>
      <c r="AQ26" s="406"/>
      <c r="AR26" s="406"/>
      <c r="AS26" s="406"/>
      <c r="AT26" s="406"/>
      <c r="AU26" s="406"/>
      <c r="AV26" s="406"/>
      <c r="AW26" s="406"/>
    </row>
    <row r="27" spans="1:49" x14ac:dyDescent="0.2">
      <c r="A27" s="405" t="s">
        <v>304</v>
      </c>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f t="shared" si="6"/>
        <v>3617.5</v>
      </c>
      <c r="Z27" s="406">
        <f t="shared" si="6"/>
        <v>3617.5</v>
      </c>
      <c r="AA27" s="556">
        <f t="shared" si="6"/>
        <v>3617.5</v>
      </c>
      <c r="AB27" s="556">
        <f t="shared" si="6"/>
        <v>3617.5</v>
      </c>
      <c r="AC27" s="556">
        <f t="shared" si="6"/>
        <v>3617.5</v>
      </c>
      <c r="AD27" s="556">
        <f t="shared" si="6"/>
        <v>3617.5</v>
      </c>
      <c r="AE27" s="556">
        <f t="shared" si="6"/>
        <v>3617.5</v>
      </c>
      <c r="AF27" s="556">
        <f t="shared" si="6"/>
        <v>3617.5</v>
      </c>
      <c r="AG27" s="556">
        <f t="shared" si="6"/>
        <v>3617.5</v>
      </c>
      <c r="AH27" s="556">
        <f t="shared" ref="AH27" si="7">MEDIAN($N$17:$Y$17)</f>
        <v>3617.5</v>
      </c>
      <c r="AI27" s="406"/>
      <c r="AJ27" s="406"/>
      <c r="AK27" s="406"/>
      <c r="AL27" s="406"/>
      <c r="AM27" s="406"/>
      <c r="AN27" s="406"/>
      <c r="AO27" s="406"/>
      <c r="AP27" s="406"/>
      <c r="AQ27" s="406"/>
      <c r="AR27" s="406"/>
      <c r="AS27" s="406"/>
      <c r="AT27" s="406"/>
      <c r="AU27" s="406"/>
      <c r="AV27" s="406"/>
      <c r="AW27" s="406"/>
    </row>
    <row r="28" spans="1:49" x14ac:dyDescent="0.2">
      <c r="A28" s="405" t="s">
        <v>305</v>
      </c>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556"/>
      <c r="AB28" s="406"/>
      <c r="AC28" s="406"/>
      <c r="AD28" s="406"/>
      <c r="AE28" s="406"/>
      <c r="AF28" s="406"/>
      <c r="AG28" s="406"/>
      <c r="AH28" s="406"/>
      <c r="AI28" s="406"/>
      <c r="AJ28" s="406"/>
      <c r="AK28" s="406"/>
      <c r="AL28" s="406"/>
      <c r="AM28" s="406"/>
      <c r="AN28" s="406"/>
      <c r="AO28" s="406"/>
      <c r="AP28" s="406"/>
      <c r="AQ28" s="406"/>
      <c r="AR28" s="406"/>
      <c r="AS28" s="406"/>
      <c r="AT28" s="406"/>
      <c r="AU28" s="406"/>
      <c r="AV28" s="406"/>
      <c r="AW28" s="406"/>
    </row>
    <row r="29" spans="1:49" x14ac:dyDescent="0.2">
      <c r="A29" s="407" t="s">
        <v>306</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556"/>
      <c r="AB29" s="406"/>
      <c r="AC29" s="406"/>
      <c r="AD29" s="406"/>
      <c r="AE29" s="406"/>
      <c r="AF29" s="406"/>
      <c r="AG29" s="406"/>
      <c r="AH29" s="406"/>
      <c r="AI29" s="406"/>
      <c r="AJ29" s="406"/>
      <c r="AK29" s="406"/>
      <c r="AL29" s="406"/>
      <c r="AM29" s="406"/>
      <c r="AN29" s="406"/>
      <c r="AO29" s="406"/>
      <c r="AP29" s="406"/>
      <c r="AQ29" s="406"/>
      <c r="AR29" s="406"/>
      <c r="AS29" s="406"/>
      <c r="AT29" s="406"/>
      <c r="AU29" s="406"/>
      <c r="AV29" s="406"/>
      <c r="AW29" s="406"/>
    </row>
    <row r="30" spans="1:49" x14ac:dyDescent="0.2">
      <c r="A30" s="496" t="s">
        <v>466</v>
      </c>
      <c r="B30" s="406"/>
      <c r="C30" s="406">
        <f>(C17-B17)*-1</f>
        <v>8</v>
      </c>
      <c r="D30" s="406">
        <f t="shared" ref="D30:K30" si="8">(D17-C17)</f>
        <v>12</v>
      </c>
      <c r="E30" s="406">
        <f t="shared" si="8"/>
        <v>127</v>
      </c>
      <c r="F30" s="406">
        <f t="shared" si="8"/>
        <v>134</v>
      </c>
      <c r="G30" s="406">
        <f t="shared" si="8"/>
        <v>131</v>
      </c>
      <c r="H30" s="406">
        <f t="shared" si="8"/>
        <v>167</v>
      </c>
      <c r="I30" s="406">
        <f t="shared" si="8"/>
        <v>238</v>
      </c>
      <c r="J30" s="406">
        <f t="shared" si="8"/>
        <v>213</v>
      </c>
      <c r="K30" s="406">
        <f t="shared" si="8"/>
        <v>79</v>
      </c>
      <c r="L30" s="406">
        <f>(L17-K17)*-1</f>
        <v>63</v>
      </c>
      <c r="M30" s="406">
        <f t="shared" ref="M30:U30" si="9">(M17-L17)</f>
        <v>67</v>
      </c>
      <c r="N30" s="406">
        <f t="shared" si="9"/>
        <v>223</v>
      </c>
      <c r="O30" s="406">
        <f t="shared" si="9"/>
        <v>263</v>
      </c>
      <c r="P30" s="406">
        <f t="shared" si="9"/>
        <v>257</v>
      </c>
      <c r="Q30" s="406">
        <f t="shared" si="9"/>
        <v>4</v>
      </c>
      <c r="R30" s="406">
        <f t="shared" si="9"/>
        <v>125</v>
      </c>
      <c r="S30" s="406">
        <f t="shared" si="9"/>
        <v>284</v>
      </c>
      <c r="T30" s="406">
        <f t="shared" si="9"/>
        <v>253</v>
      </c>
      <c r="U30" s="406">
        <f t="shared" si="9"/>
        <v>192</v>
      </c>
      <c r="V30" s="406">
        <f>(V17-U17)*-1</f>
        <v>111</v>
      </c>
      <c r="W30" s="406">
        <f>(W17-V17)</f>
        <v>412</v>
      </c>
      <c r="X30" s="406">
        <f>(X17-W17)</f>
        <v>49</v>
      </c>
      <c r="Y30" s="406">
        <f>(Y17-X17)*-1</f>
        <v>55</v>
      </c>
      <c r="Z30" s="406">
        <f>(Z17-Y17)</f>
        <v>126</v>
      </c>
      <c r="AA30" s="556">
        <f>(AA17-Z17)</f>
        <v>143</v>
      </c>
      <c r="AB30" s="556">
        <f>(AB17-AA17)*-1</f>
        <v>479</v>
      </c>
      <c r="AC30" s="556">
        <f>(AC17-AB17)</f>
        <v>570</v>
      </c>
      <c r="AD30" s="556">
        <f>(AD17-AC17)*-1</f>
        <v>48</v>
      </c>
      <c r="AE30" s="556">
        <f>(AE17-AD17)*-1</f>
        <v>109</v>
      </c>
      <c r="AF30" s="556">
        <f>(AF17-AE17)</f>
        <v>3</v>
      </c>
      <c r="AG30" s="556">
        <f t="shared" ref="AG30:AH30" si="10">(AG17-AF17)</f>
        <v>-66</v>
      </c>
      <c r="AH30" s="556">
        <f t="shared" si="10"/>
        <v>45</v>
      </c>
      <c r="AI30" s="406"/>
      <c r="AJ30" s="406"/>
      <c r="AK30" s="406"/>
      <c r="AL30" s="406"/>
      <c r="AM30" s="406"/>
      <c r="AN30" s="406"/>
      <c r="AO30" s="406"/>
      <c r="AP30" s="406"/>
      <c r="AQ30" s="406"/>
      <c r="AR30" s="406"/>
      <c r="AS30" s="406"/>
      <c r="AT30" s="406"/>
      <c r="AU30" s="406"/>
      <c r="AV30" s="406"/>
      <c r="AW30" s="406"/>
    </row>
    <row r="31" spans="1:49" ht="42.75" x14ac:dyDescent="0.2">
      <c r="A31" s="455" t="s">
        <v>497</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55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row>
    <row r="32" spans="1:49" x14ac:dyDescent="0.2">
      <c r="A32" s="460" t="s">
        <v>468</v>
      </c>
      <c r="B32" s="406">
        <f>AVERAGE($B$17:$AW$17)</f>
        <v>3133.5757575757575</v>
      </c>
      <c r="C32" s="406">
        <f t="shared" ref="C32:AW32" si="11">AVERAGE($B$17:$AW$17)</f>
        <v>3133.5757575757575</v>
      </c>
      <c r="D32" s="406">
        <f t="shared" si="11"/>
        <v>3133.5757575757575</v>
      </c>
      <c r="E32" s="406">
        <f t="shared" si="11"/>
        <v>3133.5757575757575</v>
      </c>
      <c r="F32" s="406">
        <f t="shared" si="11"/>
        <v>3133.5757575757575</v>
      </c>
      <c r="G32" s="406">
        <f t="shared" si="11"/>
        <v>3133.5757575757575</v>
      </c>
      <c r="H32" s="406">
        <f t="shared" si="11"/>
        <v>3133.5757575757575</v>
      </c>
      <c r="I32" s="406">
        <f t="shared" si="11"/>
        <v>3133.5757575757575</v>
      </c>
      <c r="J32" s="406">
        <f t="shared" si="11"/>
        <v>3133.5757575757575</v>
      </c>
      <c r="K32" s="406">
        <f t="shared" si="11"/>
        <v>3133.5757575757575</v>
      </c>
      <c r="L32" s="406">
        <f t="shared" si="11"/>
        <v>3133.5757575757575</v>
      </c>
      <c r="M32" s="406">
        <f t="shared" si="11"/>
        <v>3133.5757575757575</v>
      </c>
      <c r="N32" s="406">
        <f t="shared" si="11"/>
        <v>3133.5757575757575</v>
      </c>
      <c r="O32" s="406">
        <f t="shared" si="11"/>
        <v>3133.5757575757575</v>
      </c>
      <c r="P32" s="406">
        <f t="shared" si="11"/>
        <v>3133.5757575757575</v>
      </c>
      <c r="Q32" s="406">
        <f t="shared" si="11"/>
        <v>3133.5757575757575</v>
      </c>
      <c r="R32" s="406">
        <f t="shared" si="11"/>
        <v>3133.5757575757575</v>
      </c>
      <c r="S32" s="406">
        <f t="shared" si="11"/>
        <v>3133.5757575757575</v>
      </c>
      <c r="T32" s="406">
        <f t="shared" si="11"/>
        <v>3133.5757575757575</v>
      </c>
      <c r="U32" s="406">
        <f t="shared" si="11"/>
        <v>3133.5757575757575</v>
      </c>
      <c r="V32" s="406">
        <f t="shared" si="11"/>
        <v>3133.5757575757575</v>
      </c>
      <c r="W32" s="406">
        <f t="shared" si="11"/>
        <v>3133.5757575757575</v>
      </c>
      <c r="X32" s="406">
        <f t="shared" si="11"/>
        <v>3133.5757575757575</v>
      </c>
      <c r="Y32" s="406">
        <f t="shared" si="11"/>
        <v>3133.5757575757575</v>
      </c>
      <c r="Z32" s="406">
        <f t="shared" si="11"/>
        <v>3133.5757575757575</v>
      </c>
      <c r="AA32" s="556">
        <f t="shared" si="11"/>
        <v>3133.5757575757575</v>
      </c>
      <c r="AB32" s="406">
        <f t="shared" si="11"/>
        <v>3133.5757575757575</v>
      </c>
      <c r="AC32" s="406">
        <f t="shared" si="11"/>
        <v>3133.5757575757575</v>
      </c>
      <c r="AD32" s="406">
        <f t="shared" si="11"/>
        <v>3133.5757575757575</v>
      </c>
      <c r="AE32" s="406">
        <f t="shared" si="11"/>
        <v>3133.5757575757575</v>
      </c>
      <c r="AF32" s="406">
        <f t="shared" si="11"/>
        <v>3133.5757575757575</v>
      </c>
      <c r="AG32" s="406">
        <f t="shared" si="11"/>
        <v>3133.5757575757575</v>
      </c>
      <c r="AH32" s="406">
        <f t="shared" si="11"/>
        <v>3133.5757575757575</v>
      </c>
      <c r="AI32" s="406">
        <f t="shared" si="11"/>
        <v>3133.5757575757575</v>
      </c>
      <c r="AJ32" s="406">
        <f t="shared" si="11"/>
        <v>3133.5757575757575</v>
      </c>
      <c r="AK32" s="406">
        <f t="shared" si="11"/>
        <v>3133.5757575757575</v>
      </c>
      <c r="AL32" s="406">
        <f t="shared" si="11"/>
        <v>3133.5757575757575</v>
      </c>
      <c r="AM32" s="406">
        <f t="shared" si="11"/>
        <v>3133.5757575757575</v>
      </c>
      <c r="AN32" s="406">
        <f t="shared" si="11"/>
        <v>3133.5757575757575</v>
      </c>
      <c r="AO32" s="406">
        <f t="shared" si="11"/>
        <v>3133.5757575757575</v>
      </c>
      <c r="AP32" s="406">
        <f t="shared" si="11"/>
        <v>3133.5757575757575</v>
      </c>
      <c r="AQ32" s="406">
        <f t="shared" si="11"/>
        <v>3133.5757575757575</v>
      </c>
      <c r="AR32" s="406">
        <f t="shared" si="11"/>
        <v>3133.5757575757575</v>
      </c>
      <c r="AS32" s="406">
        <f t="shared" si="11"/>
        <v>3133.5757575757575</v>
      </c>
      <c r="AT32" s="406">
        <f t="shared" si="11"/>
        <v>3133.5757575757575</v>
      </c>
      <c r="AU32" s="406">
        <f t="shared" si="11"/>
        <v>3133.5757575757575</v>
      </c>
      <c r="AV32" s="406">
        <f t="shared" si="11"/>
        <v>3133.5757575757575</v>
      </c>
      <c r="AW32" s="406">
        <f t="shared" si="11"/>
        <v>3133.5757575757575</v>
      </c>
    </row>
    <row r="33" spans="1:49" x14ac:dyDescent="0.2">
      <c r="A33" s="445" t="s">
        <v>467</v>
      </c>
      <c r="B33" s="406">
        <f>SUM(C30:AW30)/COUNT(C30:AW30)</f>
        <v>153.875</v>
      </c>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55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row>
    <row r="34" spans="1:49" ht="25.5" x14ac:dyDescent="0.2">
      <c r="A34" s="445" t="s">
        <v>470</v>
      </c>
      <c r="B34" s="406">
        <f>B33/1.128</f>
        <v>136.4140070921986</v>
      </c>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55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row>
    <row r="35" spans="1:49" x14ac:dyDescent="0.2">
      <c r="A35" s="445" t="s">
        <v>473</v>
      </c>
      <c r="B35" s="406">
        <f>$B$32+(3*$B$34)</f>
        <v>3542.8177788523535</v>
      </c>
      <c r="C35" s="406">
        <f t="shared" ref="C35:AW35" si="12">$B$32+(3*$B$34)</f>
        <v>3542.8177788523535</v>
      </c>
      <c r="D35" s="406">
        <f t="shared" si="12"/>
        <v>3542.8177788523535</v>
      </c>
      <c r="E35" s="406">
        <f t="shared" si="12"/>
        <v>3542.8177788523535</v>
      </c>
      <c r="F35" s="406">
        <f t="shared" si="12"/>
        <v>3542.8177788523535</v>
      </c>
      <c r="G35" s="406">
        <f t="shared" si="12"/>
        <v>3542.8177788523535</v>
      </c>
      <c r="H35" s="406">
        <f t="shared" si="12"/>
        <v>3542.8177788523535</v>
      </c>
      <c r="I35" s="406">
        <f t="shared" si="12"/>
        <v>3542.8177788523535</v>
      </c>
      <c r="J35" s="406">
        <f t="shared" si="12"/>
        <v>3542.8177788523535</v>
      </c>
      <c r="K35" s="406">
        <f t="shared" si="12"/>
        <v>3542.8177788523535</v>
      </c>
      <c r="L35" s="406">
        <f t="shared" si="12"/>
        <v>3542.8177788523535</v>
      </c>
      <c r="M35" s="406">
        <f t="shared" si="12"/>
        <v>3542.8177788523535</v>
      </c>
      <c r="N35" s="406">
        <f t="shared" si="12"/>
        <v>3542.8177788523535</v>
      </c>
      <c r="O35" s="406">
        <f t="shared" si="12"/>
        <v>3542.8177788523535</v>
      </c>
      <c r="P35" s="406">
        <f t="shared" si="12"/>
        <v>3542.8177788523535</v>
      </c>
      <c r="Q35" s="406">
        <f t="shared" si="12"/>
        <v>3542.8177788523535</v>
      </c>
      <c r="R35" s="406">
        <f t="shared" si="12"/>
        <v>3542.8177788523535</v>
      </c>
      <c r="S35" s="406">
        <f t="shared" si="12"/>
        <v>3542.8177788523535</v>
      </c>
      <c r="T35" s="406">
        <f t="shared" si="12"/>
        <v>3542.8177788523535</v>
      </c>
      <c r="U35" s="406">
        <f t="shared" si="12"/>
        <v>3542.8177788523535</v>
      </c>
      <c r="V35" s="406">
        <f t="shared" si="12"/>
        <v>3542.8177788523535</v>
      </c>
      <c r="W35" s="406">
        <f t="shared" si="12"/>
        <v>3542.8177788523535</v>
      </c>
      <c r="X35" s="406">
        <f t="shared" si="12"/>
        <v>3542.8177788523535</v>
      </c>
      <c r="Y35" s="406">
        <f t="shared" si="12"/>
        <v>3542.8177788523535</v>
      </c>
      <c r="Z35" s="406">
        <f t="shared" si="12"/>
        <v>3542.8177788523535</v>
      </c>
      <c r="AA35" s="556">
        <f t="shared" si="12"/>
        <v>3542.8177788523535</v>
      </c>
      <c r="AB35" s="406">
        <f t="shared" si="12"/>
        <v>3542.8177788523535</v>
      </c>
      <c r="AC35" s="406">
        <f t="shared" si="12"/>
        <v>3542.8177788523535</v>
      </c>
      <c r="AD35" s="406">
        <f t="shared" si="12"/>
        <v>3542.8177788523535</v>
      </c>
      <c r="AE35" s="406">
        <f t="shared" si="12"/>
        <v>3542.8177788523535</v>
      </c>
      <c r="AF35" s="406">
        <f t="shared" si="12"/>
        <v>3542.8177788523535</v>
      </c>
      <c r="AG35" s="406">
        <f t="shared" si="12"/>
        <v>3542.8177788523535</v>
      </c>
      <c r="AH35" s="406">
        <f t="shared" si="12"/>
        <v>3542.8177788523535</v>
      </c>
      <c r="AI35" s="406">
        <f t="shared" si="12"/>
        <v>3542.8177788523535</v>
      </c>
      <c r="AJ35" s="406">
        <f t="shared" si="12"/>
        <v>3542.8177788523535</v>
      </c>
      <c r="AK35" s="406">
        <f t="shared" si="12"/>
        <v>3542.8177788523535</v>
      </c>
      <c r="AL35" s="406">
        <f t="shared" si="12"/>
        <v>3542.8177788523535</v>
      </c>
      <c r="AM35" s="406">
        <f t="shared" si="12"/>
        <v>3542.8177788523535</v>
      </c>
      <c r="AN35" s="406">
        <f t="shared" si="12"/>
        <v>3542.8177788523535</v>
      </c>
      <c r="AO35" s="406">
        <f t="shared" si="12"/>
        <v>3542.8177788523535</v>
      </c>
      <c r="AP35" s="406">
        <f t="shared" si="12"/>
        <v>3542.8177788523535</v>
      </c>
      <c r="AQ35" s="406">
        <f t="shared" si="12"/>
        <v>3542.8177788523535</v>
      </c>
      <c r="AR35" s="406">
        <f t="shared" si="12"/>
        <v>3542.8177788523535</v>
      </c>
      <c r="AS35" s="406">
        <f t="shared" si="12"/>
        <v>3542.8177788523535</v>
      </c>
      <c r="AT35" s="406">
        <f t="shared" si="12"/>
        <v>3542.8177788523535</v>
      </c>
      <c r="AU35" s="406">
        <f t="shared" si="12"/>
        <v>3542.8177788523535</v>
      </c>
      <c r="AV35" s="406">
        <f t="shared" si="12"/>
        <v>3542.8177788523535</v>
      </c>
      <c r="AW35" s="406">
        <f t="shared" si="12"/>
        <v>3542.8177788523535</v>
      </c>
    </row>
    <row r="36" spans="1:49" x14ac:dyDescent="0.2">
      <c r="A36" s="445" t="s">
        <v>475</v>
      </c>
      <c r="B36" s="406">
        <f>$B$32-(3*$B$34)</f>
        <v>2724.3337362991615</v>
      </c>
      <c r="C36" s="406">
        <f t="shared" ref="C36:AW36" si="13">$B$32-(3*$B$34)</f>
        <v>2724.3337362991615</v>
      </c>
      <c r="D36" s="406">
        <f t="shared" si="13"/>
        <v>2724.3337362991615</v>
      </c>
      <c r="E36" s="406">
        <f t="shared" si="13"/>
        <v>2724.3337362991615</v>
      </c>
      <c r="F36" s="406">
        <f t="shared" si="13"/>
        <v>2724.3337362991615</v>
      </c>
      <c r="G36" s="406">
        <f t="shared" si="13"/>
        <v>2724.3337362991615</v>
      </c>
      <c r="H36" s="406">
        <f t="shared" si="13"/>
        <v>2724.3337362991615</v>
      </c>
      <c r="I36" s="406">
        <f t="shared" si="13"/>
        <v>2724.3337362991615</v>
      </c>
      <c r="J36" s="406">
        <f t="shared" si="13"/>
        <v>2724.3337362991615</v>
      </c>
      <c r="K36" s="406">
        <f t="shared" si="13"/>
        <v>2724.3337362991615</v>
      </c>
      <c r="L36" s="406">
        <f t="shared" si="13"/>
        <v>2724.3337362991615</v>
      </c>
      <c r="M36" s="406">
        <f t="shared" si="13"/>
        <v>2724.3337362991615</v>
      </c>
      <c r="N36" s="406">
        <f t="shared" si="13"/>
        <v>2724.3337362991615</v>
      </c>
      <c r="O36" s="406">
        <f t="shared" si="13"/>
        <v>2724.3337362991615</v>
      </c>
      <c r="P36" s="406">
        <f t="shared" si="13"/>
        <v>2724.3337362991615</v>
      </c>
      <c r="Q36" s="406">
        <f t="shared" si="13"/>
        <v>2724.3337362991615</v>
      </c>
      <c r="R36" s="406">
        <f t="shared" si="13"/>
        <v>2724.3337362991615</v>
      </c>
      <c r="S36" s="406">
        <f t="shared" si="13"/>
        <v>2724.3337362991615</v>
      </c>
      <c r="T36" s="406">
        <f t="shared" si="13"/>
        <v>2724.3337362991615</v>
      </c>
      <c r="U36" s="406">
        <f t="shared" si="13"/>
        <v>2724.3337362991615</v>
      </c>
      <c r="V36" s="406">
        <f t="shared" si="13"/>
        <v>2724.3337362991615</v>
      </c>
      <c r="W36" s="406">
        <f t="shared" si="13"/>
        <v>2724.3337362991615</v>
      </c>
      <c r="X36" s="406">
        <f t="shared" si="13"/>
        <v>2724.3337362991615</v>
      </c>
      <c r="Y36" s="406">
        <f t="shared" si="13"/>
        <v>2724.3337362991615</v>
      </c>
      <c r="Z36" s="406">
        <f t="shared" si="13"/>
        <v>2724.3337362991615</v>
      </c>
      <c r="AA36" s="556">
        <f t="shared" si="13"/>
        <v>2724.3337362991615</v>
      </c>
      <c r="AB36" s="406">
        <f t="shared" si="13"/>
        <v>2724.3337362991615</v>
      </c>
      <c r="AC36" s="406">
        <f t="shared" si="13"/>
        <v>2724.3337362991615</v>
      </c>
      <c r="AD36" s="406">
        <f t="shared" si="13"/>
        <v>2724.3337362991615</v>
      </c>
      <c r="AE36" s="406">
        <f t="shared" si="13"/>
        <v>2724.3337362991615</v>
      </c>
      <c r="AF36" s="406">
        <f t="shared" si="13"/>
        <v>2724.3337362991615</v>
      </c>
      <c r="AG36" s="406">
        <f t="shared" si="13"/>
        <v>2724.3337362991615</v>
      </c>
      <c r="AH36" s="406">
        <f t="shared" si="13"/>
        <v>2724.3337362991615</v>
      </c>
      <c r="AI36" s="406">
        <f t="shared" si="13"/>
        <v>2724.3337362991615</v>
      </c>
      <c r="AJ36" s="406">
        <f t="shared" si="13"/>
        <v>2724.3337362991615</v>
      </c>
      <c r="AK36" s="406">
        <f t="shared" si="13"/>
        <v>2724.3337362991615</v>
      </c>
      <c r="AL36" s="406">
        <f t="shared" si="13"/>
        <v>2724.3337362991615</v>
      </c>
      <c r="AM36" s="406">
        <f t="shared" si="13"/>
        <v>2724.3337362991615</v>
      </c>
      <c r="AN36" s="406">
        <f t="shared" si="13"/>
        <v>2724.3337362991615</v>
      </c>
      <c r="AO36" s="406">
        <f t="shared" si="13"/>
        <v>2724.3337362991615</v>
      </c>
      <c r="AP36" s="406">
        <f t="shared" si="13"/>
        <v>2724.3337362991615</v>
      </c>
      <c r="AQ36" s="406">
        <f t="shared" si="13"/>
        <v>2724.3337362991615</v>
      </c>
      <c r="AR36" s="406">
        <f t="shared" si="13"/>
        <v>2724.3337362991615</v>
      </c>
      <c r="AS36" s="406">
        <f t="shared" si="13"/>
        <v>2724.3337362991615</v>
      </c>
      <c r="AT36" s="406">
        <f t="shared" si="13"/>
        <v>2724.3337362991615</v>
      </c>
      <c r="AU36" s="406">
        <f t="shared" si="13"/>
        <v>2724.3337362991615</v>
      </c>
      <c r="AV36" s="406">
        <f t="shared" si="13"/>
        <v>2724.3337362991615</v>
      </c>
      <c r="AW36" s="406">
        <f t="shared" si="13"/>
        <v>2724.3337362991615</v>
      </c>
    </row>
    <row r="37" spans="1:49" x14ac:dyDescent="0.2">
      <c r="A37" s="480"/>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556"/>
      <c r="AB37" s="406"/>
      <c r="AC37" s="406"/>
      <c r="AD37" s="406"/>
      <c r="AE37" s="406"/>
      <c r="AF37" s="406"/>
      <c r="AG37" s="406"/>
      <c r="AH37" s="406"/>
      <c r="AI37" s="406"/>
      <c r="AJ37" s="406"/>
      <c r="AK37" s="406"/>
      <c r="AL37" s="406"/>
      <c r="AM37" s="406"/>
      <c r="AN37" s="406"/>
      <c r="AO37" s="406"/>
      <c r="AP37" s="406"/>
      <c r="AQ37" s="406"/>
      <c r="AR37" s="406"/>
      <c r="AS37" s="406"/>
      <c r="AT37" s="406"/>
      <c r="AU37" s="406"/>
      <c r="AV37" s="406"/>
      <c r="AW37" s="406"/>
    </row>
    <row r="38" spans="1:49" x14ac:dyDescent="0.2">
      <c r="A38" s="255" t="s">
        <v>16</v>
      </c>
      <c r="B38" s="314">
        <v>0</v>
      </c>
      <c r="C38" s="314">
        <v>0</v>
      </c>
      <c r="D38" s="314">
        <v>0</v>
      </c>
      <c r="E38" s="314">
        <v>0</v>
      </c>
      <c r="F38" s="314">
        <v>0</v>
      </c>
      <c r="G38" s="314">
        <v>0</v>
      </c>
      <c r="H38" s="314">
        <v>0</v>
      </c>
      <c r="I38" s="314">
        <v>0</v>
      </c>
      <c r="J38" s="314">
        <v>0</v>
      </c>
      <c r="K38" s="314">
        <v>0</v>
      </c>
      <c r="L38" s="314">
        <v>0</v>
      </c>
      <c r="M38" s="314">
        <v>0</v>
      </c>
      <c r="N38" s="314">
        <v>0</v>
      </c>
      <c r="O38" s="314">
        <v>0</v>
      </c>
      <c r="P38" s="314">
        <v>0</v>
      </c>
      <c r="Q38" s="314">
        <v>0</v>
      </c>
      <c r="R38" s="314">
        <v>0</v>
      </c>
      <c r="S38" s="314">
        <v>0</v>
      </c>
      <c r="T38" s="314">
        <v>0</v>
      </c>
      <c r="U38" s="314">
        <v>0</v>
      </c>
      <c r="V38" s="314">
        <v>0</v>
      </c>
      <c r="W38" s="314">
        <v>0</v>
      </c>
      <c r="X38" s="314">
        <v>0</v>
      </c>
      <c r="Y38" s="314">
        <v>0</v>
      </c>
      <c r="Z38" s="314">
        <v>0</v>
      </c>
      <c r="AA38" s="314">
        <v>0</v>
      </c>
      <c r="AB38" s="314">
        <v>0</v>
      </c>
      <c r="AC38" s="314">
        <v>0</v>
      </c>
      <c r="AD38" s="314">
        <v>0</v>
      </c>
      <c r="AE38" s="314">
        <v>0</v>
      </c>
      <c r="AF38" s="314">
        <v>0</v>
      </c>
      <c r="AG38" s="314">
        <v>0</v>
      </c>
      <c r="AH38" s="314">
        <v>0</v>
      </c>
      <c r="AI38" s="314">
        <v>0</v>
      </c>
      <c r="AJ38" s="314">
        <v>0</v>
      </c>
      <c r="AK38" s="314">
        <v>0</v>
      </c>
      <c r="AL38" s="314">
        <v>0</v>
      </c>
      <c r="AM38" s="314">
        <v>0</v>
      </c>
      <c r="AN38" s="314">
        <v>0</v>
      </c>
      <c r="AO38" s="314">
        <v>0</v>
      </c>
      <c r="AP38" s="314">
        <v>0</v>
      </c>
      <c r="AQ38" s="314">
        <v>0</v>
      </c>
      <c r="AR38" s="314">
        <v>0</v>
      </c>
      <c r="AS38" s="314">
        <v>0</v>
      </c>
      <c r="AT38" s="314">
        <v>0</v>
      </c>
      <c r="AU38" s="314">
        <v>0</v>
      </c>
      <c r="AV38" s="314">
        <v>0</v>
      </c>
      <c r="AW38" s="314">
        <v>0</v>
      </c>
    </row>
    <row r="39" spans="1:49" x14ac:dyDescent="0.2">
      <c r="A39" s="255"/>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row>
    <row r="40" spans="1:49" x14ac:dyDescent="0.2">
      <c r="A40" s="602" t="s">
        <v>455</v>
      </c>
      <c r="M40" s="127"/>
      <c r="O40" s="662"/>
      <c r="P40" s="662"/>
      <c r="Q40" s="662"/>
      <c r="R40" s="662"/>
      <c r="S40" s="662"/>
      <c r="T40" s="662"/>
      <c r="U40" s="662"/>
      <c r="V40" s="662"/>
      <c r="W40" s="662"/>
      <c r="X40" s="662"/>
      <c r="Y40" s="662"/>
      <c r="Z40" s="662"/>
      <c r="AA40" s="662"/>
      <c r="AB40" s="662"/>
      <c r="AD40" s="127"/>
      <c r="AS40" s="127"/>
    </row>
    <row r="64" spans="1:1" x14ac:dyDescent="0.2">
      <c r="A64" s="688"/>
    </row>
    <row r="65" spans="1:49" x14ac:dyDescent="0.2">
      <c r="A65" s="691"/>
    </row>
    <row r="66" spans="1:49" x14ac:dyDescent="0.2">
      <c r="A66" s="127" t="s">
        <v>515</v>
      </c>
      <c r="B66" s="114">
        <v>42095</v>
      </c>
      <c r="C66" s="114">
        <v>42125</v>
      </c>
      <c r="D66" s="114">
        <v>42156</v>
      </c>
      <c r="E66" s="114">
        <v>42186</v>
      </c>
      <c r="F66" s="114">
        <v>42217</v>
      </c>
      <c r="G66" s="114">
        <v>42248</v>
      </c>
      <c r="H66" s="114">
        <v>42278</v>
      </c>
      <c r="I66" s="114">
        <v>42309</v>
      </c>
      <c r="J66" s="114">
        <v>42339</v>
      </c>
      <c r="K66" s="114">
        <v>42370</v>
      </c>
      <c r="L66" s="114">
        <v>42401</v>
      </c>
      <c r="M66" s="114">
        <v>42430</v>
      </c>
      <c r="N66" s="114">
        <v>42461</v>
      </c>
      <c r="O66" s="114">
        <v>42491</v>
      </c>
      <c r="P66" s="114">
        <v>42522</v>
      </c>
      <c r="Q66" s="114">
        <v>42552</v>
      </c>
      <c r="R66" s="114">
        <v>42583</v>
      </c>
      <c r="S66" s="114">
        <v>42614</v>
      </c>
      <c r="T66" s="114">
        <v>42644</v>
      </c>
      <c r="U66" s="114">
        <v>42675</v>
      </c>
      <c r="V66" s="114">
        <v>42705</v>
      </c>
      <c r="W66" s="114">
        <v>42736</v>
      </c>
      <c r="X66" s="114">
        <v>42767</v>
      </c>
      <c r="Y66" s="114">
        <v>42795</v>
      </c>
      <c r="Z66" s="114">
        <v>42826</v>
      </c>
      <c r="AA66" s="142">
        <v>42856</v>
      </c>
      <c r="AB66" s="114">
        <v>42887</v>
      </c>
      <c r="AC66" s="142">
        <v>42917</v>
      </c>
      <c r="AD66" s="114">
        <v>42948</v>
      </c>
      <c r="AE66" s="142">
        <v>42979</v>
      </c>
      <c r="AF66" s="114">
        <v>43009</v>
      </c>
      <c r="AG66" s="142">
        <v>43040</v>
      </c>
      <c r="AH66" s="114">
        <v>43070</v>
      </c>
      <c r="AI66" s="136"/>
      <c r="AJ66" s="136"/>
      <c r="AK66" s="136"/>
      <c r="AL66" s="136"/>
      <c r="AM66" s="136"/>
      <c r="AN66" s="136"/>
      <c r="AO66" s="136"/>
      <c r="AP66" s="136"/>
      <c r="AQ66" s="136"/>
      <c r="AR66" s="136"/>
      <c r="AS66" s="136"/>
      <c r="AT66" s="136"/>
      <c r="AU66" s="136"/>
      <c r="AV66" s="136"/>
      <c r="AW66" s="136"/>
    </row>
    <row r="67" spans="1:49" x14ac:dyDescent="0.2">
      <c r="A67" s="190" t="s">
        <v>521</v>
      </c>
      <c r="B67" s="559">
        <v>323</v>
      </c>
      <c r="C67" s="559">
        <v>352</v>
      </c>
      <c r="D67" s="559">
        <v>338</v>
      </c>
      <c r="E67" s="559">
        <v>434</v>
      </c>
      <c r="F67" s="559">
        <v>492</v>
      </c>
      <c r="G67" s="559">
        <v>511</v>
      </c>
      <c r="H67" s="559">
        <v>562</v>
      </c>
      <c r="I67" s="559">
        <v>708</v>
      </c>
      <c r="J67" s="559">
        <v>874</v>
      </c>
      <c r="K67" s="559">
        <v>1020</v>
      </c>
      <c r="L67" s="559">
        <v>1088</v>
      </c>
      <c r="M67" s="559">
        <v>1198</v>
      </c>
      <c r="N67" s="559">
        <v>1328</v>
      </c>
      <c r="O67" s="559">
        <v>1456</v>
      </c>
      <c r="P67" s="559">
        <v>1449.81318681318</v>
      </c>
      <c r="Q67" s="559">
        <v>1767</v>
      </c>
      <c r="R67" s="559">
        <v>1793</v>
      </c>
      <c r="S67" s="559">
        <v>1895</v>
      </c>
      <c r="T67" s="559">
        <v>2048</v>
      </c>
      <c r="U67" s="559">
        <v>2188</v>
      </c>
      <c r="V67" s="559">
        <v>2213</v>
      </c>
      <c r="W67" s="559">
        <v>2425</v>
      </c>
      <c r="X67" s="559">
        <v>2473</v>
      </c>
      <c r="Y67" s="559">
        <v>2483</v>
      </c>
      <c r="Z67" s="559">
        <v>2557</v>
      </c>
      <c r="AA67" s="560">
        <v>2625</v>
      </c>
      <c r="AB67" s="559">
        <v>2535</v>
      </c>
      <c r="AC67" s="559">
        <v>2601</v>
      </c>
      <c r="AD67" s="559">
        <v>2575</v>
      </c>
      <c r="AE67" s="559">
        <v>2559</v>
      </c>
      <c r="AF67" s="559">
        <v>2503</v>
      </c>
      <c r="AG67" s="559">
        <v>2483</v>
      </c>
      <c r="AH67" s="559">
        <v>2452</v>
      </c>
      <c r="AI67" s="559"/>
      <c r="AJ67" s="559"/>
      <c r="AK67" s="559"/>
      <c r="AL67" s="559"/>
      <c r="AM67" s="559"/>
      <c r="AN67" s="559"/>
      <c r="AO67" s="559"/>
      <c r="AP67" s="559"/>
      <c r="AQ67" s="559"/>
      <c r="AR67" s="559"/>
      <c r="AS67" s="559"/>
      <c r="AT67" s="559"/>
      <c r="AU67" s="559"/>
      <c r="AV67" s="559"/>
      <c r="AW67" s="559"/>
    </row>
    <row r="68" spans="1:49" x14ac:dyDescent="0.2">
      <c r="A68" s="190" t="s">
        <v>522</v>
      </c>
      <c r="B68" s="559">
        <v>50</v>
      </c>
      <c r="C68" s="559">
        <v>28</v>
      </c>
      <c r="D68" s="559">
        <v>33</v>
      </c>
      <c r="E68" s="559">
        <v>61</v>
      </c>
      <c r="F68" s="559">
        <v>76</v>
      </c>
      <c r="G68" s="559">
        <v>161</v>
      </c>
      <c r="H68" s="559">
        <v>129</v>
      </c>
      <c r="I68" s="559">
        <v>153</v>
      </c>
      <c r="J68" s="559">
        <v>166</v>
      </c>
      <c r="K68" s="559">
        <v>109</v>
      </c>
      <c r="L68" s="559">
        <v>38</v>
      </c>
      <c r="M68" s="559">
        <v>16</v>
      </c>
      <c r="N68" s="559">
        <v>13</v>
      </c>
      <c r="O68" s="559">
        <v>7</v>
      </c>
      <c r="P68" s="559">
        <v>12</v>
      </c>
      <c r="Q68" s="559">
        <v>12</v>
      </c>
      <c r="R68" s="559">
        <v>12</v>
      </c>
      <c r="S68" s="559">
        <v>35</v>
      </c>
      <c r="T68" s="559">
        <v>127</v>
      </c>
      <c r="U68" s="559">
        <v>181</v>
      </c>
      <c r="V68" s="559">
        <v>159</v>
      </c>
      <c r="W68" s="559">
        <v>242</v>
      </c>
      <c r="X68" s="559">
        <v>239</v>
      </c>
      <c r="Y68" s="559">
        <v>231</v>
      </c>
      <c r="Z68" s="559">
        <v>294</v>
      </c>
      <c r="AA68" s="560">
        <v>322</v>
      </c>
      <c r="AB68" s="559">
        <v>373</v>
      </c>
      <c r="AC68" s="559">
        <v>362</v>
      </c>
      <c r="AD68" s="559">
        <v>379</v>
      </c>
      <c r="AE68" s="559">
        <v>415</v>
      </c>
      <c r="AF68" s="559">
        <v>366</v>
      </c>
      <c r="AG68" s="559">
        <v>471</v>
      </c>
      <c r="AH68" s="559">
        <v>484</v>
      </c>
      <c r="AI68" s="559"/>
      <c r="AJ68" s="559"/>
      <c r="AK68" s="559"/>
      <c r="AL68" s="559"/>
      <c r="AM68" s="559"/>
      <c r="AN68" s="559"/>
      <c r="AO68" s="559"/>
      <c r="AP68" s="559"/>
      <c r="AQ68" s="559"/>
      <c r="AR68" s="559"/>
      <c r="AS68" s="559"/>
      <c r="AT68" s="559"/>
      <c r="AU68" s="559"/>
      <c r="AV68" s="559"/>
      <c r="AW68" s="559"/>
    </row>
    <row r="69" spans="1:49" x14ac:dyDescent="0.2">
      <c r="A69" s="190" t="s">
        <v>523</v>
      </c>
      <c r="B69" s="559">
        <v>68</v>
      </c>
      <c r="C69" s="559">
        <v>74</v>
      </c>
      <c r="D69" s="559">
        <v>78</v>
      </c>
      <c r="E69" s="559">
        <v>96</v>
      </c>
      <c r="F69" s="559">
        <v>102</v>
      </c>
      <c r="G69" s="559">
        <v>112</v>
      </c>
      <c r="H69" s="559">
        <v>117</v>
      </c>
      <c r="I69" s="559">
        <v>131</v>
      </c>
      <c r="J69" s="559">
        <v>141</v>
      </c>
      <c r="K69" s="561">
        <v>153</v>
      </c>
      <c r="L69" s="561">
        <v>156</v>
      </c>
      <c r="M69" s="561">
        <v>162</v>
      </c>
      <c r="N69" s="561">
        <v>174</v>
      </c>
      <c r="O69" s="561">
        <v>183</v>
      </c>
      <c r="P69" s="561">
        <v>198</v>
      </c>
      <c r="Q69" s="561">
        <v>196</v>
      </c>
      <c r="R69" s="561">
        <v>190</v>
      </c>
      <c r="S69" s="561">
        <v>206</v>
      </c>
      <c r="T69" s="561">
        <v>213</v>
      </c>
      <c r="U69" s="561">
        <v>214</v>
      </c>
      <c r="V69" s="561">
        <v>205</v>
      </c>
      <c r="W69" s="562">
        <v>225</v>
      </c>
      <c r="X69" s="562">
        <v>218</v>
      </c>
      <c r="Y69" s="562">
        <v>207</v>
      </c>
      <c r="Z69" s="562">
        <v>217</v>
      </c>
      <c r="AA69" s="560">
        <v>211</v>
      </c>
      <c r="AB69" s="559">
        <v>85</v>
      </c>
      <c r="AC69" s="559">
        <v>198</v>
      </c>
      <c r="AD69" s="559">
        <v>203</v>
      </c>
      <c r="AE69" s="559">
        <v>187</v>
      </c>
      <c r="AF69" s="559">
        <v>177</v>
      </c>
      <c r="AG69" s="559">
        <v>124</v>
      </c>
      <c r="AH69" s="559">
        <v>133</v>
      </c>
      <c r="AI69" s="559"/>
      <c r="AJ69" s="559"/>
      <c r="AK69" s="559"/>
      <c r="AL69" s="559"/>
      <c r="AM69" s="559"/>
      <c r="AN69" s="559"/>
      <c r="AO69" s="559"/>
      <c r="AP69" s="559"/>
      <c r="AQ69" s="559"/>
      <c r="AR69" s="559"/>
      <c r="AS69" s="559"/>
      <c r="AT69" s="559"/>
      <c r="AU69" s="559"/>
      <c r="AV69" s="559"/>
      <c r="AW69" s="559"/>
    </row>
    <row r="70" spans="1:49" x14ac:dyDescent="0.2">
      <c r="A70" s="190" t="s">
        <v>524</v>
      </c>
      <c r="B70" s="559">
        <v>172</v>
      </c>
      <c r="C70" s="559">
        <v>178</v>
      </c>
      <c r="D70" s="559">
        <v>183</v>
      </c>
      <c r="E70" s="559">
        <v>220</v>
      </c>
      <c r="F70" s="559">
        <v>250</v>
      </c>
      <c r="G70" s="559">
        <v>284</v>
      </c>
      <c r="H70" s="559">
        <v>308</v>
      </c>
      <c r="I70" s="559">
        <v>365</v>
      </c>
      <c r="J70" s="559">
        <v>417</v>
      </c>
      <c r="K70" s="561">
        <v>469</v>
      </c>
      <c r="L70" s="561">
        <v>499</v>
      </c>
      <c r="M70" s="561">
        <v>492</v>
      </c>
      <c r="N70" s="561">
        <v>528</v>
      </c>
      <c r="O70" s="561">
        <v>533</v>
      </c>
      <c r="P70" s="561">
        <v>586</v>
      </c>
      <c r="Q70" s="561">
        <v>605</v>
      </c>
      <c r="R70" s="561">
        <v>637</v>
      </c>
      <c r="S70" s="561">
        <v>675</v>
      </c>
      <c r="T70" s="561">
        <v>700</v>
      </c>
      <c r="U70" s="561">
        <v>706</v>
      </c>
      <c r="V70" s="561">
        <v>674</v>
      </c>
      <c r="W70" s="562">
        <v>721</v>
      </c>
      <c r="X70" s="562">
        <v>714</v>
      </c>
      <c r="Y70" s="562">
        <v>643</v>
      </c>
      <c r="Z70" s="562">
        <v>649</v>
      </c>
      <c r="AA70" s="560">
        <v>679</v>
      </c>
      <c r="AB70" s="559">
        <v>372</v>
      </c>
      <c r="AC70" s="559">
        <v>762</v>
      </c>
      <c r="AD70" s="559">
        <v>794</v>
      </c>
      <c r="AE70" s="559">
        <v>800</v>
      </c>
      <c r="AF70" s="559">
        <v>799</v>
      </c>
      <c r="AG70" s="559">
        <v>467</v>
      </c>
      <c r="AH70" s="559">
        <v>482</v>
      </c>
      <c r="AI70" s="559"/>
      <c r="AJ70" s="559"/>
      <c r="AK70" s="559"/>
      <c r="AL70" s="559"/>
      <c r="AM70" s="559"/>
      <c r="AN70" s="559"/>
      <c r="AO70" s="559"/>
      <c r="AP70" s="559"/>
      <c r="AQ70" s="559"/>
      <c r="AR70" s="559"/>
      <c r="AS70" s="559"/>
      <c r="AT70" s="559"/>
      <c r="AU70" s="559"/>
      <c r="AV70" s="559"/>
      <c r="AW70" s="559"/>
    </row>
    <row r="71" spans="1:49" s="127" customFormat="1" x14ac:dyDescent="0.2">
      <c r="A71" s="117" t="s">
        <v>525</v>
      </c>
      <c r="B71" s="568">
        <v>613</v>
      </c>
      <c r="C71" s="568">
        <v>632</v>
      </c>
      <c r="D71" s="568">
        <v>632</v>
      </c>
      <c r="E71" s="568">
        <v>811</v>
      </c>
      <c r="F71" s="568">
        <v>920</v>
      </c>
      <c r="G71" s="568">
        <v>1068</v>
      </c>
      <c r="H71" s="568">
        <v>1116</v>
      </c>
      <c r="I71" s="568">
        <v>1357</v>
      </c>
      <c r="J71" s="568">
        <v>1598</v>
      </c>
      <c r="K71" s="568">
        <v>1751</v>
      </c>
      <c r="L71" s="568">
        <v>1781</v>
      </c>
      <c r="M71" s="568">
        <v>1868</v>
      </c>
      <c r="N71" s="568">
        <v>2043</v>
      </c>
      <c r="O71" s="568">
        <v>2179</v>
      </c>
      <c r="P71" s="568">
        <v>2443</v>
      </c>
      <c r="Q71" s="568">
        <v>2580</v>
      </c>
      <c r="R71" s="568">
        <v>2632</v>
      </c>
      <c r="S71" s="568">
        <v>2811</v>
      </c>
      <c r="T71" s="568">
        <v>3088</v>
      </c>
      <c r="U71" s="568">
        <v>3289</v>
      </c>
      <c r="V71" s="568">
        <v>3251</v>
      </c>
      <c r="W71" s="568">
        <v>3613</v>
      </c>
      <c r="X71" s="568">
        <v>3644</v>
      </c>
      <c r="Y71" s="568">
        <v>3564</v>
      </c>
      <c r="Z71" s="568">
        <v>3717</v>
      </c>
      <c r="AA71" s="569">
        <v>3837</v>
      </c>
      <c r="AB71" s="568">
        <v>3365</v>
      </c>
      <c r="AC71" s="568">
        <v>3923</v>
      </c>
      <c r="AD71" s="568">
        <v>3951</v>
      </c>
      <c r="AE71" s="568">
        <v>3961</v>
      </c>
      <c r="AF71" s="568">
        <v>3845</v>
      </c>
      <c r="AG71" s="568">
        <v>3545</v>
      </c>
      <c r="AH71" s="568">
        <v>3551</v>
      </c>
      <c r="AI71" s="568"/>
      <c r="AJ71" s="568"/>
      <c r="AK71" s="568"/>
      <c r="AL71" s="568"/>
      <c r="AM71" s="568"/>
      <c r="AN71" s="568"/>
      <c r="AO71" s="568"/>
      <c r="AP71" s="568"/>
      <c r="AQ71" s="568"/>
      <c r="AR71" s="568"/>
      <c r="AS71" s="568"/>
      <c r="AT71" s="568"/>
      <c r="AU71" s="568"/>
      <c r="AV71" s="568"/>
      <c r="AW71" s="568"/>
    </row>
    <row r="73" spans="1:49" ht="15.75" x14ac:dyDescent="0.25">
      <c r="A73" s="663" t="s">
        <v>614</v>
      </c>
      <c r="B73" s="145"/>
    </row>
    <row r="75" spans="1:49" x14ac:dyDescent="0.2">
      <c r="A75" s="127" t="s">
        <v>609</v>
      </c>
      <c r="M75" s="127" t="s">
        <v>610</v>
      </c>
    </row>
    <row r="100" spans="1:13" x14ac:dyDescent="0.2">
      <c r="A100" s="127" t="s">
        <v>611</v>
      </c>
      <c r="M100" s="127" t="s">
        <v>612</v>
      </c>
    </row>
    <row r="125" spans="1:1" x14ac:dyDescent="0.2">
      <c r="A125" s="127" t="s">
        <v>613</v>
      </c>
    </row>
    <row r="150" spans="1:49" ht="15.75" x14ac:dyDescent="0.25">
      <c r="A150" s="292" t="s">
        <v>736</v>
      </c>
    </row>
    <row r="152" spans="1:49" s="145" customFormat="1" ht="38.25" x14ac:dyDescent="0.2">
      <c r="A152" s="445" t="s">
        <v>508</v>
      </c>
      <c r="B152" s="512">
        <f>B12</f>
        <v>42095</v>
      </c>
      <c r="C152" s="512">
        <f>C12</f>
        <v>42125</v>
      </c>
      <c r="D152" s="512">
        <f>D12</f>
        <v>42156</v>
      </c>
      <c r="E152" s="512">
        <f>E12</f>
        <v>42186</v>
      </c>
      <c r="F152" s="512">
        <f>F12</f>
        <v>42217</v>
      </c>
      <c r="G152" s="512">
        <f>G12</f>
        <v>42248</v>
      </c>
      <c r="H152" s="512">
        <f>H12</f>
        <v>42278</v>
      </c>
      <c r="I152" s="512">
        <f>I12</f>
        <v>42309</v>
      </c>
      <c r="J152" s="512">
        <f>J12</f>
        <v>42339</v>
      </c>
      <c r="K152" s="512">
        <f>K12</f>
        <v>42370</v>
      </c>
      <c r="L152" s="512">
        <f>L12</f>
        <v>42401</v>
      </c>
      <c r="M152" s="512">
        <f>M12</f>
        <v>42430</v>
      </c>
      <c r="N152" s="512">
        <f>N12</f>
        <v>42461</v>
      </c>
      <c r="O152" s="512">
        <f>O12</f>
        <v>42491</v>
      </c>
      <c r="P152" s="512">
        <f>P12</f>
        <v>42522</v>
      </c>
      <c r="Q152" s="512">
        <f>Q12</f>
        <v>42552</v>
      </c>
      <c r="R152" s="512">
        <f>R12</f>
        <v>42583</v>
      </c>
      <c r="S152" s="512">
        <f>S12</f>
        <v>42614</v>
      </c>
      <c r="T152" s="512">
        <f>T12</f>
        <v>42644</v>
      </c>
      <c r="U152" s="512">
        <f>U12</f>
        <v>42675</v>
      </c>
      <c r="V152" s="512">
        <f>V12</f>
        <v>42705</v>
      </c>
      <c r="W152" s="512">
        <f>W12</f>
        <v>42736</v>
      </c>
      <c r="X152" s="512">
        <f>X12</f>
        <v>42767</v>
      </c>
      <c r="Y152" s="512">
        <f>Y12</f>
        <v>42795</v>
      </c>
      <c r="Z152" s="512">
        <f>Z12</f>
        <v>42826</v>
      </c>
      <c r="AA152" s="558">
        <f>AA12</f>
        <v>42856</v>
      </c>
      <c r="AB152" s="512">
        <f>AB12</f>
        <v>42887</v>
      </c>
      <c r="AC152" s="512">
        <f>AC12</f>
        <v>42917</v>
      </c>
      <c r="AD152" s="512">
        <f>AD12</f>
        <v>42948</v>
      </c>
      <c r="AE152" s="512">
        <f>AE12</f>
        <v>42979</v>
      </c>
      <c r="AF152" s="512">
        <f>AF12</f>
        <v>43009</v>
      </c>
      <c r="AG152" s="512">
        <f>AG12</f>
        <v>43040</v>
      </c>
      <c r="AH152" s="512">
        <f>AH12</f>
        <v>43070</v>
      </c>
      <c r="AI152" s="512">
        <f>AI12</f>
        <v>0</v>
      </c>
      <c r="AJ152" s="512">
        <f>AJ12</f>
        <v>0</v>
      </c>
      <c r="AK152" s="512">
        <f>AK12</f>
        <v>0</v>
      </c>
      <c r="AL152" s="512">
        <f>AL12</f>
        <v>0</v>
      </c>
      <c r="AM152" s="512">
        <f>AM12</f>
        <v>0</v>
      </c>
      <c r="AN152" s="512">
        <f>AN12</f>
        <v>0</v>
      </c>
      <c r="AO152" s="512">
        <f>AO12</f>
        <v>0</v>
      </c>
      <c r="AP152" s="512">
        <f>AP12</f>
        <v>0</v>
      </c>
      <c r="AQ152" s="512">
        <f>AQ12</f>
        <v>0</v>
      </c>
      <c r="AR152" s="512">
        <f>AR12</f>
        <v>0</v>
      </c>
      <c r="AS152" s="512">
        <f>AS12</f>
        <v>0</v>
      </c>
      <c r="AT152" s="512">
        <f>AT12</f>
        <v>0</v>
      </c>
      <c r="AU152" s="512">
        <f>AU12</f>
        <v>0</v>
      </c>
      <c r="AV152" s="512">
        <f>AV12</f>
        <v>0</v>
      </c>
      <c r="AW152" s="512">
        <f>AW12</f>
        <v>0</v>
      </c>
    </row>
    <row r="153" spans="1:49" s="145" customFormat="1" x14ac:dyDescent="0.2">
      <c r="A153" s="445" t="s">
        <v>520</v>
      </c>
      <c r="B153" s="513">
        <f>B71</f>
        <v>613</v>
      </c>
      <c r="C153" s="513">
        <f>C71</f>
        <v>632</v>
      </c>
      <c r="D153" s="513">
        <f>D71</f>
        <v>632</v>
      </c>
      <c r="E153" s="513">
        <f>E71</f>
        <v>811</v>
      </c>
      <c r="F153" s="513">
        <f>F71</f>
        <v>920</v>
      </c>
      <c r="G153" s="513">
        <f>G71</f>
        <v>1068</v>
      </c>
      <c r="H153" s="513">
        <f>H71</f>
        <v>1116</v>
      </c>
      <c r="I153" s="513">
        <f>I71</f>
        <v>1357</v>
      </c>
      <c r="J153" s="513">
        <f>J71</f>
        <v>1598</v>
      </c>
      <c r="K153" s="513">
        <f>K71</f>
        <v>1751</v>
      </c>
      <c r="L153" s="513">
        <f>L71</f>
        <v>1781</v>
      </c>
      <c r="M153" s="513">
        <f>M71</f>
        <v>1868</v>
      </c>
      <c r="N153" s="513">
        <f>N71</f>
        <v>2043</v>
      </c>
      <c r="O153" s="513">
        <f>O71</f>
        <v>2179</v>
      </c>
      <c r="P153" s="513">
        <f>P71</f>
        <v>2443</v>
      </c>
      <c r="Q153" s="513">
        <f>Q71</f>
        <v>2580</v>
      </c>
      <c r="R153" s="513">
        <f>R71</f>
        <v>2632</v>
      </c>
      <c r="S153" s="513">
        <f>S71</f>
        <v>2811</v>
      </c>
      <c r="T153" s="513">
        <f>T71</f>
        <v>3088</v>
      </c>
      <c r="U153" s="513">
        <f>U71</f>
        <v>3289</v>
      </c>
      <c r="V153" s="513">
        <f>V71</f>
        <v>3251</v>
      </c>
      <c r="W153" s="513">
        <f>W71</f>
        <v>3613</v>
      </c>
      <c r="X153" s="513">
        <f>X71</f>
        <v>3644</v>
      </c>
      <c r="Y153" s="513">
        <f>Y71</f>
        <v>3564</v>
      </c>
      <c r="Z153" s="513">
        <f>Z71</f>
        <v>3717</v>
      </c>
      <c r="AA153" s="557">
        <f>AA71</f>
        <v>3837</v>
      </c>
      <c r="AB153" s="513">
        <f>AB71</f>
        <v>3365</v>
      </c>
      <c r="AC153" s="513">
        <f>AC71</f>
        <v>3923</v>
      </c>
      <c r="AD153" s="513">
        <f>AD71</f>
        <v>3951</v>
      </c>
      <c r="AE153" s="513">
        <f>AE71</f>
        <v>3961</v>
      </c>
      <c r="AF153" s="513">
        <f>AF71</f>
        <v>3845</v>
      </c>
      <c r="AG153" s="513">
        <f>AG71</f>
        <v>3545</v>
      </c>
      <c r="AH153" s="513">
        <f>AH71</f>
        <v>3551</v>
      </c>
      <c r="AI153" s="513">
        <f>AI71</f>
        <v>0</v>
      </c>
      <c r="AJ153" s="513">
        <f>AJ71</f>
        <v>0</v>
      </c>
      <c r="AK153" s="513">
        <f>AK71</f>
        <v>0</v>
      </c>
      <c r="AL153" s="513">
        <f>AL71</f>
        <v>0</v>
      </c>
      <c r="AM153" s="513">
        <f>AM71</f>
        <v>0</v>
      </c>
      <c r="AN153" s="513">
        <f>AN71</f>
        <v>0</v>
      </c>
      <c r="AO153" s="513">
        <f>AO71</f>
        <v>0</v>
      </c>
      <c r="AP153" s="513">
        <f>AP71</f>
        <v>0</v>
      </c>
      <c r="AQ153" s="513">
        <f>AQ71</f>
        <v>0</v>
      </c>
      <c r="AR153" s="513">
        <f>AR71</f>
        <v>0</v>
      </c>
      <c r="AS153" s="513">
        <f>AS71</f>
        <v>0</v>
      </c>
      <c r="AT153" s="513">
        <f>AT71</f>
        <v>0</v>
      </c>
      <c r="AU153" s="513">
        <f>AU71</f>
        <v>0</v>
      </c>
      <c r="AV153" s="513">
        <f>AV71</f>
        <v>0</v>
      </c>
      <c r="AW153" s="513">
        <f>AW71</f>
        <v>0</v>
      </c>
    </row>
    <row r="154" spans="1:49" s="145" customFormat="1" x14ac:dyDescent="0.2">
      <c r="A154" s="443" t="s">
        <v>130</v>
      </c>
      <c r="B154" s="513">
        <f t="shared" ref="B154:M154" si="14">MEDIAN($B$153:$M$153)</f>
        <v>1092</v>
      </c>
      <c r="C154" s="513">
        <f t="shared" si="14"/>
        <v>1092</v>
      </c>
      <c r="D154" s="513">
        <f t="shared" si="14"/>
        <v>1092</v>
      </c>
      <c r="E154" s="513">
        <f t="shared" si="14"/>
        <v>1092</v>
      </c>
      <c r="F154" s="513">
        <f t="shared" si="14"/>
        <v>1092</v>
      </c>
      <c r="G154" s="513">
        <f t="shared" si="14"/>
        <v>1092</v>
      </c>
      <c r="H154" s="513">
        <f t="shared" si="14"/>
        <v>1092</v>
      </c>
      <c r="I154" s="513">
        <f t="shared" si="14"/>
        <v>1092</v>
      </c>
      <c r="J154" s="513">
        <f t="shared" si="14"/>
        <v>1092</v>
      </c>
      <c r="K154" s="513">
        <f t="shared" si="14"/>
        <v>1092</v>
      </c>
      <c r="L154" s="513">
        <f t="shared" si="14"/>
        <v>1092</v>
      </c>
      <c r="M154" s="513">
        <f t="shared" si="14"/>
        <v>1092</v>
      </c>
      <c r="N154" s="513"/>
      <c r="O154" s="513"/>
      <c r="P154" s="513"/>
      <c r="Q154" s="513"/>
      <c r="R154" s="513"/>
      <c r="S154" s="513"/>
      <c r="T154" s="513"/>
      <c r="U154" s="513"/>
      <c r="V154" s="513"/>
      <c r="W154" s="513"/>
      <c r="X154" s="513"/>
      <c r="Y154" s="513"/>
      <c r="Z154" s="513"/>
      <c r="AA154" s="557"/>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row>
    <row r="155" spans="1:49" s="145" customFormat="1" x14ac:dyDescent="0.2">
      <c r="A155" s="443" t="s">
        <v>303</v>
      </c>
      <c r="B155" s="513"/>
      <c r="C155" s="513"/>
      <c r="D155" s="513"/>
      <c r="E155" s="513"/>
      <c r="F155" s="513"/>
      <c r="G155" s="513"/>
      <c r="H155" s="513"/>
      <c r="I155" s="513"/>
      <c r="J155" s="513"/>
      <c r="K155" s="513"/>
      <c r="L155" s="513"/>
      <c r="M155" s="513"/>
      <c r="N155" s="513">
        <f>MEDIAN($N$153:$Y$153)</f>
        <v>2949.5</v>
      </c>
      <c r="O155" s="513">
        <f t="shared" ref="O155:Y155" si="15">MEDIAN($N$153:$Y$153)</f>
        <v>2949.5</v>
      </c>
      <c r="P155" s="513">
        <f t="shared" si="15"/>
        <v>2949.5</v>
      </c>
      <c r="Q155" s="513">
        <f t="shared" si="15"/>
        <v>2949.5</v>
      </c>
      <c r="R155" s="513">
        <f t="shared" si="15"/>
        <v>2949.5</v>
      </c>
      <c r="S155" s="513">
        <f t="shared" si="15"/>
        <v>2949.5</v>
      </c>
      <c r="T155" s="513">
        <f t="shared" si="15"/>
        <v>2949.5</v>
      </c>
      <c r="U155" s="513">
        <f t="shared" si="15"/>
        <v>2949.5</v>
      </c>
      <c r="V155" s="513">
        <f t="shared" si="15"/>
        <v>2949.5</v>
      </c>
      <c r="W155" s="513">
        <f t="shared" si="15"/>
        <v>2949.5</v>
      </c>
      <c r="X155" s="513">
        <f t="shared" si="15"/>
        <v>2949.5</v>
      </c>
      <c r="Y155" s="513">
        <f t="shared" si="15"/>
        <v>2949.5</v>
      </c>
      <c r="Z155" s="513"/>
      <c r="AA155" s="557"/>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row>
    <row r="156" spans="1:49" s="145" customFormat="1" x14ac:dyDescent="0.2">
      <c r="A156" s="443" t="s">
        <v>773</v>
      </c>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f>MEDIAN($Z$153:$AK$153)</f>
        <v>3634</v>
      </c>
      <c r="AA156" s="513">
        <f t="shared" ref="AA156:AK156" si="16">MEDIAN($Z$153:$AK$153)</f>
        <v>3634</v>
      </c>
      <c r="AB156" s="513">
        <f t="shared" si="16"/>
        <v>3634</v>
      </c>
      <c r="AC156" s="513">
        <f t="shared" si="16"/>
        <v>3634</v>
      </c>
      <c r="AD156" s="513">
        <f t="shared" si="16"/>
        <v>3634</v>
      </c>
      <c r="AE156" s="513">
        <f t="shared" si="16"/>
        <v>3634</v>
      </c>
      <c r="AF156" s="513">
        <f t="shared" si="16"/>
        <v>3634</v>
      </c>
      <c r="AG156" s="513">
        <f t="shared" si="16"/>
        <v>3634</v>
      </c>
      <c r="AH156" s="513">
        <f t="shared" si="16"/>
        <v>3634</v>
      </c>
      <c r="AI156" s="513">
        <f t="shared" si="16"/>
        <v>3634</v>
      </c>
      <c r="AJ156" s="513">
        <f t="shared" si="16"/>
        <v>3634</v>
      </c>
      <c r="AK156" s="513">
        <f t="shared" si="16"/>
        <v>3634</v>
      </c>
      <c r="AL156" s="513"/>
      <c r="AM156" s="513"/>
      <c r="AN156" s="513"/>
      <c r="AO156" s="513"/>
      <c r="AP156" s="513"/>
      <c r="AQ156" s="513"/>
      <c r="AR156" s="513"/>
      <c r="AS156" s="513"/>
      <c r="AT156" s="513"/>
      <c r="AU156" s="513"/>
      <c r="AV156" s="513"/>
      <c r="AW156" s="513"/>
    </row>
    <row r="157" spans="1:49" s="145" customFormat="1" x14ac:dyDescent="0.2">
      <c r="A157" s="496" t="s">
        <v>466</v>
      </c>
      <c r="B157" s="513"/>
      <c r="C157" s="513">
        <f t="shared" ref="C157:U157" si="17">SUM(C153-B153)</f>
        <v>19</v>
      </c>
      <c r="D157" s="513">
        <f t="shared" si="17"/>
        <v>0</v>
      </c>
      <c r="E157" s="513">
        <f t="shared" si="17"/>
        <v>179</v>
      </c>
      <c r="F157" s="513">
        <f t="shared" si="17"/>
        <v>109</v>
      </c>
      <c r="G157" s="513">
        <f t="shared" si="17"/>
        <v>148</v>
      </c>
      <c r="H157" s="513">
        <f t="shared" si="17"/>
        <v>48</v>
      </c>
      <c r="I157" s="513">
        <f t="shared" si="17"/>
        <v>241</v>
      </c>
      <c r="J157" s="513">
        <f t="shared" si="17"/>
        <v>241</v>
      </c>
      <c r="K157" s="513">
        <f t="shared" si="17"/>
        <v>153</v>
      </c>
      <c r="L157" s="513">
        <f t="shared" si="17"/>
        <v>30</v>
      </c>
      <c r="M157" s="513">
        <f t="shared" si="17"/>
        <v>87</v>
      </c>
      <c r="N157" s="513">
        <f t="shared" si="17"/>
        <v>175</v>
      </c>
      <c r="O157" s="513">
        <f t="shared" si="17"/>
        <v>136</v>
      </c>
      <c r="P157" s="513">
        <f t="shared" si="17"/>
        <v>264</v>
      </c>
      <c r="Q157" s="513">
        <f t="shared" si="17"/>
        <v>137</v>
      </c>
      <c r="R157" s="513">
        <f t="shared" si="17"/>
        <v>52</v>
      </c>
      <c r="S157" s="513">
        <f t="shared" si="17"/>
        <v>179</v>
      </c>
      <c r="T157" s="513">
        <f t="shared" si="17"/>
        <v>277</v>
      </c>
      <c r="U157" s="513">
        <f t="shared" si="17"/>
        <v>201</v>
      </c>
      <c r="V157" s="513">
        <f>SUM(V153-U153)*-1</f>
        <v>38</v>
      </c>
      <c r="W157" s="513">
        <f>SUM(W153-V153)</f>
        <v>362</v>
      </c>
      <c r="X157" s="513">
        <f>SUM(X153-W153)</f>
        <v>31</v>
      </c>
      <c r="Y157" s="513">
        <f>SUM(Y153-X153)*-1</f>
        <v>80</v>
      </c>
      <c r="Z157" s="513">
        <f>SUM(Z153-Y153)</f>
        <v>153</v>
      </c>
      <c r="AA157" s="557">
        <f>SUM(AA153-Z153)</f>
        <v>120</v>
      </c>
      <c r="AB157" s="557">
        <f>SUM(AB153-AA153)*-1</f>
        <v>472</v>
      </c>
      <c r="AC157" s="557">
        <f>SUM(AC153-AB153)</f>
        <v>558</v>
      </c>
      <c r="AD157" s="557">
        <f>SUM(AD153-AC153)</f>
        <v>28</v>
      </c>
      <c r="AE157" s="557">
        <f>SUM(AE153-AD153)</f>
        <v>10</v>
      </c>
      <c r="AF157" s="557">
        <f>SUM(AF153-AE153)*-1</f>
        <v>116</v>
      </c>
      <c r="AG157" s="557">
        <f>SUM(AG153-AF153)*-1</f>
        <v>300</v>
      </c>
      <c r="AH157" s="557">
        <f>SUM(AH153-AG153)</f>
        <v>6</v>
      </c>
      <c r="AI157" s="513"/>
      <c r="AJ157" s="513"/>
      <c r="AK157" s="513"/>
      <c r="AL157" s="513"/>
      <c r="AM157" s="513"/>
      <c r="AN157" s="513"/>
      <c r="AO157" s="513"/>
      <c r="AP157" s="513"/>
      <c r="AQ157" s="513"/>
      <c r="AR157" s="513"/>
      <c r="AS157" s="513"/>
      <c r="AT157" s="513"/>
      <c r="AU157" s="513"/>
      <c r="AV157" s="513"/>
      <c r="AW157" s="513"/>
    </row>
    <row r="158" spans="1:49" s="145" customFormat="1" ht="51" x14ac:dyDescent="0.2">
      <c r="A158" s="784" t="s">
        <v>497</v>
      </c>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57"/>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row>
    <row r="159" spans="1:49" s="145" customFormat="1" x14ac:dyDescent="0.2">
      <c r="A159" s="460" t="s">
        <v>468</v>
      </c>
      <c r="B159" s="513">
        <f t="shared" ref="B159:AW159" si="18">AVERAGE($B$153:$AW$153)</f>
        <v>1728.7291666666667</v>
      </c>
      <c r="C159" s="513">
        <f t="shared" si="18"/>
        <v>1728.7291666666667</v>
      </c>
      <c r="D159" s="513">
        <f t="shared" si="18"/>
        <v>1728.7291666666667</v>
      </c>
      <c r="E159" s="513">
        <f t="shared" si="18"/>
        <v>1728.7291666666667</v>
      </c>
      <c r="F159" s="513">
        <f t="shared" si="18"/>
        <v>1728.7291666666667</v>
      </c>
      <c r="G159" s="513">
        <f t="shared" si="18"/>
        <v>1728.7291666666667</v>
      </c>
      <c r="H159" s="513">
        <f t="shared" si="18"/>
        <v>1728.7291666666667</v>
      </c>
      <c r="I159" s="513">
        <f t="shared" si="18"/>
        <v>1728.7291666666667</v>
      </c>
      <c r="J159" s="513">
        <f t="shared" si="18"/>
        <v>1728.7291666666667</v>
      </c>
      <c r="K159" s="513">
        <f t="shared" si="18"/>
        <v>1728.7291666666667</v>
      </c>
      <c r="L159" s="513">
        <f t="shared" si="18"/>
        <v>1728.7291666666667</v>
      </c>
      <c r="M159" s="513">
        <f t="shared" si="18"/>
        <v>1728.7291666666667</v>
      </c>
      <c r="N159" s="513">
        <f t="shared" si="18"/>
        <v>1728.7291666666667</v>
      </c>
      <c r="O159" s="513">
        <f t="shared" si="18"/>
        <v>1728.7291666666667</v>
      </c>
      <c r="P159" s="513">
        <f t="shared" si="18"/>
        <v>1728.7291666666667</v>
      </c>
      <c r="Q159" s="513">
        <f t="shared" si="18"/>
        <v>1728.7291666666667</v>
      </c>
      <c r="R159" s="513">
        <f t="shared" si="18"/>
        <v>1728.7291666666667</v>
      </c>
      <c r="S159" s="513">
        <f t="shared" si="18"/>
        <v>1728.7291666666667</v>
      </c>
      <c r="T159" s="513">
        <f t="shared" si="18"/>
        <v>1728.7291666666667</v>
      </c>
      <c r="U159" s="513">
        <f t="shared" si="18"/>
        <v>1728.7291666666667</v>
      </c>
      <c r="V159" s="513">
        <f t="shared" si="18"/>
        <v>1728.7291666666667</v>
      </c>
      <c r="W159" s="513">
        <f t="shared" si="18"/>
        <v>1728.7291666666667</v>
      </c>
      <c r="X159" s="513">
        <f t="shared" si="18"/>
        <v>1728.7291666666667</v>
      </c>
      <c r="Y159" s="513">
        <f t="shared" si="18"/>
        <v>1728.7291666666667</v>
      </c>
      <c r="Z159" s="513">
        <f t="shared" si="18"/>
        <v>1728.7291666666667</v>
      </c>
      <c r="AA159" s="557">
        <f t="shared" si="18"/>
        <v>1728.7291666666667</v>
      </c>
      <c r="AB159" s="513">
        <f t="shared" si="18"/>
        <v>1728.7291666666667</v>
      </c>
      <c r="AC159" s="513">
        <f t="shared" si="18"/>
        <v>1728.7291666666667</v>
      </c>
      <c r="AD159" s="513">
        <f t="shared" si="18"/>
        <v>1728.7291666666667</v>
      </c>
      <c r="AE159" s="513">
        <f t="shared" si="18"/>
        <v>1728.7291666666667</v>
      </c>
      <c r="AF159" s="513">
        <f t="shared" si="18"/>
        <v>1728.7291666666667</v>
      </c>
      <c r="AG159" s="513">
        <f t="shared" si="18"/>
        <v>1728.7291666666667</v>
      </c>
      <c r="AH159" s="513">
        <f t="shared" si="18"/>
        <v>1728.7291666666667</v>
      </c>
      <c r="AI159" s="513">
        <f t="shared" si="18"/>
        <v>1728.7291666666667</v>
      </c>
      <c r="AJ159" s="513">
        <f t="shared" si="18"/>
        <v>1728.7291666666667</v>
      </c>
      <c r="AK159" s="513">
        <f t="shared" si="18"/>
        <v>1728.7291666666667</v>
      </c>
      <c r="AL159" s="513">
        <f t="shared" si="18"/>
        <v>1728.7291666666667</v>
      </c>
      <c r="AM159" s="513">
        <f t="shared" si="18"/>
        <v>1728.7291666666667</v>
      </c>
      <c r="AN159" s="513">
        <f t="shared" si="18"/>
        <v>1728.7291666666667</v>
      </c>
      <c r="AO159" s="513">
        <f t="shared" si="18"/>
        <v>1728.7291666666667</v>
      </c>
      <c r="AP159" s="513">
        <f t="shared" si="18"/>
        <v>1728.7291666666667</v>
      </c>
      <c r="AQ159" s="513">
        <f t="shared" si="18"/>
        <v>1728.7291666666667</v>
      </c>
      <c r="AR159" s="513">
        <f t="shared" si="18"/>
        <v>1728.7291666666667</v>
      </c>
      <c r="AS159" s="513">
        <f t="shared" si="18"/>
        <v>1728.7291666666667</v>
      </c>
      <c r="AT159" s="513">
        <f t="shared" si="18"/>
        <v>1728.7291666666667</v>
      </c>
      <c r="AU159" s="513">
        <f t="shared" si="18"/>
        <v>1728.7291666666667</v>
      </c>
      <c r="AV159" s="513">
        <f t="shared" si="18"/>
        <v>1728.7291666666667</v>
      </c>
      <c r="AW159" s="513">
        <f t="shared" si="18"/>
        <v>1728.7291666666667</v>
      </c>
    </row>
    <row r="160" spans="1:49" s="145" customFormat="1" x14ac:dyDescent="0.2">
      <c r="A160" s="445" t="s">
        <v>467</v>
      </c>
      <c r="B160" s="513">
        <f>SUM(C157:AW157)/COUNT(C157:AW157)</f>
        <v>154.6875</v>
      </c>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57"/>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row>
    <row r="161" spans="1:49" s="145" customFormat="1" ht="25.5" x14ac:dyDescent="0.2">
      <c r="A161" s="445" t="s">
        <v>470</v>
      </c>
      <c r="B161" s="513">
        <f>B160/1.128</f>
        <v>137.13430851063831</v>
      </c>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57"/>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row>
    <row r="162" spans="1:49" s="145" customFormat="1" x14ac:dyDescent="0.2">
      <c r="A162" s="445" t="s">
        <v>473</v>
      </c>
      <c r="B162" s="513">
        <f t="shared" ref="B162:AW162" si="19">$B$159+(3*$B$161)</f>
        <v>2140.1320921985816</v>
      </c>
      <c r="C162" s="513">
        <f t="shared" si="19"/>
        <v>2140.1320921985816</v>
      </c>
      <c r="D162" s="513">
        <f t="shared" si="19"/>
        <v>2140.1320921985816</v>
      </c>
      <c r="E162" s="513">
        <f t="shared" si="19"/>
        <v>2140.1320921985816</v>
      </c>
      <c r="F162" s="513">
        <f t="shared" si="19"/>
        <v>2140.1320921985816</v>
      </c>
      <c r="G162" s="513">
        <f t="shared" si="19"/>
        <v>2140.1320921985816</v>
      </c>
      <c r="H162" s="513">
        <f t="shared" si="19"/>
        <v>2140.1320921985816</v>
      </c>
      <c r="I162" s="513">
        <f t="shared" si="19"/>
        <v>2140.1320921985816</v>
      </c>
      <c r="J162" s="513">
        <f t="shared" si="19"/>
        <v>2140.1320921985816</v>
      </c>
      <c r="K162" s="513">
        <f t="shared" si="19"/>
        <v>2140.1320921985816</v>
      </c>
      <c r="L162" s="513">
        <f t="shared" si="19"/>
        <v>2140.1320921985816</v>
      </c>
      <c r="M162" s="513">
        <f t="shared" si="19"/>
        <v>2140.1320921985816</v>
      </c>
      <c r="N162" s="513">
        <f t="shared" si="19"/>
        <v>2140.1320921985816</v>
      </c>
      <c r="O162" s="513">
        <f t="shared" si="19"/>
        <v>2140.1320921985816</v>
      </c>
      <c r="P162" s="513">
        <f t="shared" si="19"/>
        <v>2140.1320921985816</v>
      </c>
      <c r="Q162" s="513">
        <f t="shared" si="19"/>
        <v>2140.1320921985816</v>
      </c>
      <c r="R162" s="513">
        <f t="shared" si="19"/>
        <v>2140.1320921985816</v>
      </c>
      <c r="S162" s="513">
        <f t="shared" si="19"/>
        <v>2140.1320921985816</v>
      </c>
      <c r="T162" s="513">
        <f t="shared" si="19"/>
        <v>2140.1320921985816</v>
      </c>
      <c r="U162" s="513">
        <f t="shared" si="19"/>
        <v>2140.1320921985816</v>
      </c>
      <c r="V162" s="513">
        <f t="shared" si="19"/>
        <v>2140.1320921985816</v>
      </c>
      <c r="W162" s="513">
        <f t="shared" si="19"/>
        <v>2140.1320921985816</v>
      </c>
      <c r="X162" s="513">
        <f t="shared" si="19"/>
        <v>2140.1320921985816</v>
      </c>
      <c r="Y162" s="513">
        <f t="shared" si="19"/>
        <v>2140.1320921985816</v>
      </c>
      <c r="Z162" s="513">
        <f t="shared" si="19"/>
        <v>2140.1320921985816</v>
      </c>
      <c r="AA162" s="557">
        <f t="shared" si="19"/>
        <v>2140.1320921985816</v>
      </c>
      <c r="AB162" s="513">
        <f t="shared" si="19"/>
        <v>2140.1320921985816</v>
      </c>
      <c r="AC162" s="513">
        <f t="shared" si="19"/>
        <v>2140.1320921985816</v>
      </c>
      <c r="AD162" s="513">
        <f t="shared" si="19"/>
        <v>2140.1320921985816</v>
      </c>
      <c r="AE162" s="513">
        <f t="shared" si="19"/>
        <v>2140.1320921985816</v>
      </c>
      <c r="AF162" s="513">
        <f t="shared" si="19"/>
        <v>2140.1320921985816</v>
      </c>
      <c r="AG162" s="513">
        <f t="shared" si="19"/>
        <v>2140.1320921985816</v>
      </c>
      <c r="AH162" s="513">
        <f t="shared" si="19"/>
        <v>2140.1320921985816</v>
      </c>
      <c r="AI162" s="513">
        <f t="shared" si="19"/>
        <v>2140.1320921985816</v>
      </c>
      <c r="AJ162" s="513">
        <f t="shared" si="19"/>
        <v>2140.1320921985816</v>
      </c>
      <c r="AK162" s="513">
        <f t="shared" si="19"/>
        <v>2140.1320921985816</v>
      </c>
      <c r="AL162" s="513">
        <f t="shared" si="19"/>
        <v>2140.1320921985816</v>
      </c>
      <c r="AM162" s="513">
        <f t="shared" si="19"/>
        <v>2140.1320921985816</v>
      </c>
      <c r="AN162" s="513">
        <f t="shared" si="19"/>
        <v>2140.1320921985816</v>
      </c>
      <c r="AO162" s="513">
        <f t="shared" si="19"/>
        <v>2140.1320921985816</v>
      </c>
      <c r="AP162" s="513">
        <f t="shared" si="19"/>
        <v>2140.1320921985816</v>
      </c>
      <c r="AQ162" s="513">
        <f t="shared" si="19"/>
        <v>2140.1320921985816</v>
      </c>
      <c r="AR162" s="513">
        <f t="shared" si="19"/>
        <v>2140.1320921985816</v>
      </c>
      <c r="AS162" s="513">
        <f t="shared" si="19"/>
        <v>2140.1320921985816</v>
      </c>
      <c r="AT162" s="513">
        <f t="shared" si="19"/>
        <v>2140.1320921985816</v>
      </c>
      <c r="AU162" s="513">
        <f t="shared" si="19"/>
        <v>2140.1320921985816</v>
      </c>
      <c r="AV162" s="513">
        <f t="shared" si="19"/>
        <v>2140.1320921985816</v>
      </c>
      <c r="AW162" s="513">
        <f t="shared" si="19"/>
        <v>2140.1320921985816</v>
      </c>
    </row>
    <row r="163" spans="1:49" s="145" customFormat="1" x14ac:dyDescent="0.2">
      <c r="A163" s="445" t="s">
        <v>475</v>
      </c>
      <c r="B163" s="513">
        <f t="shared" ref="B163:AW163" si="20">$B$159-(3*$B$161)</f>
        <v>1317.3262411347519</v>
      </c>
      <c r="C163" s="513">
        <f t="shared" si="20"/>
        <v>1317.3262411347519</v>
      </c>
      <c r="D163" s="513">
        <f t="shared" si="20"/>
        <v>1317.3262411347519</v>
      </c>
      <c r="E163" s="513">
        <f t="shared" si="20"/>
        <v>1317.3262411347519</v>
      </c>
      <c r="F163" s="513">
        <f t="shared" si="20"/>
        <v>1317.3262411347519</v>
      </c>
      <c r="G163" s="513">
        <f t="shared" si="20"/>
        <v>1317.3262411347519</v>
      </c>
      <c r="H163" s="513">
        <f t="shared" si="20"/>
        <v>1317.3262411347519</v>
      </c>
      <c r="I163" s="513">
        <f t="shared" si="20"/>
        <v>1317.3262411347519</v>
      </c>
      <c r="J163" s="513">
        <f t="shared" si="20"/>
        <v>1317.3262411347519</v>
      </c>
      <c r="K163" s="513">
        <f t="shared" si="20"/>
        <v>1317.3262411347519</v>
      </c>
      <c r="L163" s="513">
        <f t="shared" si="20"/>
        <v>1317.3262411347519</v>
      </c>
      <c r="M163" s="513">
        <f t="shared" si="20"/>
        <v>1317.3262411347519</v>
      </c>
      <c r="N163" s="513">
        <f t="shared" si="20"/>
        <v>1317.3262411347519</v>
      </c>
      <c r="O163" s="513">
        <f t="shared" si="20"/>
        <v>1317.3262411347519</v>
      </c>
      <c r="P163" s="513">
        <f t="shared" si="20"/>
        <v>1317.3262411347519</v>
      </c>
      <c r="Q163" s="513">
        <f t="shared" si="20"/>
        <v>1317.3262411347519</v>
      </c>
      <c r="R163" s="513">
        <f t="shared" si="20"/>
        <v>1317.3262411347519</v>
      </c>
      <c r="S163" s="513">
        <f t="shared" si="20"/>
        <v>1317.3262411347519</v>
      </c>
      <c r="T163" s="513">
        <f t="shared" si="20"/>
        <v>1317.3262411347519</v>
      </c>
      <c r="U163" s="513">
        <f t="shared" si="20"/>
        <v>1317.3262411347519</v>
      </c>
      <c r="V163" s="513">
        <f t="shared" si="20"/>
        <v>1317.3262411347519</v>
      </c>
      <c r="W163" s="513">
        <f t="shared" si="20"/>
        <v>1317.3262411347519</v>
      </c>
      <c r="X163" s="513">
        <f t="shared" si="20"/>
        <v>1317.3262411347519</v>
      </c>
      <c r="Y163" s="513">
        <f t="shared" si="20"/>
        <v>1317.3262411347519</v>
      </c>
      <c r="Z163" s="513">
        <f t="shared" si="20"/>
        <v>1317.3262411347519</v>
      </c>
      <c r="AA163" s="557">
        <f t="shared" si="20"/>
        <v>1317.3262411347519</v>
      </c>
      <c r="AB163" s="513">
        <f t="shared" si="20"/>
        <v>1317.3262411347519</v>
      </c>
      <c r="AC163" s="513">
        <f t="shared" si="20"/>
        <v>1317.3262411347519</v>
      </c>
      <c r="AD163" s="513">
        <f t="shared" si="20"/>
        <v>1317.3262411347519</v>
      </c>
      <c r="AE163" s="513">
        <f t="shared" si="20"/>
        <v>1317.3262411347519</v>
      </c>
      <c r="AF163" s="513">
        <f t="shared" si="20"/>
        <v>1317.3262411347519</v>
      </c>
      <c r="AG163" s="513">
        <f t="shared" si="20"/>
        <v>1317.3262411347519</v>
      </c>
      <c r="AH163" s="513">
        <f t="shared" si="20"/>
        <v>1317.3262411347519</v>
      </c>
      <c r="AI163" s="513">
        <f t="shared" si="20"/>
        <v>1317.3262411347519</v>
      </c>
      <c r="AJ163" s="513">
        <f t="shared" si="20"/>
        <v>1317.3262411347519</v>
      </c>
      <c r="AK163" s="513">
        <f t="shared" si="20"/>
        <v>1317.3262411347519</v>
      </c>
      <c r="AL163" s="513">
        <f t="shared" si="20"/>
        <v>1317.3262411347519</v>
      </c>
      <c r="AM163" s="513">
        <f t="shared" si="20"/>
        <v>1317.3262411347519</v>
      </c>
      <c r="AN163" s="513">
        <f t="shared" si="20"/>
        <v>1317.3262411347519</v>
      </c>
      <c r="AO163" s="513">
        <f t="shared" si="20"/>
        <v>1317.3262411347519</v>
      </c>
      <c r="AP163" s="513">
        <f t="shared" si="20"/>
        <v>1317.3262411347519</v>
      </c>
      <c r="AQ163" s="513">
        <f t="shared" si="20"/>
        <v>1317.3262411347519</v>
      </c>
      <c r="AR163" s="513">
        <f t="shared" si="20"/>
        <v>1317.3262411347519</v>
      </c>
      <c r="AS163" s="513">
        <f t="shared" si="20"/>
        <v>1317.3262411347519</v>
      </c>
      <c r="AT163" s="513">
        <f t="shared" si="20"/>
        <v>1317.3262411347519</v>
      </c>
      <c r="AU163" s="513">
        <f t="shared" si="20"/>
        <v>1317.3262411347519</v>
      </c>
      <c r="AV163" s="513">
        <f t="shared" si="20"/>
        <v>1317.3262411347519</v>
      </c>
      <c r="AW163" s="513">
        <f t="shared" si="20"/>
        <v>1317.3262411347519</v>
      </c>
    </row>
    <row r="164" spans="1:49" s="145" customFormat="1" ht="25.5" x14ac:dyDescent="0.2">
      <c r="A164" s="480" t="s">
        <v>489</v>
      </c>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57"/>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row>
    <row r="165" spans="1:49" s="145" customFormat="1" x14ac:dyDescent="0.2">
      <c r="A165" s="518" t="s">
        <v>516</v>
      </c>
      <c r="B165" s="513">
        <f t="shared" ref="B165:AW165" si="21">B67</f>
        <v>323</v>
      </c>
      <c r="C165" s="513">
        <f t="shared" si="21"/>
        <v>352</v>
      </c>
      <c r="D165" s="513">
        <f t="shared" si="21"/>
        <v>338</v>
      </c>
      <c r="E165" s="513">
        <f t="shared" si="21"/>
        <v>434</v>
      </c>
      <c r="F165" s="513">
        <f t="shared" si="21"/>
        <v>492</v>
      </c>
      <c r="G165" s="513">
        <f t="shared" si="21"/>
        <v>511</v>
      </c>
      <c r="H165" s="513">
        <f t="shared" si="21"/>
        <v>562</v>
      </c>
      <c r="I165" s="513">
        <f t="shared" si="21"/>
        <v>708</v>
      </c>
      <c r="J165" s="513">
        <f t="shared" si="21"/>
        <v>874</v>
      </c>
      <c r="K165" s="513">
        <f t="shared" si="21"/>
        <v>1020</v>
      </c>
      <c r="L165" s="513">
        <f t="shared" si="21"/>
        <v>1088</v>
      </c>
      <c r="M165" s="513">
        <f t="shared" si="21"/>
        <v>1198</v>
      </c>
      <c r="N165" s="513">
        <f t="shared" si="21"/>
        <v>1328</v>
      </c>
      <c r="O165" s="513">
        <f t="shared" si="21"/>
        <v>1456</v>
      </c>
      <c r="P165" s="513">
        <f t="shared" si="21"/>
        <v>1449.81318681318</v>
      </c>
      <c r="Q165" s="513">
        <f t="shared" si="21"/>
        <v>1767</v>
      </c>
      <c r="R165" s="513">
        <f t="shared" si="21"/>
        <v>1793</v>
      </c>
      <c r="S165" s="513">
        <f t="shared" si="21"/>
        <v>1895</v>
      </c>
      <c r="T165" s="513">
        <f t="shared" si="21"/>
        <v>2048</v>
      </c>
      <c r="U165" s="513">
        <f t="shared" si="21"/>
        <v>2188</v>
      </c>
      <c r="V165" s="513">
        <f t="shared" si="21"/>
        <v>2213</v>
      </c>
      <c r="W165" s="513">
        <f t="shared" si="21"/>
        <v>2425</v>
      </c>
      <c r="X165" s="513">
        <f t="shared" si="21"/>
        <v>2473</v>
      </c>
      <c r="Y165" s="513">
        <f t="shared" si="21"/>
        <v>2483</v>
      </c>
      <c r="Z165" s="513">
        <f t="shared" si="21"/>
        <v>2557</v>
      </c>
      <c r="AA165" s="557">
        <f t="shared" si="21"/>
        <v>2625</v>
      </c>
      <c r="AB165" s="513">
        <f t="shared" si="21"/>
        <v>2535</v>
      </c>
      <c r="AC165" s="513">
        <f t="shared" si="21"/>
        <v>2601</v>
      </c>
      <c r="AD165" s="513">
        <f t="shared" si="21"/>
        <v>2575</v>
      </c>
      <c r="AE165" s="513">
        <f t="shared" si="21"/>
        <v>2559</v>
      </c>
      <c r="AF165" s="513">
        <f t="shared" si="21"/>
        <v>2503</v>
      </c>
      <c r="AG165" s="513">
        <f t="shared" si="21"/>
        <v>2483</v>
      </c>
      <c r="AH165" s="513">
        <f t="shared" si="21"/>
        <v>2452</v>
      </c>
      <c r="AI165" s="513">
        <f t="shared" si="21"/>
        <v>0</v>
      </c>
      <c r="AJ165" s="513">
        <f t="shared" si="21"/>
        <v>0</v>
      </c>
      <c r="AK165" s="513">
        <f t="shared" si="21"/>
        <v>0</v>
      </c>
      <c r="AL165" s="513">
        <f t="shared" si="21"/>
        <v>0</v>
      </c>
      <c r="AM165" s="513">
        <f t="shared" si="21"/>
        <v>0</v>
      </c>
      <c r="AN165" s="513">
        <f t="shared" si="21"/>
        <v>0</v>
      </c>
      <c r="AO165" s="513">
        <f t="shared" si="21"/>
        <v>0</v>
      </c>
      <c r="AP165" s="513">
        <f t="shared" si="21"/>
        <v>0</v>
      </c>
      <c r="AQ165" s="513">
        <f t="shared" si="21"/>
        <v>0</v>
      </c>
      <c r="AR165" s="513">
        <f t="shared" si="21"/>
        <v>0</v>
      </c>
      <c r="AS165" s="513">
        <f t="shared" si="21"/>
        <v>0</v>
      </c>
      <c r="AT165" s="513">
        <f t="shared" si="21"/>
        <v>0</v>
      </c>
      <c r="AU165" s="513">
        <f t="shared" si="21"/>
        <v>0</v>
      </c>
      <c r="AV165" s="513">
        <f t="shared" si="21"/>
        <v>0</v>
      </c>
      <c r="AW165" s="513">
        <f t="shared" si="21"/>
        <v>0</v>
      </c>
    </row>
    <row r="166" spans="1:49" s="145" customFormat="1" x14ac:dyDescent="0.2">
      <c r="A166" s="443" t="s">
        <v>130</v>
      </c>
      <c r="B166" s="513">
        <f t="shared" ref="B166:M166" si="22">MEDIAN($B$165:$M$165)</f>
        <v>536.5</v>
      </c>
      <c r="C166" s="513">
        <f t="shared" si="22"/>
        <v>536.5</v>
      </c>
      <c r="D166" s="513">
        <f t="shared" si="22"/>
        <v>536.5</v>
      </c>
      <c r="E166" s="513">
        <f t="shared" si="22"/>
        <v>536.5</v>
      </c>
      <c r="F166" s="513">
        <f t="shared" si="22"/>
        <v>536.5</v>
      </c>
      <c r="G166" s="513">
        <f t="shared" si="22"/>
        <v>536.5</v>
      </c>
      <c r="H166" s="513">
        <f t="shared" si="22"/>
        <v>536.5</v>
      </c>
      <c r="I166" s="513">
        <f t="shared" si="22"/>
        <v>536.5</v>
      </c>
      <c r="J166" s="513">
        <f t="shared" si="22"/>
        <v>536.5</v>
      </c>
      <c r="K166" s="513">
        <f t="shared" si="22"/>
        <v>536.5</v>
      </c>
      <c r="L166" s="513">
        <f t="shared" si="22"/>
        <v>536.5</v>
      </c>
      <c r="M166" s="513">
        <f t="shared" si="22"/>
        <v>536.5</v>
      </c>
      <c r="N166" s="514"/>
      <c r="O166" s="514"/>
      <c r="P166" s="514"/>
      <c r="Q166" s="514"/>
      <c r="R166" s="514"/>
      <c r="S166" s="514"/>
      <c r="T166" s="514"/>
      <c r="U166" s="514"/>
      <c r="V166" s="514"/>
      <c r="W166" s="515"/>
      <c r="X166" s="515"/>
      <c r="Y166" s="515"/>
      <c r="Z166" s="515"/>
      <c r="AA166" s="782"/>
      <c r="AB166" s="783"/>
      <c r="AC166" s="783"/>
      <c r="AD166" s="783"/>
      <c r="AE166" s="783"/>
      <c r="AF166" s="783"/>
      <c r="AG166" s="783"/>
      <c r="AH166" s="783"/>
      <c r="AI166" s="783"/>
      <c r="AJ166" s="783"/>
      <c r="AK166" s="783"/>
      <c r="AL166" s="783"/>
      <c r="AM166" s="783"/>
      <c r="AN166" s="783"/>
      <c r="AO166" s="783"/>
      <c r="AP166" s="783"/>
      <c r="AQ166" s="783"/>
      <c r="AR166" s="783"/>
      <c r="AS166" s="783"/>
      <c r="AT166" s="783"/>
      <c r="AU166" s="783"/>
      <c r="AV166" s="783"/>
      <c r="AW166" s="783"/>
    </row>
    <row r="167" spans="1:49" s="145" customFormat="1" x14ac:dyDescent="0.2">
      <c r="A167" s="443" t="s">
        <v>303</v>
      </c>
      <c r="B167" s="513"/>
      <c r="C167" s="513"/>
      <c r="D167" s="513"/>
      <c r="E167" s="513"/>
      <c r="F167" s="513"/>
      <c r="G167" s="513"/>
      <c r="H167" s="513"/>
      <c r="I167" s="513"/>
      <c r="J167" s="513"/>
      <c r="K167" s="514"/>
      <c r="L167" s="514"/>
      <c r="M167" s="513"/>
      <c r="N167" s="513">
        <f t="shared" ref="N167:Y167" si="23">MEDIAN($N$165:$Y$165)</f>
        <v>1971.5</v>
      </c>
      <c r="O167" s="513">
        <f t="shared" si="23"/>
        <v>1971.5</v>
      </c>
      <c r="P167" s="513">
        <f t="shared" si="23"/>
        <v>1971.5</v>
      </c>
      <c r="Q167" s="513">
        <f t="shared" si="23"/>
        <v>1971.5</v>
      </c>
      <c r="R167" s="513">
        <f t="shared" si="23"/>
        <v>1971.5</v>
      </c>
      <c r="S167" s="513">
        <f t="shared" si="23"/>
        <v>1971.5</v>
      </c>
      <c r="T167" s="513">
        <f t="shared" si="23"/>
        <v>1971.5</v>
      </c>
      <c r="U167" s="513">
        <f t="shared" si="23"/>
        <v>1971.5</v>
      </c>
      <c r="V167" s="513">
        <f t="shared" si="23"/>
        <v>1971.5</v>
      </c>
      <c r="W167" s="513">
        <f t="shared" si="23"/>
        <v>1971.5</v>
      </c>
      <c r="X167" s="513">
        <f t="shared" si="23"/>
        <v>1971.5</v>
      </c>
      <c r="Y167" s="513">
        <f t="shared" si="23"/>
        <v>1971.5</v>
      </c>
      <c r="Z167" s="513" t="s">
        <v>368</v>
      </c>
      <c r="AA167" s="782"/>
      <c r="AB167" s="783"/>
      <c r="AC167" s="783"/>
      <c r="AD167" s="783"/>
      <c r="AE167" s="783"/>
      <c r="AF167" s="783"/>
      <c r="AG167" s="783"/>
      <c r="AH167" s="783"/>
      <c r="AI167" s="783"/>
      <c r="AJ167" s="783"/>
      <c r="AK167" s="783"/>
      <c r="AL167" s="783"/>
      <c r="AM167" s="783"/>
      <c r="AN167" s="783"/>
      <c r="AO167" s="783"/>
      <c r="AP167" s="783"/>
      <c r="AQ167" s="783"/>
      <c r="AR167" s="783"/>
      <c r="AS167" s="783"/>
      <c r="AT167" s="783"/>
      <c r="AU167" s="783"/>
      <c r="AV167" s="783"/>
      <c r="AW167" s="783"/>
    </row>
    <row r="168" spans="1:49" s="145" customFormat="1" x14ac:dyDescent="0.2">
      <c r="A168" s="443" t="s">
        <v>773</v>
      </c>
      <c r="B168" s="513"/>
      <c r="C168" s="513"/>
      <c r="D168" s="513"/>
      <c r="E168" s="513"/>
      <c r="F168" s="513"/>
      <c r="G168" s="513"/>
      <c r="H168" s="513"/>
      <c r="I168" s="513"/>
      <c r="J168" s="513"/>
      <c r="K168" s="514"/>
      <c r="L168" s="514"/>
      <c r="M168" s="513"/>
      <c r="N168" s="513"/>
      <c r="O168" s="513"/>
      <c r="P168" s="513"/>
      <c r="Q168" s="513"/>
      <c r="R168" s="513"/>
      <c r="S168" s="513"/>
      <c r="T168" s="513"/>
      <c r="U168" s="513"/>
      <c r="V168" s="513"/>
      <c r="W168" s="513"/>
      <c r="X168" s="513"/>
      <c r="Y168" s="513"/>
      <c r="Z168" s="513">
        <f>MEDIAN($Z$165:$AK$165)</f>
        <v>2519</v>
      </c>
      <c r="AA168" s="513">
        <f t="shared" ref="AA168:AK168" si="24">MEDIAN($Z$165:$AK$165)</f>
        <v>2519</v>
      </c>
      <c r="AB168" s="513">
        <f t="shared" si="24"/>
        <v>2519</v>
      </c>
      <c r="AC168" s="513">
        <f t="shared" si="24"/>
        <v>2519</v>
      </c>
      <c r="AD168" s="513">
        <f t="shared" si="24"/>
        <v>2519</v>
      </c>
      <c r="AE168" s="513">
        <f t="shared" si="24"/>
        <v>2519</v>
      </c>
      <c r="AF168" s="513">
        <f t="shared" si="24"/>
        <v>2519</v>
      </c>
      <c r="AG168" s="513">
        <f t="shared" si="24"/>
        <v>2519</v>
      </c>
      <c r="AH168" s="513">
        <f t="shared" si="24"/>
        <v>2519</v>
      </c>
      <c r="AI168" s="513">
        <f t="shared" si="24"/>
        <v>2519</v>
      </c>
      <c r="AJ168" s="513">
        <f t="shared" si="24"/>
        <v>2519</v>
      </c>
      <c r="AK168" s="513">
        <f t="shared" si="24"/>
        <v>2519</v>
      </c>
      <c r="AL168" s="513"/>
      <c r="AM168" s="513"/>
      <c r="AN168" s="513"/>
      <c r="AO168" s="513"/>
      <c r="AP168" s="513"/>
      <c r="AQ168" s="513"/>
      <c r="AR168" s="513"/>
      <c r="AS168" s="513"/>
      <c r="AT168" s="513"/>
      <c r="AU168" s="513"/>
      <c r="AV168" s="513"/>
      <c r="AW168" s="513"/>
    </row>
    <row r="169" spans="1:49" s="145" customFormat="1" x14ac:dyDescent="0.2">
      <c r="A169" s="496" t="s">
        <v>466</v>
      </c>
      <c r="B169" s="513"/>
      <c r="C169" s="513">
        <f>(C165-B165)</f>
        <v>29</v>
      </c>
      <c r="D169" s="513">
        <f>(D165-C165)*-1</f>
        <v>14</v>
      </c>
      <c r="E169" s="513">
        <f t="shared" ref="E169:O169" si="25">(E165-D165)</f>
        <v>96</v>
      </c>
      <c r="F169" s="513">
        <f t="shared" si="25"/>
        <v>58</v>
      </c>
      <c r="G169" s="513">
        <f t="shared" si="25"/>
        <v>19</v>
      </c>
      <c r="H169" s="513">
        <f t="shared" si="25"/>
        <v>51</v>
      </c>
      <c r="I169" s="513">
        <f t="shared" si="25"/>
        <v>146</v>
      </c>
      <c r="J169" s="513">
        <f t="shared" si="25"/>
        <v>166</v>
      </c>
      <c r="K169" s="513">
        <f t="shared" si="25"/>
        <v>146</v>
      </c>
      <c r="L169" s="513">
        <f>(L165-K165)</f>
        <v>68</v>
      </c>
      <c r="M169" s="513">
        <f t="shared" si="25"/>
        <v>110</v>
      </c>
      <c r="N169" s="513">
        <f t="shared" si="25"/>
        <v>130</v>
      </c>
      <c r="O169" s="513">
        <f t="shared" si="25"/>
        <v>128</v>
      </c>
      <c r="P169" s="513">
        <f>(P165-O165)*-1</f>
        <v>6.186813186820018</v>
      </c>
      <c r="Q169" s="513">
        <f t="shared" ref="Q169:AA169" si="26">(Q165-P165)</f>
        <v>317.18681318682002</v>
      </c>
      <c r="R169" s="513">
        <f t="shared" si="26"/>
        <v>26</v>
      </c>
      <c r="S169" s="513">
        <f t="shared" si="26"/>
        <v>102</v>
      </c>
      <c r="T169" s="513">
        <f t="shared" si="26"/>
        <v>153</v>
      </c>
      <c r="U169" s="513">
        <f t="shared" si="26"/>
        <v>140</v>
      </c>
      <c r="V169" s="513">
        <f t="shared" si="26"/>
        <v>25</v>
      </c>
      <c r="W169" s="513">
        <f t="shared" si="26"/>
        <v>212</v>
      </c>
      <c r="X169" s="513">
        <f t="shared" si="26"/>
        <v>48</v>
      </c>
      <c r="Y169" s="513">
        <f t="shared" si="26"/>
        <v>10</v>
      </c>
      <c r="Z169" s="513">
        <f t="shared" si="26"/>
        <v>74</v>
      </c>
      <c r="AA169" s="557">
        <f t="shared" si="26"/>
        <v>68</v>
      </c>
      <c r="AB169" s="557">
        <f>(AB165-AA165)*-1</f>
        <v>90</v>
      </c>
      <c r="AC169" s="557">
        <f>(AC165-AB165)</f>
        <v>66</v>
      </c>
      <c r="AD169" s="557">
        <f>(AD165-AC165)*-1</f>
        <v>26</v>
      </c>
      <c r="AE169" s="557">
        <f>(AE165-AD165)*-1</f>
        <v>16</v>
      </c>
      <c r="AF169" s="557">
        <f>(AF165-AE165)*-1</f>
        <v>56</v>
      </c>
      <c r="AG169" s="557">
        <f t="shared" ref="AG169:AH169" si="27">(AG165-AF165)*-1</f>
        <v>20</v>
      </c>
      <c r="AH169" s="557">
        <f t="shared" si="27"/>
        <v>31</v>
      </c>
      <c r="AI169" s="513"/>
      <c r="AJ169" s="513"/>
      <c r="AK169" s="513"/>
      <c r="AL169" s="513"/>
      <c r="AM169" s="513"/>
      <c r="AN169" s="513"/>
      <c r="AO169" s="513"/>
      <c r="AP169" s="513"/>
      <c r="AQ169" s="513"/>
      <c r="AR169" s="513"/>
      <c r="AS169" s="513"/>
      <c r="AT169" s="513"/>
      <c r="AU169" s="513"/>
      <c r="AV169" s="513"/>
      <c r="AW169" s="513"/>
    </row>
    <row r="170" spans="1:49" s="145" customFormat="1" ht="51" x14ac:dyDescent="0.2">
      <c r="A170" s="784" t="s">
        <v>497</v>
      </c>
      <c r="B170" s="513"/>
      <c r="C170" s="513"/>
      <c r="D170" s="513"/>
      <c r="E170" s="513"/>
      <c r="F170" s="513"/>
      <c r="G170" s="513"/>
      <c r="H170" s="513"/>
      <c r="I170" s="513"/>
      <c r="J170" s="513"/>
      <c r="K170" s="514"/>
      <c r="L170" s="514"/>
      <c r="M170" s="513"/>
      <c r="N170" s="513"/>
      <c r="O170" s="513"/>
      <c r="P170" s="513"/>
      <c r="Q170" s="513"/>
      <c r="R170" s="513"/>
      <c r="S170" s="513"/>
      <c r="T170" s="513"/>
      <c r="U170" s="513"/>
      <c r="V170" s="513"/>
      <c r="W170" s="513"/>
      <c r="X170" s="513"/>
      <c r="Y170" s="513"/>
      <c r="Z170" s="513"/>
      <c r="AA170" s="557"/>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row>
    <row r="171" spans="1:49" s="145" customFormat="1" x14ac:dyDescent="0.2">
      <c r="A171" s="460" t="s">
        <v>468</v>
      </c>
      <c r="B171" s="513">
        <f t="shared" ref="B171:AW171" si="28">AVERAGE($B$165:$AW$165)</f>
        <v>1131.4336080586079</v>
      </c>
      <c r="C171" s="513">
        <f t="shared" si="28"/>
        <v>1131.4336080586079</v>
      </c>
      <c r="D171" s="513">
        <f t="shared" si="28"/>
        <v>1131.4336080586079</v>
      </c>
      <c r="E171" s="513">
        <f t="shared" si="28"/>
        <v>1131.4336080586079</v>
      </c>
      <c r="F171" s="513">
        <f t="shared" si="28"/>
        <v>1131.4336080586079</v>
      </c>
      <c r="G171" s="513">
        <f t="shared" si="28"/>
        <v>1131.4336080586079</v>
      </c>
      <c r="H171" s="513">
        <f t="shared" si="28"/>
        <v>1131.4336080586079</v>
      </c>
      <c r="I171" s="513">
        <f t="shared" si="28"/>
        <v>1131.4336080586079</v>
      </c>
      <c r="J171" s="513">
        <f t="shared" si="28"/>
        <v>1131.4336080586079</v>
      </c>
      <c r="K171" s="513">
        <f t="shared" si="28"/>
        <v>1131.4336080586079</v>
      </c>
      <c r="L171" s="513">
        <f t="shared" si="28"/>
        <v>1131.4336080586079</v>
      </c>
      <c r="M171" s="513">
        <f t="shared" si="28"/>
        <v>1131.4336080586079</v>
      </c>
      <c r="N171" s="513">
        <f t="shared" si="28"/>
        <v>1131.4336080586079</v>
      </c>
      <c r="O171" s="513">
        <f t="shared" si="28"/>
        <v>1131.4336080586079</v>
      </c>
      <c r="P171" s="513">
        <f t="shared" si="28"/>
        <v>1131.4336080586079</v>
      </c>
      <c r="Q171" s="513">
        <f t="shared" si="28"/>
        <v>1131.4336080586079</v>
      </c>
      <c r="R171" s="513">
        <f t="shared" si="28"/>
        <v>1131.4336080586079</v>
      </c>
      <c r="S171" s="513">
        <f t="shared" si="28"/>
        <v>1131.4336080586079</v>
      </c>
      <c r="T171" s="513">
        <f t="shared" si="28"/>
        <v>1131.4336080586079</v>
      </c>
      <c r="U171" s="513">
        <f t="shared" si="28"/>
        <v>1131.4336080586079</v>
      </c>
      <c r="V171" s="513">
        <f t="shared" si="28"/>
        <v>1131.4336080586079</v>
      </c>
      <c r="W171" s="513">
        <f t="shared" si="28"/>
        <v>1131.4336080586079</v>
      </c>
      <c r="X171" s="513">
        <f t="shared" si="28"/>
        <v>1131.4336080586079</v>
      </c>
      <c r="Y171" s="513">
        <f t="shared" si="28"/>
        <v>1131.4336080586079</v>
      </c>
      <c r="Z171" s="513">
        <f t="shared" si="28"/>
        <v>1131.4336080586079</v>
      </c>
      <c r="AA171" s="557">
        <f t="shared" si="28"/>
        <v>1131.4336080586079</v>
      </c>
      <c r="AB171" s="513">
        <f t="shared" si="28"/>
        <v>1131.4336080586079</v>
      </c>
      <c r="AC171" s="513">
        <f t="shared" si="28"/>
        <v>1131.4336080586079</v>
      </c>
      <c r="AD171" s="513">
        <f t="shared" si="28"/>
        <v>1131.4336080586079</v>
      </c>
      <c r="AE171" s="513">
        <f t="shared" si="28"/>
        <v>1131.4336080586079</v>
      </c>
      <c r="AF171" s="513">
        <f t="shared" si="28"/>
        <v>1131.4336080586079</v>
      </c>
      <c r="AG171" s="513">
        <f t="shared" si="28"/>
        <v>1131.4336080586079</v>
      </c>
      <c r="AH171" s="513">
        <f t="shared" si="28"/>
        <v>1131.4336080586079</v>
      </c>
      <c r="AI171" s="513">
        <f t="shared" si="28"/>
        <v>1131.4336080586079</v>
      </c>
      <c r="AJ171" s="513">
        <f t="shared" si="28"/>
        <v>1131.4336080586079</v>
      </c>
      <c r="AK171" s="513">
        <f t="shared" si="28"/>
        <v>1131.4336080586079</v>
      </c>
      <c r="AL171" s="513">
        <f t="shared" si="28"/>
        <v>1131.4336080586079</v>
      </c>
      <c r="AM171" s="513">
        <f t="shared" si="28"/>
        <v>1131.4336080586079</v>
      </c>
      <c r="AN171" s="513">
        <f t="shared" si="28"/>
        <v>1131.4336080586079</v>
      </c>
      <c r="AO171" s="513">
        <f t="shared" si="28"/>
        <v>1131.4336080586079</v>
      </c>
      <c r="AP171" s="513">
        <f t="shared" si="28"/>
        <v>1131.4336080586079</v>
      </c>
      <c r="AQ171" s="513">
        <f t="shared" si="28"/>
        <v>1131.4336080586079</v>
      </c>
      <c r="AR171" s="513">
        <f t="shared" si="28"/>
        <v>1131.4336080586079</v>
      </c>
      <c r="AS171" s="513">
        <f t="shared" si="28"/>
        <v>1131.4336080586079</v>
      </c>
      <c r="AT171" s="513">
        <f t="shared" si="28"/>
        <v>1131.4336080586079</v>
      </c>
      <c r="AU171" s="513">
        <f t="shared" si="28"/>
        <v>1131.4336080586079</v>
      </c>
      <c r="AV171" s="513">
        <f t="shared" si="28"/>
        <v>1131.4336080586079</v>
      </c>
      <c r="AW171" s="513">
        <f t="shared" si="28"/>
        <v>1131.4336080586079</v>
      </c>
    </row>
    <row r="172" spans="1:49" s="145" customFormat="1" x14ac:dyDescent="0.2">
      <c r="A172" s="445" t="s">
        <v>467</v>
      </c>
      <c r="B172" s="513">
        <f>SUM(C169:AW169)/COUNT(C169:AW169)</f>
        <v>82.730425824176251</v>
      </c>
      <c r="C172" s="513"/>
      <c r="D172" s="513"/>
      <c r="E172" s="513"/>
      <c r="F172" s="513"/>
      <c r="G172" s="513"/>
      <c r="H172" s="513"/>
      <c r="I172" s="513"/>
      <c r="J172" s="513"/>
      <c r="K172" s="514"/>
      <c r="L172" s="514"/>
      <c r="M172" s="513"/>
      <c r="N172" s="513"/>
      <c r="O172" s="513"/>
      <c r="P172" s="513"/>
      <c r="Q172" s="513"/>
      <c r="R172" s="513"/>
      <c r="S172" s="513"/>
      <c r="T172" s="513"/>
      <c r="U172" s="513"/>
      <c r="V172" s="513"/>
      <c r="W172" s="513"/>
      <c r="X172" s="513"/>
      <c r="Y172" s="513"/>
      <c r="Z172" s="513"/>
      <c r="AA172" s="557"/>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row>
    <row r="173" spans="1:49" s="145" customFormat="1" ht="25.5" x14ac:dyDescent="0.2">
      <c r="A173" s="445" t="s">
        <v>470</v>
      </c>
      <c r="B173" s="513">
        <f>B172/1.128</f>
        <v>73.342576085262635</v>
      </c>
      <c r="C173" s="513"/>
      <c r="D173" s="513"/>
      <c r="E173" s="513"/>
      <c r="F173" s="513"/>
      <c r="G173" s="513"/>
      <c r="H173" s="513"/>
      <c r="I173" s="513"/>
      <c r="J173" s="513"/>
      <c r="K173" s="514"/>
      <c r="L173" s="514"/>
      <c r="M173" s="513"/>
      <c r="N173" s="513"/>
      <c r="O173" s="513"/>
      <c r="P173" s="513"/>
      <c r="Q173" s="513"/>
      <c r="R173" s="513"/>
      <c r="S173" s="513"/>
      <c r="T173" s="513"/>
      <c r="U173" s="513"/>
      <c r="V173" s="513"/>
      <c r="W173" s="513"/>
      <c r="X173" s="513"/>
      <c r="Y173" s="513"/>
      <c r="Z173" s="513"/>
      <c r="AA173" s="557"/>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row>
    <row r="174" spans="1:49" s="145" customFormat="1" x14ac:dyDescent="0.2">
      <c r="A174" s="445" t="s">
        <v>473</v>
      </c>
      <c r="B174" s="513">
        <f t="shared" ref="B174:AW174" si="29">$B$171+(3*$B$173)</f>
        <v>1351.4613363143958</v>
      </c>
      <c r="C174" s="513">
        <f t="shared" si="29"/>
        <v>1351.4613363143958</v>
      </c>
      <c r="D174" s="513">
        <f t="shared" si="29"/>
        <v>1351.4613363143958</v>
      </c>
      <c r="E174" s="513">
        <f t="shared" si="29"/>
        <v>1351.4613363143958</v>
      </c>
      <c r="F174" s="513">
        <f t="shared" si="29"/>
        <v>1351.4613363143958</v>
      </c>
      <c r="G174" s="513">
        <f t="shared" si="29"/>
        <v>1351.4613363143958</v>
      </c>
      <c r="H174" s="513">
        <f t="shared" si="29"/>
        <v>1351.4613363143958</v>
      </c>
      <c r="I174" s="513">
        <f t="shared" si="29"/>
        <v>1351.4613363143958</v>
      </c>
      <c r="J174" s="513">
        <f t="shared" si="29"/>
        <v>1351.4613363143958</v>
      </c>
      <c r="K174" s="513">
        <f t="shared" si="29"/>
        <v>1351.4613363143958</v>
      </c>
      <c r="L174" s="513">
        <f t="shared" si="29"/>
        <v>1351.4613363143958</v>
      </c>
      <c r="M174" s="513">
        <f t="shared" si="29"/>
        <v>1351.4613363143958</v>
      </c>
      <c r="N174" s="513">
        <f t="shared" si="29"/>
        <v>1351.4613363143958</v>
      </c>
      <c r="O174" s="513">
        <f t="shared" si="29"/>
        <v>1351.4613363143958</v>
      </c>
      <c r="P174" s="513">
        <f t="shared" si="29"/>
        <v>1351.4613363143958</v>
      </c>
      <c r="Q174" s="513">
        <f t="shared" si="29"/>
        <v>1351.4613363143958</v>
      </c>
      <c r="R174" s="513">
        <f t="shared" si="29"/>
        <v>1351.4613363143958</v>
      </c>
      <c r="S174" s="513">
        <f t="shared" si="29"/>
        <v>1351.4613363143958</v>
      </c>
      <c r="T174" s="513">
        <f t="shared" si="29"/>
        <v>1351.4613363143958</v>
      </c>
      <c r="U174" s="513">
        <f t="shared" si="29"/>
        <v>1351.4613363143958</v>
      </c>
      <c r="V174" s="513">
        <f t="shared" si="29"/>
        <v>1351.4613363143958</v>
      </c>
      <c r="W174" s="513">
        <f t="shared" si="29"/>
        <v>1351.4613363143958</v>
      </c>
      <c r="X174" s="513">
        <f t="shared" si="29"/>
        <v>1351.4613363143958</v>
      </c>
      <c r="Y174" s="513">
        <f t="shared" si="29"/>
        <v>1351.4613363143958</v>
      </c>
      <c r="Z174" s="513">
        <f t="shared" si="29"/>
        <v>1351.4613363143958</v>
      </c>
      <c r="AA174" s="557">
        <f t="shared" si="29"/>
        <v>1351.4613363143958</v>
      </c>
      <c r="AB174" s="513">
        <f t="shared" si="29"/>
        <v>1351.4613363143958</v>
      </c>
      <c r="AC174" s="513">
        <f t="shared" si="29"/>
        <v>1351.4613363143958</v>
      </c>
      <c r="AD174" s="513">
        <f t="shared" si="29"/>
        <v>1351.4613363143958</v>
      </c>
      <c r="AE174" s="513">
        <f t="shared" si="29"/>
        <v>1351.4613363143958</v>
      </c>
      <c r="AF174" s="513">
        <f t="shared" si="29"/>
        <v>1351.4613363143958</v>
      </c>
      <c r="AG174" s="513">
        <f t="shared" si="29"/>
        <v>1351.4613363143958</v>
      </c>
      <c r="AH174" s="513">
        <f t="shared" si="29"/>
        <v>1351.4613363143958</v>
      </c>
      <c r="AI174" s="513">
        <f t="shared" si="29"/>
        <v>1351.4613363143958</v>
      </c>
      <c r="AJ174" s="513">
        <f t="shared" si="29"/>
        <v>1351.4613363143958</v>
      </c>
      <c r="AK174" s="513">
        <f t="shared" si="29"/>
        <v>1351.4613363143958</v>
      </c>
      <c r="AL174" s="513">
        <f t="shared" si="29"/>
        <v>1351.4613363143958</v>
      </c>
      <c r="AM174" s="513">
        <f t="shared" si="29"/>
        <v>1351.4613363143958</v>
      </c>
      <c r="AN174" s="513">
        <f t="shared" si="29"/>
        <v>1351.4613363143958</v>
      </c>
      <c r="AO174" s="513">
        <f t="shared" si="29"/>
        <v>1351.4613363143958</v>
      </c>
      <c r="AP174" s="513">
        <f t="shared" si="29"/>
        <v>1351.4613363143958</v>
      </c>
      <c r="AQ174" s="513">
        <f t="shared" si="29"/>
        <v>1351.4613363143958</v>
      </c>
      <c r="AR174" s="513">
        <f t="shared" si="29"/>
        <v>1351.4613363143958</v>
      </c>
      <c r="AS174" s="513">
        <f t="shared" si="29"/>
        <v>1351.4613363143958</v>
      </c>
      <c r="AT174" s="513">
        <f t="shared" si="29"/>
        <v>1351.4613363143958</v>
      </c>
      <c r="AU174" s="513">
        <f t="shared" si="29"/>
        <v>1351.4613363143958</v>
      </c>
      <c r="AV174" s="513">
        <f t="shared" si="29"/>
        <v>1351.4613363143958</v>
      </c>
      <c r="AW174" s="513">
        <f t="shared" si="29"/>
        <v>1351.4613363143958</v>
      </c>
    </row>
    <row r="175" spans="1:49" s="145" customFormat="1" x14ac:dyDescent="0.2">
      <c r="A175" s="445" t="s">
        <v>475</v>
      </c>
      <c r="B175" s="513">
        <f t="shared" ref="B175:AW175" si="30">$B$171-(3*$B$173)</f>
        <v>911.40587980281998</v>
      </c>
      <c r="C175" s="513">
        <f t="shared" si="30"/>
        <v>911.40587980281998</v>
      </c>
      <c r="D175" s="513">
        <f t="shared" si="30"/>
        <v>911.40587980281998</v>
      </c>
      <c r="E175" s="513">
        <f t="shared" si="30"/>
        <v>911.40587980281998</v>
      </c>
      <c r="F175" s="513">
        <f t="shared" si="30"/>
        <v>911.40587980281998</v>
      </c>
      <c r="G175" s="513">
        <f t="shared" si="30"/>
        <v>911.40587980281998</v>
      </c>
      <c r="H175" s="513">
        <f t="shared" si="30"/>
        <v>911.40587980281998</v>
      </c>
      <c r="I175" s="513">
        <f t="shared" si="30"/>
        <v>911.40587980281998</v>
      </c>
      <c r="J175" s="513">
        <f t="shared" si="30"/>
        <v>911.40587980281998</v>
      </c>
      <c r="K175" s="513">
        <f t="shared" si="30"/>
        <v>911.40587980281998</v>
      </c>
      <c r="L175" s="513">
        <f t="shared" si="30"/>
        <v>911.40587980281998</v>
      </c>
      <c r="M175" s="513">
        <f t="shared" si="30"/>
        <v>911.40587980281998</v>
      </c>
      <c r="N175" s="513">
        <f t="shared" si="30"/>
        <v>911.40587980281998</v>
      </c>
      <c r="O175" s="513">
        <f t="shared" si="30"/>
        <v>911.40587980281998</v>
      </c>
      <c r="P175" s="513">
        <f t="shared" si="30"/>
        <v>911.40587980281998</v>
      </c>
      <c r="Q175" s="513">
        <f t="shared" si="30"/>
        <v>911.40587980281998</v>
      </c>
      <c r="R175" s="513">
        <f t="shared" si="30"/>
        <v>911.40587980281998</v>
      </c>
      <c r="S175" s="513">
        <f t="shared" si="30"/>
        <v>911.40587980281998</v>
      </c>
      <c r="T175" s="513">
        <f t="shared" si="30"/>
        <v>911.40587980281998</v>
      </c>
      <c r="U175" s="513">
        <f t="shared" si="30"/>
        <v>911.40587980281998</v>
      </c>
      <c r="V175" s="513">
        <f t="shared" si="30"/>
        <v>911.40587980281998</v>
      </c>
      <c r="W175" s="513">
        <f t="shared" si="30"/>
        <v>911.40587980281998</v>
      </c>
      <c r="X175" s="513">
        <f t="shared" si="30"/>
        <v>911.40587980281998</v>
      </c>
      <c r="Y175" s="513">
        <f t="shared" si="30"/>
        <v>911.40587980281998</v>
      </c>
      <c r="Z175" s="513">
        <f t="shared" si="30"/>
        <v>911.40587980281998</v>
      </c>
      <c r="AA175" s="557">
        <f t="shared" si="30"/>
        <v>911.40587980281998</v>
      </c>
      <c r="AB175" s="513">
        <f t="shared" si="30"/>
        <v>911.40587980281998</v>
      </c>
      <c r="AC175" s="513">
        <f t="shared" si="30"/>
        <v>911.40587980281998</v>
      </c>
      <c r="AD175" s="513">
        <f t="shared" si="30"/>
        <v>911.40587980281998</v>
      </c>
      <c r="AE175" s="513">
        <f t="shared" si="30"/>
        <v>911.40587980281998</v>
      </c>
      <c r="AF175" s="513">
        <f t="shared" si="30"/>
        <v>911.40587980281998</v>
      </c>
      <c r="AG175" s="513">
        <f t="shared" si="30"/>
        <v>911.40587980281998</v>
      </c>
      <c r="AH175" s="513">
        <f t="shared" si="30"/>
        <v>911.40587980281998</v>
      </c>
      <c r="AI175" s="513">
        <f t="shared" si="30"/>
        <v>911.40587980281998</v>
      </c>
      <c r="AJ175" s="513">
        <f t="shared" si="30"/>
        <v>911.40587980281998</v>
      </c>
      <c r="AK175" s="513">
        <f t="shared" si="30"/>
        <v>911.40587980281998</v>
      </c>
      <c r="AL175" s="513">
        <f t="shared" si="30"/>
        <v>911.40587980281998</v>
      </c>
      <c r="AM175" s="513">
        <f t="shared" si="30"/>
        <v>911.40587980281998</v>
      </c>
      <c r="AN175" s="513">
        <f t="shared" si="30"/>
        <v>911.40587980281998</v>
      </c>
      <c r="AO175" s="513">
        <f t="shared" si="30"/>
        <v>911.40587980281998</v>
      </c>
      <c r="AP175" s="513">
        <f t="shared" si="30"/>
        <v>911.40587980281998</v>
      </c>
      <c r="AQ175" s="513">
        <f t="shared" si="30"/>
        <v>911.40587980281998</v>
      </c>
      <c r="AR175" s="513">
        <f t="shared" si="30"/>
        <v>911.40587980281998</v>
      </c>
      <c r="AS175" s="513">
        <f t="shared" si="30"/>
        <v>911.40587980281998</v>
      </c>
      <c r="AT175" s="513">
        <f t="shared" si="30"/>
        <v>911.40587980281998</v>
      </c>
      <c r="AU175" s="513">
        <f t="shared" si="30"/>
        <v>911.40587980281998</v>
      </c>
      <c r="AV175" s="513">
        <f t="shared" si="30"/>
        <v>911.40587980281998</v>
      </c>
      <c r="AW175" s="513">
        <f t="shared" si="30"/>
        <v>911.40587980281998</v>
      </c>
    </row>
    <row r="176" spans="1:49" s="145" customFormat="1" ht="25.5" x14ac:dyDescent="0.2">
      <c r="A176" s="480" t="s">
        <v>489</v>
      </c>
      <c r="B176" s="513"/>
      <c r="C176" s="513"/>
      <c r="D176" s="513"/>
      <c r="E176" s="513"/>
      <c r="F176" s="513"/>
      <c r="G176" s="513"/>
      <c r="H176" s="513"/>
      <c r="I176" s="513"/>
      <c r="J176" s="513"/>
      <c r="K176" s="514"/>
      <c r="L176" s="514"/>
      <c r="M176" s="513"/>
      <c r="N176" s="513"/>
      <c r="O176" s="513"/>
      <c r="P176" s="513"/>
      <c r="Q176" s="513"/>
      <c r="R176" s="513"/>
      <c r="S176" s="513"/>
      <c r="T176" s="513"/>
      <c r="U176" s="513"/>
      <c r="V176" s="513"/>
      <c r="W176" s="513"/>
      <c r="X176" s="513"/>
      <c r="Y176" s="513"/>
      <c r="Z176" s="513"/>
      <c r="AA176" s="557"/>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row>
    <row r="177" spans="1:49" s="145" customFormat="1" x14ac:dyDescent="0.2">
      <c r="A177" s="518" t="s">
        <v>517</v>
      </c>
      <c r="B177" s="513">
        <f t="shared" ref="B177:AW177" si="31">B68</f>
        <v>50</v>
      </c>
      <c r="C177" s="513">
        <f t="shared" si="31"/>
        <v>28</v>
      </c>
      <c r="D177" s="513">
        <f t="shared" si="31"/>
        <v>33</v>
      </c>
      <c r="E177" s="513">
        <f t="shared" si="31"/>
        <v>61</v>
      </c>
      <c r="F177" s="513">
        <f t="shared" si="31"/>
        <v>76</v>
      </c>
      <c r="G177" s="513">
        <f t="shared" si="31"/>
        <v>161</v>
      </c>
      <c r="H177" s="513">
        <f t="shared" si="31"/>
        <v>129</v>
      </c>
      <c r="I177" s="513">
        <f t="shared" si="31"/>
        <v>153</v>
      </c>
      <c r="J177" s="513">
        <f t="shared" si="31"/>
        <v>166</v>
      </c>
      <c r="K177" s="513">
        <f t="shared" si="31"/>
        <v>109</v>
      </c>
      <c r="L177" s="513">
        <f t="shared" si="31"/>
        <v>38</v>
      </c>
      <c r="M177" s="513">
        <f t="shared" si="31"/>
        <v>16</v>
      </c>
      <c r="N177" s="513">
        <f t="shared" si="31"/>
        <v>13</v>
      </c>
      <c r="O177" s="513">
        <f t="shared" si="31"/>
        <v>7</v>
      </c>
      <c r="P177" s="513">
        <f t="shared" si="31"/>
        <v>12</v>
      </c>
      <c r="Q177" s="513">
        <f t="shared" si="31"/>
        <v>12</v>
      </c>
      <c r="R177" s="513">
        <f t="shared" si="31"/>
        <v>12</v>
      </c>
      <c r="S177" s="513">
        <f t="shared" si="31"/>
        <v>35</v>
      </c>
      <c r="T177" s="513">
        <f t="shared" si="31"/>
        <v>127</v>
      </c>
      <c r="U177" s="513">
        <f t="shared" si="31"/>
        <v>181</v>
      </c>
      <c r="V177" s="513">
        <f t="shared" si="31"/>
        <v>159</v>
      </c>
      <c r="W177" s="513">
        <f t="shared" si="31"/>
        <v>242</v>
      </c>
      <c r="X177" s="513">
        <f t="shared" si="31"/>
        <v>239</v>
      </c>
      <c r="Y177" s="513">
        <f t="shared" si="31"/>
        <v>231</v>
      </c>
      <c r="Z177" s="513">
        <f t="shared" si="31"/>
        <v>294</v>
      </c>
      <c r="AA177" s="557">
        <f t="shared" si="31"/>
        <v>322</v>
      </c>
      <c r="AB177" s="513">
        <f t="shared" si="31"/>
        <v>373</v>
      </c>
      <c r="AC177" s="513">
        <f t="shared" si="31"/>
        <v>362</v>
      </c>
      <c r="AD177" s="513">
        <f t="shared" si="31"/>
        <v>379</v>
      </c>
      <c r="AE177" s="513">
        <f t="shared" si="31"/>
        <v>415</v>
      </c>
      <c r="AF177" s="513">
        <f t="shared" si="31"/>
        <v>366</v>
      </c>
      <c r="AG177" s="513">
        <f t="shared" si="31"/>
        <v>471</v>
      </c>
      <c r="AH177" s="513">
        <f t="shared" si="31"/>
        <v>484</v>
      </c>
      <c r="AI177" s="513">
        <f t="shared" si="31"/>
        <v>0</v>
      </c>
      <c r="AJ177" s="513">
        <f t="shared" si="31"/>
        <v>0</v>
      </c>
      <c r="AK177" s="513">
        <f t="shared" si="31"/>
        <v>0</v>
      </c>
      <c r="AL177" s="513">
        <f t="shared" si="31"/>
        <v>0</v>
      </c>
      <c r="AM177" s="513">
        <f t="shared" si="31"/>
        <v>0</v>
      </c>
      <c r="AN177" s="513">
        <f t="shared" si="31"/>
        <v>0</v>
      </c>
      <c r="AO177" s="513">
        <f t="shared" si="31"/>
        <v>0</v>
      </c>
      <c r="AP177" s="513">
        <f t="shared" si="31"/>
        <v>0</v>
      </c>
      <c r="AQ177" s="513">
        <f t="shared" si="31"/>
        <v>0</v>
      </c>
      <c r="AR177" s="513">
        <f t="shared" si="31"/>
        <v>0</v>
      </c>
      <c r="AS177" s="513">
        <f t="shared" si="31"/>
        <v>0</v>
      </c>
      <c r="AT177" s="513">
        <f t="shared" si="31"/>
        <v>0</v>
      </c>
      <c r="AU177" s="513">
        <f t="shared" si="31"/>
        <v>0</v>
      </c>
      <c r="AV177" s="513">
        <f t="shared" si="31"/>
        <v>0</v>
      </c>
      <c r="AW177" s="513">
        <f t="shared" si="31"/>
        <v>0</v>
      </c>
    </row>
    <row r="178" spans="1:49" s="145" customFormat="1" x14ac:dyDescent="0.2">
      <c r="A178" s="443" t="s">
        <v>130</v>
      </c>
      <c r="B178" s="513">
        <f t="shared" ref="B178:M178" si="32">MEDIAN($B$177:$M$177)</f>
        <v>68.5</v>
      </c>
      <c r="C178" s="513">
        <f t="shared" si="32"/>
        <v>68.5</v>
      </c>
      <c r="D178" s="513">
        <f t="shared" si="32"/>
        <v>68.5</v>
      </c>
      <c r="E178" s="513">
        <f t="shared" si="32"/>
        <v>68.5</v>
      </c>
      <c r="F178" s="513">
        <f t="shared" si="32"/>
        <v>68.5</v>
      </c>
      <c r="G178" s="513">
        <f t="shared" si="32"/>
        <v>68.5</v>
      </c>
      <c r="H178" s="513">
        <f t="shared" si="32"/>
        <v>68.5</v>
      </c>
      <c r="I178" s="513">
        <f t="shared" si="32"/>
        <v>68.5</v>
      </c>
      <c r="J178" s="513">
        <f t="shared" si="32"/>
        <v>68.5</v>
      </c>
      <c r="K178" s="513">
        <f t="shared" si="32"/>
        <v>68.5</v>
      </c>
      <c r="L178" s="513">
        <f t="shared" si="32"/>
        <v>68.5</v>
      </c>
      <c r="M178" s="513">
        <f t="shared" si="32"/>
        <v>68.5</v>
      </c>
      <c r="N178" s="514"/>
      <c r="O178" s="514"/>
      <c r="P178" s="514"/>
      <c r="Q178" s="514"/>
      <c r="R178" s="514"/>
      <c r="S178" s="514"/>
      <c r="T178" s="514"/>
      <c r="U178" s="514"/>
      <c r="V178" s="514"/>
      <c r="W178" s="515"/>
      <c r="X178" s="515"/>
      <c r="Y178" s="515"/>
      <c r="Z178" s="515"/>
      <c r="AA178" s="782"/>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row>
    <row r="179" spans="1:49" s="145" customFormat="1" x14ac:dyDescent="0.2">
      <c r="A179" s="443" t="s">
        <v>178</v>
      </c>
      <c r="B179" s="513"/>
      <c r="C179" s="513"/>
      <c r="D179" s="513"/>
      <c r="E179" s="513"/>
      <c r="F179" s="513"/>
      <c r="G179" s="513"/>
      <c r="H179" s="513"/>
      <c r="I179" s="513"/>
      <c r="J179" s="513"/>
      <c r="K179" s="514"/>
      <c r="L179" s="514"/>
      <c r="M179" s="513">
        <f t="shared" ref="M179:S179" si="33">MEDIAN($B$177:$M$177)</f>
        <v>68.5</v>
      </c>
      <c r="N179" s="513">
        <f t="shared" si="33"/>
        <v>68.5</v>
      </c>
      <c r="O179" s="513">
        <f t="shared" si="33"/>
        <v>68.5</v>
      </c>
      <c r="P179" s="513">
        <f t="shared" si="33"/>
        <v>68.5</v>
      </c>
      <c r="Q179" s="513">
        <f t="shared" si="33"/>
        <v>68.5</v>
      </c>
      <c r="R179" s="513">
        <f t="shared" si="33"/>
        <v>68.5</v>
      </c>
      <c r="S179" s="513">
        <f t="shared" si="33"/>
        <v>68.5</v>
      </c>
      <c r="T179" s="513"/>
      <c r="U179" s="513"/>
      <c r="V179" s="513"/>
      <c r="W179" s="513"/>
      <c r="X179" s="513"/>
      <c r="Y179" s="513"/>
      <c r="Z179" s="513"/>
      <c r="AA179" s="557"/>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row>
    <row r="180" spans="1:49" s="145" customFormat="1" x14ac:dyDescent="0.2">
      <c r="A180" s="443" t="s">
        <v>303</v>
      </c>
      <c r="B180" s="513"/>
      <c r="C180" s="513"/>
      <c r="D180" s="513"/>
      <c r="E180" s="513"/>
      <c r="F180" s="513"/>
      <c r="G180" s="513"/>
      <c r="H180" s="513"/>
      <c r="I180" s="513"/>
      <c r="J180" s="513"/>
      <c r="K180" s="514"/>
      <c r="L180" s="514"/>
      <c r="M180" s="513"/>
      <c r="N180" s="513"/>
      <c r="O180" s="513"/>
      <c r="P180" s="513"/>
      <c r="Q180" s="513"/>
      <c r="R180" s="513"/>
      <c r="S180" s="513"/>
      <c r="T180" s="513">
        <f>MEDIAN($T$177:$AE$177)</f>
        <v>268</v>
      </c>
      <c r="U180" s="513">
        <f t="shared" ref="U180:AJ181" si="34">MEDIAN($T$177:$AE$177)</f>
        <v>268</v>
      </c>
      <c r="V180" s="513">
        <f t="shared" si="34"/>
        <v>268</v>
      </c>
      <c r="W180" s="513">
        <f t="shared" si="34"/>
        <v>268</v>
      </c>
      <c r="X180" s="513">
        <f t="shared" si="34"/>
        <v>268</v>
      </c>
      <c r="Y180" s="513">
        <f t="shared" si="34"/>
        <v>268</v>
      </c>
      <c r="Z180" s="513">
        <f t="shared" si="34"/>
        <v>268</v>
      </c>
      <c r="AA180" s="513">
        <f t="shared" si="34"/>
        <v>268</v>
      </c>
      <c r="AB180" s="513">
        <f t="shared" si="34"/>
        <v>268</v>
      </c>
      <c r="AC180" s="513">
        <f t="shared" si="34"/>
        <v>268</v>
      </c>
      <c r="AD180" s="513">
        <f t="shared" si="34"/>
        <v>268</v>
      </c>
      <c r="AE180" s="513">
        <f t="shared" si="34"/>
        <v>268</v>
      </c>
      <c r="AF180" s="513"/>
      <c r="AG180" s="513"/>
      <c r="AH180" s="513"/>
      <c r="AI180" s="513"/>
      <c r="AJ180" s="513"/>
      <c r="AK180" s="513"/>
      <c r="AL180" s="513"/>
      <c r="AM180" s="513"/>
      <c r="AN180" s="513"/>
      <c r="AO180" s="513"/>
      <c r="AP180" s="513"/>
      <c r="AQ180" s="513"/>
      <c r="AR180" s="513"/>
      <c r="AS180" s="513"/>
      <c r="AT180" s="513"/>
      <c r="AU180" s="513"/>
      <c r="AV180" s="513"/>
      <c r="AW180" s="513"/>
    </row>
    <row r="181" spans="1:49" s="145" customFormat="1" x14ac:dyDescent="0.2">
      <c r="A181" s="443" t="s">
        <v>304</v>
      </c>
      <c r="B181" s="513"/>
      <c r="C181" s="513"/>
      <c r="D181" s="513"/>
      <c r="E181" s="513"/>
      <c r="F181" s="513"/>
      <c r="G181" s="513"/>
      <c r="H181" s="513"/>
      <c r="I181" s="513"/>
      <c r="J181" s="513"/>
      <c r="K181" s="514"/>
      <c r="L181" s="514"/>
      <c r="M181" s="513"/>
      <c r="N181" s="513"/>
      <c r="O181" s="513"/>
      <c r="P181" s="513"/>
      <c r="Q181" s="513"/>
      <c r="R181" s="513"/>
      <c r="S181" s="513"/>
      <c r="T181" s="513"/>
      <c r="U181" s="513"/>
      <c r="V181" s="513"/>
      <c r="W181" s="513"/>
      <c r="X181" s="513"/>
      <c r="Y181" s="513"/>
      <c r="Z181" s="513"/>
      <c r="AA181" s="557"/>
      <c r="AB181" s="513"/>
      <c r="AC181" s="513"/>
      <c r="AD181" s="513"/>
      <c r="AE181" s="513">
        <f t="shared" si="34"/>
        <v>268</v>
      </c>
      <c r="AF181" s="513">
        <f t="shared" si="34"/>
        <v>268</v>
      </c>
      <c r="AG181" s="513">
        <f t="shared" si="34"/>
        <v>268</v>
      </c>
      <c r="AH181" s="513">
        <f t="shared" si="34"/>
        <v>268</v>
      </c>
      <c r="AI181" s="513">
        <f t="shared" si="34"/>
        <v>268</v>
      </c>
      <c r="AJ181" s="513">
        <f t="shared" si="34"/>
        <v>268</v>
      </c>
      <c r="AK181" s="513">
        <f t="shared" ref="AK181:AW181" si="35">MEDIAN($T$177:$AE$177)</f>
        <v>268</v>
      </c>
      <c r="AL181" s="513">
        <f t="shared" si="35"/>
        <v>268</v>
      </c>
      <c r="AM181" s="513">
        <f t="shared" si="35"/>
        <v>268</v>
      </c>
      <c r="AN181" s="513">
        <f t="shared" si="35"/>
        <v>268</v>
      </c>
      <c r="AO181" s="513">
        <f t="shared" si="35"/>
        <v>268</v>
      </c>
      <c r="AP181" s="513">
        <f t="shared" si="35"/>
        <v>268</v>
      </c>
      <c r="AQ181" s="513">
        <f t="shared" si="35"/>
        <v>268</v>
      </c>
      <c r="AR181" s="513">
        <f t="shared" si="35"/>
        <v>268</v>
      </c>
      <c r="AS181" s="513">
        <f t="shared" si="35"/>
        <v>268</v>
      </c>
      <c r="AT181" s="513">
        <f t="shared" si="35"/>
        <v>268</v>
      </c>
      <c r="AU181" s="513">
        <f t="shared" si="35"/>
        <v>268</v>
      </c>
      <c r="AV181" s="513">
        <f t="shared" si="35"/>
        <v>268</v>
      </c>
      <c r="AW181" s="513">
        <f t="shared" si="35"/>
        <v>268</v>
      </c>
    </row>
    <row r="182" spans="1:49" s="145" customFormat="1" x14ac:dyDescent="0.2">
      <c r="A182" s="496" t="s">
        <v>466</v>
      </c>
      <c r="B182" s="513"/>
      <c r="C182" s="513">
        <f>(C177-B177)*-1</f>
        <v>22</v>
      </c>
      <c r="D182" s="513">
        <f t="shared" ref="D182:AB182" si="36">(D177-C177)</f>
        <v>5</v>
      </c>
      <c r="E182" s="513">
        <f t="shared" si="36"/>
        <v>28</v>
      </c>
      <c r="F182" s="513">
        <f t="shared" si="36"/>
        <v>15</v>
      </c>
      <c r="G182" s="513">
        <f t="shared" si="36"/>
        <v>85</v>
      </c>
      <c r="H182" s="513">
        <f>(H177-G177)*-1</f>
        <v>32</v>
      </c>
      <c r="I182" s="513">
        <f t="shared" si="36"/>
        <v>24</v>
      </c>
      <c r="J182" s="513">
        <f t="shared" si="36"/>
        <v>13</v>
      </c>
      <c r="K182" s="513">
        <f>(K177-J177)*-1</f>
        <v>57</v>
      </c>
      <c r="L182" s="513">
        <f>(L177-K177)*-1</f>
        <v>71</v>
      </c>
      <c r="M182" s="513">
        <f>(M177-L177)*-1</f>
        <v>22</v>
      </c>
      <c r="N182" s="513">
        <f>(N177-M177)*-1</f>
        <v>3</v>
      </c>
      <c r="O182" s="513">
        <f>(O177-N177)*-1</f>
        <v>6</v>
      </c>
      <c r="P182" s="513">
        <f t="shared" si="36"/>
        <v>5</v>
      </c>
      <c r="Q182" s="513">
        <f t="shared" si="36"/>
        <v>0</v>
      </c>
      <c r="R182" s="513">
        <f t="shared" si="36"/>
        <v>0</v>
      </c>
      <c r="S182" s="513">
        <f t="shared" si="36"/>
        <v>23</v>
      </c>
      <c r="T182" s="513">
        <f t="shared" si="36"/>
        <v>92</v>
      </c>
      <c r="U182" s="513">
        <f t="shared" si="36"/>
        <v>54</v>
      </c>
      <c r="V182" s="513">
        <f>(V177-U177)*-1</f>
        <v>22</v>
      </c>
      <c r="W182" s="513">
        <f t="shared" si="36"/>
        <v>83</v>
      </c>
      <c r="X182" s="513">
        <f>(X177-W177)*-1</f>
        <v>3</v>
      </c>
      <c r="Y182" s="513">
        <f>(Y177-X177)*-1</f>
        <v>8</v>
      </c>
      <c r="Z182" s="513">
        <f t="shared" si="36"/>
        <v>63</v>
      </c>
      <c r="AA182" s="557">
        <f t="shared" si="36"/>
        <v>28</v>
      </c>
      <c r="AB182" s="557">
        <f t="shared" si="36"/>
        <v>51</v>
      </c>
      <c r="AC182" s="557">
        <f>(AC177-AB177)*-1</f>
        <v>11</v>
      </c>
      <c r="AD182" s="557">
        <f>(AD177-AC177)</f>
        <v>17</v>
      </c>
      <c r="AE182" s="557">
        <f>(AE177-AD177)</f>
        <v>36</v>
      </c>
      <c r="AF182" s="557">
        <f>(AF177-AE177)*-1</f>
        <v>49</v>
      </c>
      <c r="AG182" s="557">
        <f>(AG177-AF177)</f>
        <v>105</v>
      </c>
      <c r="AH182" s="557">
        <f>(AH177-AG177)</f>
        <v>13</v>
      </c>
      <c r="AI182" s="513" t="s">
        <v>368</v>
      </c>
      <c r="AJ182" s="513" t="s">
        <v>368</v>
      </c>
      <c r="AK182" s="513" t="s">
        <v>368</v>
      </c>
      <c r="AL182" s="513" t="s">
        <v>368</v>
      </c>
      <c r="AM182" s="513" t="s">
        <v>368</v>
      </c>
      <c r="AN182" s="513" t="s">
        <v>368</v>
      </c>
      <c r="AO182" s="513" t="s">
        <v>368</v>
      </c>
      <c r="AP182" s="513" t="s">
        <v>368</v>
      </c>
      <c r="AQ182" s="513" t="s">
        <v>368</v>
      </c>
      <c r="AR182" s="513" t="s">
        <v>368</v>
      </c>
      <c r="AS182" s="513" t="s">
        <v>368</v>
      </c>
      <c r="AT182" s="513" t="s">
        <v>368</v>
      </c>
      <c r="AU182" s="513" t="s">
        <v>368</v>
      </c>
      <c r="AV182" s="513" t="s">
        <v>368</v>
      </c>
      <c r="AW182" s="513" t="s">
        <v>368</v>
      </c>
    </row>
    <row r="183" spans="1:49" s="145" customFormat="1" ht="51" x14ac:dyDescent="0.2">
      <c r="A183" s="784" t="s">
        <v>497</v>
      </c>
      <c r="B183" s="513"/>
      <c r="C183" s="513"/>
      <c r="D183" s="513"/>
      <c r="E183" s="513"/>
      <c r="F183" s="513"/>
      <c r="G183" s="513"/>
      <c r="H183" s="513"/>
      <c r="I183" s="513"/>
      <c r="J183" s="513"/>
      <c r="K183" s="514"/>
      <c r="L183" s="514"/>
      <c r="M183" s="513"/>
      <c r="N183" s="513"/>
      <c r="O183" s="513"/>
      <c r="P183" s="513"/>
      <c r="Q183" s="513"/>
      <c r="R183" s="513"/>
      <c r="S183" s="513"/>
      <c r="T183" s="513"/>
      <c r="U183" s="513"/>
      <c r="V183" s="513"/>
      <c r="W183" s="513"/>
      <c r="X183" s="513"/>
      <c r="Y183" s="513"/>
      <c r="Z183" s="513"/>
      <c r="AA183" s="557"/>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row>
    <row r="184" spans="1:49" s="145" customFormat="1" x14ac:dyDescent="0.2">
      <c r="A184" s="460" t="s">
        <v>468</v>
      </c>
      <c r="B184" s="513">
        <f t="shared" ref="B184:AW184" si="37">AVERAGE($B$177:$AW$177)</f>
        <v>119.91666666666667</v>
      </c>
      <c r="C184" s="513">
        <f t="shared" si="37"/>
        <v>119.91666666666667</v>
      </c>
      <c r="D184" s="513">
        <f t="shared" si="37"/>
        <v>119.91666666666667</v>
      </c>
      <c r="E184" s="513">
        <f t="shared" si="37"/>
        <v>119.91666666666667</v>
      </c>
      <c r="F184" s="513">
        <f t="shared" si="37"/>
        <v>119.91666666666667</v>
      </c>
      <c r="G184" s="513">
        <f t="shared" si="37"/>
        <v>119.91666666666667</v>
      </c>
      <c r="H184" s="513">
        <f t="shared" si="37"/>
        <v>119.91666666666667</v>
      </c>
      <c r="I184" s="513">
        <f t="shared" si="37"/>
        <v>119.91666666666667</v>
      </c>
      <c r="J184" s="513">
        <f t="shared" si="37"/>
        <v>119.91666666666667</v>
      </c>
      <c r="K184" s="513">
        <f t="shared" si="37"/>
        <v>119.91666666666667</v>
      </c>
      <c r="L184" s="513">
        <f t="shared" si="37"/>
        <v>119.91666666666667</v>
      </c>
      <c r="M184" s="513">
        <f t="shared" si="37"/>
        <v>119.91666666666667</v>
      </c>
      <c r="N184" s="513">
        <f t="shared" si="37"/>
        <v>119.91666666666667</v>
      </c>
      <c r="O184" s="513">
        <f t="shared" si="37"/>
        <v>119.91666666666667</v>
      </c>
      <c r="P184" s="513">
        <f t="shared" si="37"/>
        <v>119.91666666666667</v>
      </c>
      <c r="Q184" s="513">
        <f t="shared" si="37"/>
        <v>119.91666666666667</v>
      </c>
      <c r="R184" s="513">
        <f t="shared" si="37"/>
        <v>119.91666666666667</v>
      </c>
      <c r="S184" s="513">
        <f t="shared" si="37"/>
        <v>119.91666666666667</v>
      </c>
      <c r="T184" s="513">
        <f t="shared" si="37"/>
        <v>119.91666666666667</v>
      </c>
      <c r="U184" s="513">
        <f t="shared" si="37"/>
        <v>119.91666666666667</v>
      </c>
      <c r="V184" s="513">
        <f t="shared" si="37"/>
        <v>119.91666666666667</v>
      </c>
      <c r="W184" s="513">
        <f t="shared" si="37"/>
        <v>119.91666666666667</v>
      </c>
      <c r="X184" s="513">
        <f t="shared" si="37"/>
        <v>119.91666666666667</v>
      </c>
      <c r="Y184" s="513">
        <f t="shared" si="37"/>
        <v>119.91666666666667</v>
      </c>
      <c r="Z184" s="513">
        <f t="shared" si="37"/>
        <v>119.91666666666667</v>
      </c>
      <c r="AA184" s="557">
        <f t="shared" si="37"/>
        <v>119.91666666666667</v>
      </c>
      <c r="AB184" s="513">
        <f t="shared" si="37"/>
        <v>119.91666666666667</v>
      </c>
      <c r="AC184" s="513">
        <f t="shared" si="37"/>
        <v>119.91666666666667</v>
      </c>
      <c r="AD184" s="513">
        <f t="shared" si="37"/>
        <v>119.91666666666667</v>
      </c>
      <c r="AE184" s="513">
        <f t="shared" si="37"/>
        <v>119.91666666666667</v>
      </c>
      <c r="AF184" s="513">
        <f t="shared" si="37"/>
        <v>119.91666666666667</v>
      </c>
      <c r="AG184" s="513">
        <f t="shared" si="37"/>
        <v>119.91666666666667</v>
      </c>
      <c r="AH184" s="513">
        <f t="shared" si="37"/>
        <v>119.91666666666667</v>
      </c>
      <c r="AI184" s="513">
        <f t="shared" si="37"/>
        <v>119.91666666666667</v>
      </c>
      <c r="AJ184" s="513">
        <f t="shared" si="37"/>
        <v>119.91666666666667</v>
      </c>
      <c r="AK184" s="513">
        <f t="shared" si="37"/>
        <v>119.91666666666667</v>
      </c>
      <c r="AL184" s="513">
        <f t="shared" si="37"/>
        <v>119.91666666666667</v>
      </c>
      <c r="AM184" s="513">
        <f t="shared" si="37"/>
        <v>119.91666666666667</v>
      </c>
      <c r="AN184" s="513">
        <f t="shared" si="37"/>
        <v>119.91666666666667</v>
      </c>
      <c r="AO184" s="513">
        <f t="shared" si="37"/>
        <v>119.91666666666667</v>
      </c>
      <c r="AP184" s="513">
        <f t="shared" si="37"/>
        <v>119.91666666666667</v>
      </c>
      <c r="AQ184" s="513">
        <f t="shared" si="37"/>
        <v>119.91666666666667</v>
      </c>
      <c r="AR184" s="513">
        <f t="shared" si="37"/>
        <v>119.91666666666667</v>
      </c>
      <c r="AS184" s="513">
        <f t="shared" si="37"/>
        <v>119.91666666666667</v>
      </c>
      <c r="AT184" s="513">
        <f t="shared" si="37"/>
        <v>119.91666666666667</v>
      </c>
      <c r="AU184" s="513">
        <f t="shared" si="37"/>
        <v>119.91666666666667</v>
      </c>
      <c r="AV184" s="513">
        <f t="shared" si="37"/>
        <v>119.91666666666667</v>
      </c>
      <c r="AW184" s="513">
        <f t="shared" si="37"/>
        <v>119.91666666666667</v>
      </c>
    </row>
    <row r="185" spans="1:49" s="145" customFormat="1" x14ac:dyDescent="0.2">
      <c r="A185" s="445" t="s">
        <v>467</v>
      </c>
      <c r="B185" s="513">
        <f>SUM(C182:AW182)/COUNT(C182:AW182)</f>
        <v>32.6875</v>
      </c>
      <c r="C185" s="513"/>
      <c r="D185" s="513"/>
      <c r="E185" s="513"/>
      <c r="F185" s="513"/>
      <c r="G185" s="513"/>
      <c r="H185" s="513"/>
      <c r="I185" s="513"/>
      <c r="J185" s="513"/>
      <c r="K185" s="514"/>
      <c r="L185" s="514"/>
      <c r="M185" s="513"/>
      <c r="N185" s="513"/>
      <c r="O185" s="513"/>
      <c r="P185" s="513"/>
      <c r="Q185" s="513"/>
      <c r="R185" s="513"/>
      <c r="S185" s="513"/>
      <c r="T185" s="513"/>
      <c r="U185" s="513"/>
      <c r="V185" s="513"/>
      <c r="W185" s="513"/>
      <c r="X185" s="513"/>
      <c r="Y185" s="513"/>
      <c r="Z185" s="513"/>
      <c r="AA185" s="557"/>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row>
    <row r="186" spans="1:49" s="145" customFormat="1" ht="25.5" x14ac:dyDescent="0.2">
      <c r="A186" s="445" t="s">
        <v>470</v>
      </c>
      <c r="B186" s="513">
        <f>B185/1.128</f>
        <v>28.978280141843975</v>
      </c>
      <c r="C186" s="513"/>
      <c r="D186" s="513"/>
      <c r="E186" s="513"/>
      <c r="F186" s="513"/>
      <c r="G186" s="513"/>
      <c r="H186" s="513"/>
      <c r="I186" s="513"/>
      <c r="J186" s="513"/>
      <c r="K186" s="514"/>
      <c r="L186" s="514"/>
      <c r="M186" s="513"/>
      <c r="N186" s="513"/>
      <c r="O186" s="513"/>
      <c r="P186" s="513"/>
      <c r="Q186" s="513"/>
      <c r="R186" s="513"/>
      <c r="S186" s="513"/>
      <c r="T186" s="513"/>
      <c r="U186" s="513"/>
      <c r="V186" s="513"/>
      <c r="W186" s="513"/>
      <c r="X186" s="513"/>
      <c r="Y186" s="513"/>
      <c r="Z186" s="513"/>
      <c r="AA186" s="557"/>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row>
    <row r="187" spans="1:49" s="145" customFormat="1" x14ac:dyDescent="0.2">
      <c r="A187" s="445" t="s">
        <v>473</v>
      </c>
      <c r="B187" s="513">
        <f t="shared" ref="B187:AW187" si="38">$B$184+(3*$B$186)</f>
        <v>206.85150709219857</v>
      </c>
      <c r="C187" s="513">
        <f t="shared" si="38"/>
        <v>206.85150709219857</v>
      </c>
      <c r="D187" s="513">
        <f t="shared" si="38"/>
        <v>206.85150709219857</v>
      </c>
      <c r="E187" s="513">
        <f t="shared" si="38"/>
        <v>206.85150709219857</v>
      </c>
      <c r="F187" s="513">
        <f t="shared" si="38"/>
        <v>206.85150709219857</v>
      </c>
      <c r="G187" s="513">
        <f t="shared" si="38"/>
        <v>206.85150709219857</v>
      </c>
      <c r="H187" s="513">
        <f t="shared" si="38"/>
        <v>206.85150709219857</v>
      </c>
      <c r="I187" s="513">
        <f t="shared" si="38"/>
        <v>206.85150709219857</v>
      </c>
      <c r="J187" s="513">
        <f t="shared" si="38"/>
        <v>206.85150709219857</v>
      </c>
      <c r="K187" s="513">
        <f t="shared" si="38"/>
        <v>206.85150709219857</v>
      </c>
      <c r="L187" s="513">
        <f t="shared" si="38"/>
        <v>206.85150709219857</v>
      </c>
      <c r="M187" s="513">
        <f t="shared" si="38"/>
        <v>206.85150709219857</v>
      </c>
      <c r="N187" s="513">
        <f t="shared" si="38"/>
        <v>206.85150709219857</v>
      </c>
      <c r="O187" s="513">
        <f t="shared" si="38"/>
        <v>206.85150709219857</v>
      </c>
      <c r="P187" s="513">
        <f t="shared" si="38"/>
        <v>206.85150709219857</v>
      </c>
      <c r="Q187" s="513">
        <f t="shared" si="38"/>
        <v>206.85150709219857</v>
      </c>
      <c r="R187" s="513">
        <f t="shared" si="38"/>
        <v>206.85150709219857</v>
      </c>
      <c r="S187" s="513">
        <f t="shared" si="38"/>
        <v>206.85150709219857</v>
      </c>
      <c r="T187" s="513">
        <f t="shared" si="38"/>
        <v>206.85150709219857</v>
      </c>
      <c r="U187" s="513">
        <f t="shared" si="38"/>
        <v>206.85150709219857</v>
      </c>
      <c r="V187" s="513">
        <f t="shared" si="38"/>
        <v>206.85150709219857</v>
      </c>
      <c r="W187" s="513">
        <f t="shared" si="38"/>
        <v>206.85150709219857</v>
      </c>
      <c r="X187" s="513">
        <f t="shared" si="38"/>
        <v>206.85150709219857</v>
      </c>
      <c r="Y187" s="513">
        <f t="shared" si="38"/>
        <v>206.85150709219857</v>
      </c>
      <c r="Z187" s="513">
        <f t="shared" si="38"/>
        <v>206.85150709219857</v>
      </c>
      <c r="AA187" s="557">
        <f t="shared" si="38"/>
        <v>206.85150709219857</v>
      </c>
      <c r="AB187" s="513">
        <f t="shared" si="38"/>
        <v>206.85150709219857</v>
      </c>
      <c r="AC187" s="513">
        <f t="shared" si="38"/>
        <v>206.85150709219857</v>
      </c>
      <c r="AD187" s="513">
        <f t="shared" si="38"/>
        <v>206.85150709219857</v>
      </c>
      <c r="AE187" s="513">
        <f t="shared" si="38"/>
        <v>206.85150709219857</v>
      </c>
      <c r="AF187" s="513">
        <f t="shared" si="38"/>
        <v>206.85150709219857</v>
      </c>
      <c r="AG187" s="513">
        <f t="shared" si="38"/>
        <v>206.85150709219857</v>
      </c>
      <c r="AH187" s="513">
        <f t="shared" si="38"/>
        <v>206.85150709219857</v>
      </c>
      <c r="AI187" s="513">
        <f t="shared" si="38"/>
        <v>206.85150709219857</v>
      </c>
      <c r="AJ187" s="513">
        <f t="shared" si="38"/>
        <v>206.85150709219857</v>
      </c>
      <c r="AK187" s="513">
        <f t="shared" si="38"/>
        <v>206.85150709219857</v>
      </c>
      <c r="AL187" s="513">
        <f t="shared" si="38"/>
        <v>206.85150709219857</v>
      </c>
      <c r="AM187" s="513">
        <f t="shared" si="38"/>
        <v>206.85150709219857</v>
      </c>
      <c r="AN187" s="513">
        <f t="shared" si="38"/>
        <v>206.85150709219857</v>
      </c>
      <c r="AO187" s="513">
        <f t="shared" si="38"/>
        <v>206.85150709219857</v>
      </c>
      <c r="AP187" s="513">
        <f t="shared" si="38"/>
        <v>206.85150709219857</v>
      </c>
      <c r="AQ187" s="513">
        <f t="shared" si="38"/>
        <v>206.85150709219857</v>
      </c>
      <c r="AR187" s="513">
        <f t="shared" si="38"/>
        <v>206.85150709219857</v>
      </c>
      <c r="AS187" s="513">
        <f t="shared" si="38"/>
        <v>206.85150709219857</v>
      </c>
      <c r="AT187" s="513">
        <f t="shared" si="38"/>
        <v>206.85150709219857</v>
      </c>
      <c r="AU187" s="513">
        <f t="shared" si="38"/>
        <v>206.85150709219857</v>
      </c>
      <c r="AV187" s="513">
        <f t="shared" si="38"/>
        <v>206.85150709219857</v>
      </c>
      <c r="AW187" s="513">
        <f t="shared" si="38"/>
        <v>206.85150709219857</v>
      </c>
    </row>
    <row r="188" spans="1:49" s="145" customFormat="1" x14ac:dyDescent="0.2">
      <c r="A188" s="445" t="s">
        <v>475</v>
      </c>
      <c r="B188" s="513">
        <f t="shared" ref="B188:AW188" si="39">$B$184-(3*$B$186)</f>
        <v>32.981826241134755</v>
      </c>
      <c r="C188" s="513">
        <f t="shared" si="39"/>
        <v>32.981826241134755</v>
      </c>
      <c r="D188" s="513">
        <f t="shared" si="39"/>
        <v>32.981826241134755</v>
      </c>
      <c r="E188" s="513">
        <f t="shared" si="39"/>
        <v>32.981826241134755</v>
      </c>
      <c r="F188" s="513">
        <f t="shared" si="39"/>
        <v>32.981826241134755</v>
      </c>
      <c r="G188" s="513">
        <f t="shared" si="39"/>
        <v>32.981826241134755</v>
      </c>
      <c r="H188" s="513">
        <f t="shared" si="39"/>
        <v>32.981826241134755</v>
      </c>
      <c r="I188" s="513">
        <f t="shared" si="39"/>
        <v>32.981826241134755</v>
      </c>
      <c r="J188" s="513">
        <f t="shared" si="39"/>
        <v>32.981826241134755</v>
      </c>
      <c r="K188" s="513">
        <f t="shared" si="39"/>
        <v>32.981826241134755</v>
      </c>
      <c r="L188" s="513">
        <f t="shared" si="39"/>
        <v>32.981826241134755</v>
      </c>
      <c r="M188" s="513">
        <f t="shared" si="39"/>
        <v>32.981826241134755</v>
      </c>
      <c r="N188" s="513">
        <f t="shared" si="39"/>
        <v>32.981826241134755</v>
      </c>
      <c r="O188" s="513">
        <f t="shared" si="39"/>
        <v>32.981826241134755</v>
      </c>
      <c r="P188" s="513">
        <f t="shared" si="39"/>
        <v>32.981826241134755</v>
      </c>
      <c r="Q188" s="513">
        <f t="shared" si="39"/>
        <v>32.981826241134755</v>
      </c>
      <c r="R188" s="513">
        <f t="shared" si="39"/>
        <v>32.981826241134755</v>
      </c>
      <c r="S188" s="513">
        <f t="shared" si="39"/>
        <v>32.981826241134755</v>
      </c>
      <c r="T188" s="513">
        <f t="shared" si="39"/>
        <v>32.981826241134755</v>
      </c>
      <c r="U188" s="513">
        <f t="shared" si="39"/>
        <v>32.981826241134755</v>
      </c>
      <c r="V188" s="513">
        <f t="shared" si="39"/>
        <v>32.981826241134755</v>
      </c>
      <c r="W188" s="513">
        <f t="shared" si="39"/>
        <v>32.981826241134755</v>
      </c>
      <c r="X188" s="513">
        <f t="shared" si="39"/>
        <v>32.981826241134755</v>
      </c>
      <c r="Y188" s="513">
        <f t="shared" si="39"/>
        <v>32.981826241134755</v>
      </c>
      <c r="Z188" s="513">
        <f t="shared" si="39"/>
        <v>32.981826241134755</v>
      </c>
      <c r="AA188" s="557">
        <f t="shared" si="39"/>
        <v>32.981826241134755</v>
      </c>
      <c r="AB188" s="513">
        <f t="shared" si="39"/>
        <v>32.981826241134755</v>
      </c>
      <c r="AC188" s="513">
        <f t="shared" si="39"/>
        <v>32.981826241134755</v>
      </c>
      <c r="AD188" s="513">
        <f t="shared" si="39"/>
        <v>32.981826241134755</v>
      </c>
      <c r="AE188" s="513">
        <f t="shared" si="39"/>
        <v>32.981826241134755</v>
      </c>
      <c r="AF188" s="513">
        <f t="shared" si="39"/>
        <v>32.981826241134755</v>
      </c>
      <c r="AG188" s="513">
        <f t="shared" si="39"/>
        <v>32.981826241134755</v>
      </c>
      <c r="AH188" s="513">
        <f t="shared" si="39"/>
        <v>32.981826241134755</v>
      </c>
      <c r="AI188" s="513">
        <f t="shared" si="39"/>
        <v>32.981826241134755</v>
      </c>
      <c r="AJ188" s="513">
        <f t="shared" si="39"/>
        <v>32.981826241134755</v>
      </c>
      <c r="AK188" s="513">
        <f t="shared" si="39"/>
        <v>32.981826241134755</v>
      </c>
      <c r="AL188" s="513">
        <f t="shared" si="39"/>
        <v>32.981826241134755</v>
      </c>
      <c r="AM188" s="513">
        <f t="shared" si="39"/>
        <v>32.981826241134755</v>
      </c>
      <c r="AN188" s="513">
        <f t="shared" si="39"/>
        <v>32.981826241134755</v>
      </c>
      <c r="AO188" s="513">
        <f t="shared" si="39"/>
        <v>32.981826241134755</v>
      </c>
      <c r="AP188" s="513">
        <f t="shared" si="39"/>
        <v>32.981826241134755</v>
      </c>
      <c r="AQ188" s="513">
        <f t="shared" si="39"/>
        <v>32.981826241134755</v>
      </c>
      <c r="AR188" s="513">
        <f t="shared" si="39"/>
        <v>32.981826241134755</v>
      </c>
      <c r="AS188" s="513">
        <f t="shared" si="39"/>
        <v>32.981826241134755</v>
      </c>
      <c r="AT188" s="513">
        <f t="shared" si="39"/>
        <v>32.981826241134755</v>
      </c>
      <c r="AU188" s="513">
        <f t="shared" si="39"/>
        <v>32.981826241134755</v>
      </c>
      <c r="AV188" s="513">
        <f t="shared" si="39"/>
        <v>32.981826241134755</v>
      </c>
      <c r="AW188" s="513">
        <f t="shared" si="39"/>
        <v>32.981826241134755</v>
      </c>
    </row>
    <row r="189" spans="1:49" s="145" customFormat="1" ht="25.5" x14ac:dyDescent="0.2">
      <c r="A189" s="480" t="s">
        <v>489</v>
      </c>
      <c r="B189" s="513"/>
      <c r="C189" s="513"/>
      <c r="D189" s="513"/>
      <c r="E189" s="513"/>
      <c r="F189" s="513"/>
      <c r="G189" s="513"/>
      <c r="H189" s="513"/>
      <c r="I189" s="513"/>
      <c r="J189" s="513"/>
      <c r="K189" s="514"/>
      <c r="L189" s="514"/>
      <c r="M189" s="513"/>
      <c r="N189" s="513"/>
      <c r="O189" s="513"/>
      <c r="P189" s="513"/>
      <c r="Q189" s="513"/>
      <c r="R189" s="513"/>
      <c r="S189" s="513"/>
      <c r="T189" s="513"/>
      <c r="U189" s="513"/>
      <c r="V189" s="513"/>
      <c r="W189" s="513"/>
      <c r="X189" s="513"/>
      <c r="Y189" s="513"/>
      <c r="Z189" s="513"/>
      <c r="AA189" s="557"/>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row>
    <row r="190" spans="1:49" s="145" customFormat="1" x14ac:dyDescent="0.2">
      <c r="A190" s="522" t="s">
        <v>518</v>
      </c>
      <c r="B190" s="513">
        <f t="shared" ref="B190:AW190" si="40">B69</f>
        <v>68</v>
      </c>
      <c r="C190" s="513">
        <f t="shared" si="40"/>
        <v>74</v>
      </c>
      <c r="D190" s="513">
        <f t="shared" si="40"/>
        <v>78</v>
      </c>
      <c r="E190" s="513">
        <f t="shared" si="40"/>
        <v>96</v>
      </c>
      <c r="F190" s="513">
        <f t="shared" si="40"/>
        <v>102</v>
      </c>
      <c r="G190" s="513">
        <f t="shared" si="40"/>
        <v>112</v>
      </c>
      <c r="H190" s="513">
        <f t="shared" si="40"/>
        <v>117</v>
      </c>
      <c r="I190" s="513">
        <f t="shared" si="40"/>
        <v>131</v>
      </c>
      <c r="J190" s="513">
        <f t="shared" si="40"/>
        <v>141</v>
      </c>
      <c r="K190" s="513">
        <f t="shared" si="40"/>
        <v>153</v>
      </c>
      <c r="L190" s="513">
        <f t="shared" si="40"/>
        <v>156</v>
      </c>
      <c r="M190" s="513">
        <f t="shared" si="40"/>
        <v>162</v>
      </c>
      <c r="N190" s="513">
        <f t="shared" si="40"/>
        <v>174</v>
      </c>
      <c r="O190" s="513">
        <f t="shared" si="40"/>
        <v>183</v>
      </c>
      <c r="P190" s="513">
        <f t="shared" si="40"/>
        <v>198</v>
      </c>
      <c r="Q190" s="513">
        <f t="shared" si="40"/>
        <v>196</v>
      </c>
      <c r="R190" s="513">
        <f t="shared" si="40"/>
        <v>190</v>
      </c>
      <c r="S190" s="513">
        <f t="shared" si="40"/>
        <v>206</v>
      </c>
      <c r="T190" s="513">
        <f t="shared" si="40"/>
        <v>213</v>
      </c>
      <c r="U190" s="513">
        <f t="shared" si="40"/>
        <v>214</v>
      </c>
      <c r="V190" s="513">
        <f t="shared" si="40"/>
        <v>205</v>
      </c>
      <c r="W190" s="513">
        <f t="shared" si="40"/>
        <v>225</v>
      </c>
      <c r="X190" s="513">
        <f t="shared" si="40"/>
        <v>218</v>
      </c>
      <c r="Y190" s="513">
        <f t="shared" si="40"/>
        <v>207</v>
      </c>
      <c r="Z190" s="513">
        <f t="shared" si="40"/>
        <v>217</v>
      </c>
      <c r="AA190" s="557">
        <f t="shared" si="40"/>
        <v>211</v>
      </c>
      <c r="AB190" s="513">
        <f t="shared" si="40"/>
        <v>85</v>
      </c>
      <c r="AC190" s="513">
        <f t="shared" si="40"/>
        <v>198</v>
      </c>
      <c r="AD190" s="513">
        <f t="shared" si="40"/>
        <v>203</v>
      </c>
      <c r="AE190" s="513">
        <f t="shared" si="40"/>
        <v>187</v>
      </c>
      <c r="AF190" s="513">
        <f t="shared" si="40"/>
        <v>177</v>
      </c>
      <c r="AG190" s="513">
        <f t="shared" si="40"/>
        <v>124</v>
      </c>
      <c r="AH190" s="513">
        <f t="shared" si="40"/>
        <v>133</v>
      </c>
      <c r="AI190" s="513">
        <f t="shared" si="40"/>
        <v>0</v>
      </c>
      <c r="AJ190" s="513">
        <f t="shared" si="40"/>
        <v>0</v>
      </c>
      <c r="AK190" s="513">
        <f t="shared" si="40"/>
        <v>0</v>
      </c>
      <c r="AL190" s="513">
        <f t="shared" si="40"/>
        <v>0</v>
      </c>
      <c r="AM190" s="513">
        <f t="shared" si="40"/>
        <v>0</v>
      </c>
      <c r="AN190" s="513">
        <f t="shared" si="40"/>
        <v>0</v>
      </c>
      <c r="AO190" s="513">
        <f t="shared" si="40"/>
        <v>0</v>
      </c>
      <c r="AP190" s="513">
        <f t="shared" si="40"/>
        <v>0</v>
      </c>
      <c r="AQ190" s="513">
        <f t="shared" si="40"/>
        <v>0</v>
      </c>
      <c r="AR190" s="513">
        <f t="shared" si="40"/>
        <v>0</v>
      </c>
      <c r="AS190" s="513">
        <f t="shared" si="40"/>
        <v>0</v>
      </c>
      <c r="AT190" s="513">
        <f t="shared" si="40"/>
        <v>0</v>
      </c>
      <c r="AU190" s="513">
        <f t="shared" si="40"/>
        <v>0</v>
      </c>
      <c r="AV190" s="513">
        <f t="shared" si="40"/>
        <v>0</v>
      </c>
      <c r="AW190" s="513">
        <f t="shared" si="40"/>
        <v>0</v>
      </c>
    </row>
    <row r="191" spans="1:49" s="145" customFormat="1" x14ac:dyDescent="0.2">
      <c r="A191" s="523" t="s">
        <v>130</v>
      </c>
      <c r="B191" s="513">
        <f t="shared" ref="B191:M191" si="41">MEDIAN($B$190:$M$190)</f>
        <v>114.5</v>
      </c>
      <c r="C191" s="513">
        <f t="shared" si="41"/>
        <v>114.5</v>
      </c>
      <c r="D191" s="513">
        <f t="shared" si="41"/>
        <v>114.5</v>
      </c>
      <c r="E191" s="513">
        <f t="shared" si="41"/>
        <v>114.5</v>
      </c>
      <c r="F191" s="513">
        <f t="shared" si="41"/>
        <v>114.5</v>
      </c>
      <c r="G191" s="513">
        <f t="shared" si="41"/>
        <v>114.5</v>
      </c>
      <c r="H191" s="513">
        <f t="shared" si="41"/>
        <v>114.5</v>
      </c>
      <c r="I191" s="513">
        <f t="shared" si="41"/>
        <v>114.5</v>
      </c>
      <c r="J191" s="513">
        <f t="shared" si="41"/>
        <v>114.5</v>
      </c>
      <c r="K191" s="513">
        <f t="shared" si="41"/>
        <v>114.5</v>
      </c>
      <c r="L191" s="513">
        <f t="shared" si="41"/>
        <v>114.5</v>
      </c>
      <c r="M191" s="513">
        <f t="shared" si="41"/>
        <v>114.5</v>
      </c>
      <c r="N191" s="514"/>
      <c r="O191" s="514"/>
      <c r="P191" s="514"/>
      <c r="Q191" s="514"/>
      <c r="R191" s="514"/>
      <c r="S191" s="514"/>
      <c r="T191" s="514"/>
      <c r="U191" s="514"/>
      <c r="V191" s="514"/>
      <c r="W191" s="515"/>
      <c r="X191" s="515"/>
      <c r="Y191" s="515"/>
      <c r="Z191" s="515"/>
      <c r="AA191" s="557"/>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row>
    <row r="192" spans="1:49" s="145" customFormat="1" x14ac:dyDescent="0.2">
      <c r="A192" s="523" t="s">
        <v>303</v>
      </c>
      <c r="B192" s="513"/>
      <c r="C192" s="513"/>
      <c r="D192" s="513"/>
      <c r="E192" s="513"/>
      <c r="F192" s="513"/>
      <c r="G192" s="513"/>
      <c r="H192" s="513"/>
      <c r="I192" s="513"/>
      <c r="J192" s="513"/>
      <c r="K192" s="514"/>
      <c r="L192" s="514"/>
      <c r="M192" s="513"/>
      <c r="N192" s="513">
        <f t="shared" ref="N192:Y192" si="42">MEDIAN($N$190:$Y$190)</f>
        <v>205.5</v>
      </c>
      <c r="O192" s="513">
        <f t="shared" si="42"/>
        <v>205.5</v>
      </c>
      <c r="P192" s="513">
        <f t="shared" si="42"/>
        <v>205.5</v>
      </c>
      <c r="Q192" s="513">
        <f t="shared" si="42"/>
        <v>205.5</v>
      </c>
      <c r="R192" s="513">
        <f t="shared" si="42"/>
        <v>205.5</v>
      </c>
      <c r="S192" s="513">
        <f t="shared" si="42"/>
        <v>205.5</v>
      </c>
      <c r="T192" s="513">
        <f t="shared" si="42"/>
        <v>205.5</v>
      </c>
      <c r="U192" s="513">
        <f t="shared" si="42"/>
        <v>205.5</v>
      </c>
      <c r="V192" s="513">
        <f t="shared" si="42"/>
        <v>205.5</v>
      </c>
      <c r="W192" s="513">
        <f t="shared" si="42"/>
        <v>205.5</v>
      </c>
      <c r="X192" s="513">
        <f t="shared" si="42"/>
        <v>205.5</v>
      </c>
      <c r="Y192" s="513">
        <f t="shared" si="42"/>
        <v>205.5</v>
      </c>
      <c r="Z192" s="513" t="s">
        <v>368</v>
      </c>
      <c r="AA192" s="557" t="s">
        <v>368</v>
      </c>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row>
    <row r="193" spans="1:49" s="145" customFormat="1" x14ac:dyDescent="0.2">
      <c r="A193" s="443" t="s">
        <v>304</v>
      </c>
      <c r="B193" s="513"/>
      <c r="C193" s="513"/>
      <c r="D193" s="513"/>
      <c r="E193" s="513"/>
      <c r="F193" s="513"/>
      <c r="G193" s="513"/>
      <c r="H193" s="513"/>
      <c r="I193" s="513"/>
      <c r="J193" s="513"/>
      <c r="K193" s="514"/>
      <c r="L193" s="514"/>
      <c r="M193" s="513"/>
      <c r="N193" s="513"/>
      <c r="O193" s="513"/>
      <c r="P193" s="513"/>
      <c r="Q193" s="513"/>
      <c r="R193" s="513"/>
      <c r="S193" s="513"/>
      <c r="T193" s="513"/>
      <c r="U193" s="513"/>
      <c r="V193" s="513"/>
      <c r="W193" s="513"/>
      <c r="X193" s="513"/>
      <c r="Y193" s="513">
        <f t="shared" ref="Y193:AW193" si="43">MEDIAN($N$190:$Y$190)</f>
        <v>205.5</v>
      </c>
      <c r="Z193" s="513">
        <f t="shared" si="43"/>
        <v>205.5</v>
      </c>
      <c r="AA193" s="557">
        <f t="shared" si="43"/>
        <v>205.5</v>
      </c>
      <c r="AB193" s="513">
        <f t="shared" si="43"/>
        <v>205.5</v>
      </c>
      <c r="AC193" s="513">
        <f t="shared" si="43"/>
        <v>205.5</v>
      </c>
      <c r="AD193" s="513">
        <f t="shared" si="43"/>
        <v>205.5</v>
      </c>
      <c r="AE193" s="513">
        <f t="shared" si="43"/>
        <v>205.5</v>
      </c>
      <c r="AF193" s="513">
        <f t="shared" si="43"/>
        <v>205.5</v>
      </c>
      <c r="AG193" s="513">
        <f t="shared" si="43"/>
        <v>205.5</v>
      </c>
      <c r="AH193" s="513">
        <f t="shared" si="43"/>
        <v>205.5</v>
      </c>
      <c r="AI193" s="513">
        <f t="shared" si="43"/>
        <v>205.5</v>
      </c>
      <c r="AJ193" s="513">
        <f t="shared" si="43"/>
        <v>205.5</v>
      </c>
      <c r="AK193" s="513">
        <f t="shared" si="43"/>
        <v>205.5</v>
      </c>
      <c r="AL193" s="513">
        <f t="shared" si="43"/>
        <v>205.5</v>
      </c>
      <c r="AM193" s="513">
        <f t="shared" si="43"/>
        <v>205.5</v>
      </c>
      <c r="AN193" s="513">
        <f t="shared" si="43"/>
        <v>205.5</v>
      </c>
      <c r="AO193" s="513">
        <f t="shared" si="43"/>
        <v>205.5</v>
      </c>
      <c r="AP193" s="513">
        <f t="shared" si="43"/>
        <v>205.5</v>
      </c>
      <c r="AQ193" s="513">
        <f t="shared" si="43"/>
        <v>205.5</v>
      </c>
      <c r="AR193" s="513">
        <f t="shared" si="43"/>
        <v>205.5</v>
      </c>
      <c r="AS193" s="513">
        <f t="shared" si="43"/>
        <v>205.5</v>
      </c>
      <c r="AT193" s="513">
        <f t="shared" si="43"/>
        <v>205.5</v>
      </c>
      <c r="AU193" s="513">
        <f t="shared" si="43"/>
        <v>205.5</v>
      </c>
      <c r="AV193" s="513">
        <f t="shared" si="43"/>
        <v>205.5</v>
      </c>
      <c r="AW193" s="513">
        <f t="shared" si="43"/>
        <v>205.5</v>
      </c>
    </row>
    <row r="194" spans="1:49" s="145" customFormat="1" x14ac:dyDescent="0.2">
      <c r="A194" s="496" t="s">
        <v>466</v>
      </c>
      <c r="B194" s="513"/>
      <c r="C194" s="513">
        <f t="shared" ref="C194:P194" si="44">SUM(C190-B190)</f>
        <v>6</v>
      </c>
      <c r="D194" s="513">
        <f t="shared" si="44"/>
        <v>4</v>
      </c>
      <c r="E194" s="513">
        <f t="shared" si="44"/>
        <v>18</v>
      </c>
      <c r="F194" s="513">
        <f t="shared" si="44"/>
        <v>6</v>
      </c>
      <c r="G194" s="513">
        <f t="shared" si="44"/>
        <v>10</v>
      </c>
      <c r="H194" s="513">
        <f t="shared" si="44"/>
        <v>5</v>
      </c>
      <c r="I194" s="513">
        <f t="shared" si="44"/>
        <v>14</v>
      </c>
      <c r="J194" s="513">
        <f t="shared" si="44"/>
        <v>10</v>
      </c>
      <c r="K194" s="513">
        <f t="shared" si="44"/>
        <v>12</v>
      </c>
      <c r="L194" s="513">
        <f t="shared" si="44"/>
        <v>3</v>
      </c>
      <c r="M194" s="513">
        <f t="shared" si="44"/>
        <v>6</v>
      </c>
      <c r="N194" s="513">
        <f t="shared" si="44"/>
        <v>12</v>
      </c>
      <c r="O194" s="513">
        <f t="shared" si="44"/>
        <v>9</v>
      </c>
      <c r="P194" s="513">
        <f t="shared" si="44"/>
        <v>15</v>
      </c>
      <c r="Q194" s="513">
        <f>SUM(Q190-P190)*-1</f>
        <v>2</v>
      </c>
      <c r="R194" s="513">
        <f>SUM(R190-Q190)*-1</f>
        <v>6</v>
      </c>
      <c r="S194" s="513">
        <f>SUM(S190-R190)</f>
        <v>16</v>
      </c>
      <c r="T194" s="513">
        <f>SUM(T190-S190)</f>
        <v>7</v>
      </c>
      <c r="U194" s="513">
        <f>SUM(U190-T190)</f>
        <v>1</v>
      </c>
      <c r="V194" s="513">
        <f>SUM(V190-U190)*-1</f>
        <v>9</v>
      </c>
      <c r="W194" s="513">
        <f>SUM(W190-V190)</f>
        <v>20</v>
      </c>
      <c r="X194" s="513">
        <f>SUM(X190-W190)*-1</f>
        <v>7</v>
      </c>
      <c r="Y194" s="513">
        <f>SUM(Y190-X190)*-1</f>
        <v>11</v>
      </c>
      <c r="Z194" s="513">
        <f>SUM(Z190-Y190)</f>
        <v>10</v>
      </c>
      <c r="AA194" s="557">
        <f>SUM(AA190-Z190)*-1</f>
        <v>6</v>
      </c>
      <c r="AB194" s="557">
        <f>SUM(AB190-AA190)*-1</f>
        <v>126</v>
      </c>
      <c r="AC194" s="557">
        <f>SUM(AC190-AB190)</f>
        <v>113</v>
      </c>
      <c r="AD194" s="557">
        <f>SUM(AD190-AC190)</f>
        <v>5</v>
      </c>
      <c r="AE194" s="557">
        <f>SUM(AE190-AD190)*-1</f>
        <v>16</v>
      </c>
      <c r="AF194" s="557">
        <f>SUM(AF190-AE190)*-1</f>
        <v>10</v>
      </c>
      <c r="AG194" s="557">
        <f t="shared" ref="AG194" si="45">SUM(AG190-AF190)*-1</f>
        <v>53</v>
      </c>
      <c r="AH194" s="557">
        <f>SUM(AH190-AG190)</f>
        <v>9</v>
      </c>
      <c r="AI194" s="513"/>
      <c r="AJ194" s="513"/>
      <c r="AK194" s="513"/>
      <c r="AL194" s="513"/>
      <c r="AM194" s="513"/>
      <c r="AN194" s="513"/>
      <c r="AO194" s="513"/>
      <c r="AP194" s="513"/>
      <c r="AQ194" s="513"/>
      <c r="AR194" s="513"/>
      <c r="AS194" s="513"/>
      <c r="AT194" s="513"/>
      <c r="AU194" s="513"/>
      <c r="AV194" s="513"/>
      <c r="AW194" s="513"/>
    </row>
    <row r="195" spans="1:49" s="145" customFormat="1" ht="51" x14ac:dyDescent="0.2">
      <c r="A195" s="784" t="s">
        <v>497</v>
      </c>
      <c r="B195" s="513"/>
      <c r="C195" s="513"/>
      <c r="D195" s="513"/>
      <c r="E195" s="513"/>
      <c r="F195" s="513"/>
      <c r="G195" s="513"/>
      <c r="H195" s="513"/>
      <c r="I195" s="513"/>
      <c r="J195" s="513"/>
      <c r="K195" s="514"/>
      <c r="L195" s="514"/>
      <c r="M195" s="513"/>
      <c r="N195" s="513"/>
      <c r="O195" s="513"/>
      <c r="P195" s="513"/>
      <c r="Q195" s="513"/>
      <c r="R195" s="513"/>
      <c r="S195" s="513"/>
      <c r="T195" s="513"/>
      <c r="U195" s="513"/>
      <c r="V195" s="513"/>
      <c r="W195" s="513"/>
      <c r="X195" s="513"/>
      <c r="Y195" s="513"/>
      <c r="Z195" s="513"/>
      <c r="AA195" s="557"/>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row>
    <row r="196" spans="1:49" s="145" customFormat="1" x14ac:dyDescent="0.2">
      <c r="A196" s="460" t="s">
        <v>468</v>
      </c>
      <c r="B196" s="513">
        <f t="shared" ref="B196:AW196" si="46">AVERAGE($B$190:$AW$190)</f>
        <v>111.54166666666667</v>
      </c>
      <c r="C196" s="513">
        <f t="shared" si="46"/>
        <v>111.54166666666667</v>
      </c>
      <c r="D196" s="513">
        <f t="shared" si="46"/>
        <v>111.54166666666667</v>
      </c>
      <c r="E196" s="513">
        <f t="shared" si="46"/>
        <v>111.54166666666667</v>
      </c>
      <c r="F196" s="513">
        <f t="shared" si="46"/>
        <v>111.54166666666667</v>
      </c>
      <c r="G196" s="513">
        <f t="shared" si="46"/>
        <v>111.54166666666667</v>
      </c>
      <c r="H196" s="513">
        <f t="shared" si="46"/>
        <v>111.54166666666667</v>
      </c>
      <c r="I196" s="513">
        <f t="shared" si="46"/>
        <v>111.54166666666667</v>
      </c>
      <c r="J196" s="513">
        <f t="shared" si="46"/>
        <v>111.54166666666667</v>
      </c>
      <c r="K196" s="513">
        <f t="shared" si="46"/>
        <v>111.54166666666667</v>
      </c>
      <c r="L196" s="513">
        <f t="shared" si="46"/>
        <v>111.54166666666667</v>
      </c>
      <c r="M196" s="513">
        <f t="shared" si="46"/>
        <v>111.54166666666667</v>
      </c>
      <c r="N196" s="513">
        <f t="shared" si="46"/>
        <v>111.54166666666667</v>
      </c>
      <c r="O196" s="513">
        <f t="shared" si="46"/>
        <v>111.54166666666667</v>
      </c>
      <c r="P196" s="513">
        <f t="shared" si="46"/>
        <v>111.54166666666667</v>
      </c>
      <c r="Q196" s="513">
        <f t="shared" si="46"/>
        <v>111.54166666666667</v>
      </c>
      <c r="R196" s="513">
        <f t="shared" si="46"/>
        <v>111.54166666666667</v>
      </c>
      <c r="S196" s="513">
        <f t="shared" si="46"/>
        <v>111.54166666666667</v>
      </c>
      <c r="T196" s="513">
        <f t="shared" si="46"/>
        <v>111.54166666666667</v>
      </c>
      <c r="U196" s="513">
        <f t="shared" si="46"/>
        <v>111.54166666666667</v>
      </c>
      <c r="V196" s="513">
        <f t="shared" si="46"/>
        <v>111.54166666666667</v>
      </c>
      <c r="W196" s="513">
        <f t="shared" si="46"/>
        <v>111.54166666666667</v>
      </c>
      <c r="X196" s="513">
        <f t="shared" si="46"/>
        <v>111.54166666666667</v>
      </c>
      <c r="Y196" s="513">
        <f t="shared" si="46"/>
        <v>111.54166666666667</v>
      </c>
      <c r="Z196" s="513">
        <f t="shared" si="46"/>
        <v>111.54166666666667</v>
      </c>
      <c r="AA196" s="557">
        <f t="shared" si="46"/>
        <v>111.54166666666667</v>
      </c>
      <c r="AB196" s="513">
        <f t="shared" si="46"/>
        <v>111.54166666666667</v>
      </c>
      <c r="AC196" s="513">
        <f t="shared" si="46"/>
        <v>111.54166666666667</v>
      </c>
      <c r="AD196" s="513">
        <f t="shared" si="46"/>
        <v>111.54166666666667</v>
      </c>
      <c r="AE196" s="513">
        <f t="shared" si="46"/>
        <v>111.54166666666667</v>
      </c>
      <c r="AF196" s="513">
        <f t="shared" si="46"/>
        <v>111.54166666666667</v>
      </c>
      <c r="AG196" s="513">
        <f t="shared" si="46"/>
        <v>111.54166666666667</v>
      </c>
      <c r="AH196" s="513">
        <f t="shared" si="46"/>
        <v>111.54166666666667</v>
      </c>
      <c r="AI196" s="513">
        <f t="shared" si="46"/>
        <v>111.54166666666667</v>
      </c>
      <c r="AJ196" s="513">
        <f t="shared" si="46"/>
        <v>111.54166666666667</v>
      </c>
      <c r="AK196" s="513">
        <f t="shared" si="46"/>
        <v>111.54166666666667</v>
      </c>
      <c r="AL196" s="513">
        <f t="shared" si="46"/>
        <v>111.54166666666667</v>
      </c>
      <c r="AM196" s="513">
        <f t="shared" si="46"/>
        <v>111.54166666666667</v>
      </c>
      <c r="AN196" s="513">
        <f t="shared" si="46"/>
        <v>111.54166666666667</v>
      </c>
      <c r="AO196" s="513">
        <f t="shared" si="46"/>
        <v>111.54166666666667</v>
      </c>
      <c r="AP196" s="513">
        <f t="shared" si="46"/>
        <v>111.54166666666667</v>
      </c>
      <c r="AQ196" s="513">
        <f t="shared" si="46"/>
        <v>111.54166666666667</v>
      </c>
      <c r="AR196" s="513">
        <f t="shared" si="46"/>
        <v>111.54166666666667</v>
      </c>
      <c r="AS196" s="513">
        <f t="shared" si="46"/>
        <v>111.54166666666667</v>
      </c>
      <c r="AT196" s="513">
        <f t="shared" si="46"/>
        <v>111.54166666666667</v>
      </c>
      <c r="AU196" s="513">
        <f t="shared" si="46"/>
        <v>111.54166666666667</v>
      </c>
      <c r="AV196" s="513">
        <f t="shared" si="46"/>
        <v>111.54166666666667</v>
      </c>
      <c r="AW196" s="513">
        <f t="shared" si="46"/>
        <v>111.54166666666667</v>
      </c>
    </row>
    <row r="197" spans="1:49" s="145" customFormat="1" x14ac:dyDescent="0.2">
      <c r="A197" s="445" t="s">
        <v>467</v>
      </c>
      <c r="B197" s="513">
        <f>SUM(C194:AW194)/COUNT(C194:AW194)</f>
        <v>17.40625</v>
      </c>
      <c r="C197" s="513"/>
      <c r="D197" s="513"/>
      <c r="E197" s="513"/>
      <c r="F197" s="513"/>
      <c r="G197" s="513"/>
      <c r="H197" s="513"/>
      <c r="I197" s="513"/>
      <c r="J197" s="513"/>
      <c r="K197" s="514"/>
      <c r="L197" s="514"/>
      <c r="M197" s="513"/>
      <c r="N197" s="513"/>
      <c r="O197" s="513"/>
      <c r="P197" s="513"/>
      <c r="Q197" s="513"/>
      <c r="R197" s="513"/>
      <c r="S197" s="513"/>
      <c r="T197" s="513"/>
      <c r="U197" s="513"/>
      <c r="V197" s="513"/>
      <c r="W197" s="513"/>
      <c r="X197" s="513"/>
      <c r="Y197" s="513"/>
      <c r="Z197" s="513"/>
      <c r="AA197" s="557"/>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row>
    <row r="198" spans="1:49" s="145" customFormat="1" ht="25.5" x14ac:dyDescent="0.2">
      <c r="A198" s="445" t="s">
        <v>470</v>
      </c>
      <c r="B198" s="513">
        <f>B197/1.128</f>
        <v>15.431072695035462</v>
      </c>
      <c r="C198" s="513"/>
      <c r="D198" s="513"/>
      <c r="E198" s="513"/>
      <c r="F198" s="513"/>
      <c r="G198" s="513"/>
      <c r="H198" s="513"/>
      <c r="I198" s="513"/>
      <c r="J198" s="513"/>
      <c r="K198" s="514"/>
      <c r="L198" s="514"/>
      <c r="M198" s="513"/>
      <c r="N198" s="513"/>
      <c r="O198" s="513"/>
      <c r="P198" s="513"/>
      <c r="Q198" s="513"/>
      <c r="R198" s="513"/>
      <c r="S198" s="513"/>
      <c r="T198" s="513"/>
      <c r="U198" s="513"/>
      <c r="V198" s="513"/>
      <c r="W198" s="513"/>
      <c r="X198" s="513"/>
      <c r="Y198" s="513"/>
      <c r="Z198" s="513"/>
      <c r="AA198" s="557"/>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row>
    <row r="199" spans="1:49" s="145" customFormat="1" x14ac:dyDescent="0.2">
      <c r="A199" s="445" t="s">
        <v>473</v>
      </c>
      <c r="B199" s="513">
        <f t="shared" ref="B199:AW199" si="47">$B$196+(3*$B$198)</f>
        <v>157.83488475177307</v>
      </c>
      <c r="C199" s="513">
        <f t="shared" si="47"/>
        <v>157.83488475177307</v>
      </c>
      <c r="D199" s="513">
        <f t="shared" si="47"/>
        <v>157.83488475177307</v>
      </c>
      <c r="E199" s="513">
        <f t="shared" si="47"/>
        <v>157.83488475177307</v>
      </c>
      <c r="F199" s="513">
        <f t="shared" si="47"/>
        <v>157.83488475177307</v>
      </c>
      <c r="G199" s="513">
        <f t="shared" si="47"/>
        <v>157.83488475177307</v>
      </c>
      <c r="H199" s="513">
        <f t="shared" si="47"/>
        <v>157.83488475177307</v>
      </c>
      <c r="I199" s="513">
        <f t="shared" si="47"/>
        <v>157.83488475177307</v>
      </c>
      <c r="J199" s="513">
        <f t="shared" si="47"/>
        <v>157.83488475177307</v>
      </c>
      <c r="K199" s="513">
        <f t="shared" si="47"/>
        <v>157.83488475177307</v>
      </c>
      <c r="L199" s="513">
        <f t="shared" si="47"/>
        <v>157.83488475177307</v>
      </c>
      <c r="M199" s="513">
        <f t="shared" si="47"/>
        <v>157.83488475177307</v>
      </c>
      <c r="N199" s="513">
        <f t="shared" si="47"/>
        <v>157.83488475177307</v>
      </c>
      <c r="O199" s="513">
        <f t="shared" si="47"/>
        <v>157.83488475177307</v>
      </c>
      <c r="P199" s="513">
        <f t="shared" si="47"/>
        <v>157.83488475177307</v>
      </c>
      <c r="Q199" s="513">
        <f t="shared" si="47"/>
        <v>157.83488475177307</v>
      </c>
      <c r="R199" s="513">
        <f t="shared" si="47"/>
        <v>157.83488475177307</v>
      </c>
      <c r="S199" s="513">
        <f t="shared" si="47"/>
        <v>157.83488475177307</v>
      </c>
      <c r="T199" s="513">
        <f t="shared" si="47"/>
        <v>157.83488475177307</v>
      </c>
      <c r="U199" s="513">
        <f t="shared" si="47"/>
        <v>157.83488475177307</v>
      </c>
      <c r="V199" s="513">
        <f t="shared" si="47"/>
        <v>157.83488475177307</v>
      </c>
      <c r="W199" s="513">
        <f t="shared" si="47"/>
        <v>157.83488475177307</v>
      </c>
      <c r="X199" s="513">
        <f t="shared" si="47"/>
        <v>157.83488475177307</v>
      </c>
      <c r="Y199" s="513">
        <f t="shared" si="47"/>
        <v>157.83488475177307</v>
      </c>
      <c r="Z199" s="513">
        <f t="shared" si="47"/>
        <v>157.83488475177307</v>
      </c>
      <c r="AA199" s="557">
        <f t="shared" si="47"/>
        <v>157.83488475177307</v>
      </c>
      <c r="AB199" s="513">
        <f t="shared" si="47"/>
        <v>157.83488475177307</v>
      </c>
      <c r="AC199" s="513">
        <f t="shared" si="47"/>
        <v>157.83488475177307</v>
      </c>
      <c r="AD199" s="513">
        <f t="shared" si="47"/>
        <v>157.83488475177307</v>
      </c>
      <c r="AE199" s="513">
        <f t="shared" si="47"/>
        <v>157.83488475177307</v>
      </c>
      <c r="AF199" s="513">
        <f t="shared" si="47"/>
        <v>157.83488475177307</v>
      </c>
      <c r="AG199" s="513">
        <f t="shared" si="47"/>
        <v>157.83488475177307</v>
      </c>
      <c r="AH199" s="513">
        <f t="shared" si="47"/>
        <v>157.83488475177307</v>
      </c>
      <c r="AI199" s="513">
        <f t="shared" si="47"/>
        <v>157.83488475177307</v>
      </c>
      <c r="AJ199" s="513">
        <f t="shared" si="47"/>
        <v>157.83488475177307</v>
      </c>
      <c r="AK199" s="513">
        <f t="shared" si="47"/>
        <v>157.83488475177307</v>
      </c>
      <c r="AL199" s="513">
        <f t="shared" si="47"/>
        <v>157.83488475177307</v>
      </c>
      <c r="AM199" s="513">
        <f t="shared" si="47"/>
        <v>157.83488475177307</v>
      </c>
      <c r="AN199" s="513">
        <f t="shared" si="47"/>
        <v>157.83488475177307</v>
      </c>
      <c r="AO199" s="513">
        <f t="shared" si="47"/>
        <v>157.83488475177307</v>
      </c>
      <c r="AP199" s="513">
        <f t="shared" si="47"/>
        <v>157.83488475177307</v>
      </c>
      <c r="AQ199" s="513">
        <f t="shared" si="47"/>
        <v>157.83488475177307</v>
      </c>
      <c r="AR199" s="513">
        <f t="shared" si="47"/>
        <v>157.83488475177307</v>
      </c>
      <c r="AS199" s="513">
        <f t="shared" si="47"/>
        <v>157.83488475177307</v>
      </c>
      <c r="AT199" s="513">
        <f t="shared" si="47"/>
        <v>157.83488475177307</v>
      </c>
      <c r="AU199" s="513">
        <f t="shared" si="47"/>
        <v>157.83488475177307</v>
      </c>
      <c r="AV199" s="513">
        <f t="shared" si="47"/>
        <v>157.83488475177307</v>
      </c>
      <c r="AW199" s="513">
        <f t="shared" si="47"/>
        <v>157.83488475177307</v>
      </c>
    </row>
    <row r="200" spans="1:49" s="145" customFormat="1" x14ac:dyDescent="0.2">
      <c r="A200" s="445" t="s">
        <v>475</v>
      </c>
      <c r="B200" s="513">
        <f t="shared" ref="B200:AW200" si="48">$B$196-(3*$B$198)</f>
        <v>65.248448581560282</v>
      </c>
      <c r="C200" s="513">
        <f t="shared" si="48"/>
        <v>65.248448581560282</v>
      </c>
      <c r="D200" s="513">
        <f t="shared" si="48"/>
        <v>65.248448581560282</v>
      </c>
      <c r="E200" s="513">
        <f t="shared" si="48"/>
        <v>65.248448581560282</v>
      </c>
      <c r="F200" s="513">
        <f t="shared" si="48"/>
        <v>65.248448581560282</v>
      </c>
      <c r="G200" s="513">
        <f t="shared" si="48"/>
        <v>65.248448581560282</v>
      </c>
      <c r="H200" s="513">
        <f t="shared" si="48"/>
        <v>65.248448581560282</v>
      </c>
      <c r="I200" s="513">
        <f t="shared" si="48"/>
        <v>65.248448581560282</v>
      </c>
      <c r="J200" s="513">
        <f t="shared" si="48"/>
        <v>65.248448581560282</v>
      </c>
      <c r="K200" s="513">
        <f t="shared" si="48"/>
        <v>65.248448581560282</v>
      </c>
      <c r="L200" s="513">
        <f t="shared" si="48"/>
        <v>65.248448581560282</v>
      </c>
      <c r="M200" s="513">
        <f t="shared" si="48"/>
        <v>65.248448581560282</v>
      </c>
      <c r="N200" s="513">
        <f t="shared" si="48"/>
        <v>65.248448581560282</v>
      </c>
      <c r="O200" s="513">
        <f t="shared" si="48"/>
        <v>65.248448581560282</v>
      </c>
      <c r="P200" s="513">
        <f t="shared" si="48"/>
        <v>65.248448581560282</v>
      </c>
      <c r="Q200" s="513">
        <f t="shared" si="48"/>
        <v>65.248448581560282</v>
      </c>
      <c r="R200" s="513">
        <f t="shared" si="48"/>
        <v>65.248448581560282</v>
      </c>
      <c r="S200" s="513">
        <f t="shared" si="48"/>
        <v>65.248448581560282</v>
      </c>
      <c r="T200" s="513">
        <f t="shared" si="48"/>
        <v>65.248448581560282</v>
      </c>
      <c r="U200" s="513">
        <f t="shared" si="48"/>
        <v>65.248448581560282</v>
      </c>
      <c r="V200" s="513">
        <f t="shared" si="48"/>
        <v>65.248448581560282</v>
      </c>
      <c r="W200" s="513">
        <f t="shared" si="48"/>
        <v>65.248448581560282</v>
      </c>
      <c r="X200" s="513">
        <f t="shared" si="48"/>
        <v>65.248448581560282</v>
      </c>
      <c r="Y200" s="513">
        <f t="shared" si="48"/>
        <v>65.248448581560282</v>
      </c>
      <c r="Z200" s="513">
        <f t="shared" si="48"/>
        <v>65.248448581560282</v>
      </c>
      <c r="AA200" s="557">
        <f t="shared" si="48"/>
        <v>65.248448581560282</v>
      </c>
      <c r="AB200" s="513">
        <f t="shared" si="48"/>
        <v>65.248448581560282</v>
      </c>
      <c r="AC200" s="513">
        <f t="shared" si="48"/>
        <v>65.248448581560282</v>
      </c>
      <c r="AD200" s="513">
        <f t="shared" si="48"/>
        <v>65.248448581560282</v>
      </c>
      <c r="AE200" s="513">
        <f t="shared" si="48"/>
        <v>65.248448581560282</v>
      </c>
      <c r="AF200" s="513">
        <f t="shared" si="48"/>
        <v>65.248448581560282</v>
      </c>
      <c r="AG200" s="513">
        <f t="shared" si="48"/>
        <v>65.248448581560282</v>
      </c>
      <c r="AH200" s="513">
        <f t="shared" si="48"/>
        <v>65.248448581560282</v>
      </c>
      <c r="AI200" s="513">
        <f t="shared" si="48"/>
        <v>65.248448581560282</v>
      </c>
      <c r="AJ200" s="513">
        <f t="shared" si="48"/>
        <v>65.248448581560282</v>
      </c>
      <c r="AK200" s="513">
        <f t="shared" si="48"/>
        <v>65.248448581560282</v>
      </c>
      <c r="AL200" s="513">
        <f t="shared" si="48"/>
        <v>65.248448581560282</v>
      </c>
      <c r="AM200" s="513">
        <f t="shared" si="48"/>
        <v>65.248448581560282</v>
      </c>
      <c r="AN200" s="513">
        <f t="shared" si="48"/>
        <v>65.248448581560282</v>
      </c>
      <c r="AO200" s="513">
        <f t="shared" si="48"/>
        <v>65.248448581560282</v>
      </c>
      <c r="AP200" s="513">
        <f t="shared" si="48"/>
        <v>65.248448581560282</v>
      </c>
      <c r="AQ200" s="513">
        <f t="shared" si="48"/>
        <v>65.248448581560282</v>
      </c>
      <c r="AR200" s="513">
        <f t="shared" si="48"/>
        <v>65.248448581560282</v>
      </c>
      <c r="AS200" s="513">
        <f t="shared" si="48"/>
        <v>65.248448581560282</v>
      </c>
      <c r="AT200" s="513">
        <f t="shared" si="48"/>
        <v>65.248448581560282</v>
      </c>
      <c r="AU200" s="513">
        <f t="shared" si="48"/>
        <v>65.248448581560282</v>
      </c>
      <c r="AV200" s="513">
        <f t="shared" si="48"/>
        <v>65.248448581560282</v>
      </c>
      <c r="AW200" s="513">
        <f t="shared" si="48"/>
        <v>65.248448581560282</v>
      </c>
    </row>
    <row r="201" spans="1:49" s="145" customFormat="1" ht="25.5" x14ac:dyDescent="0.2">
      <c r="A201" s="480" t="s">
        <v>489</v>
      </c>
      <c r="B201" s="513"/>
      <c r="C201" s="513"/>
      <c r="D201" s="513"/>
      <c r="E201" s="513"/>
      <c r="F201" s="513"/>
      <c r="G201" s="513"/>
      <c r="H201" s="513"/>
      <c r="I201" s="513"/>
      <c r="J201" s="513"/>
      <c r="K201" s="514"/>
      <c r="L201" s="514"/>
      <c r="M201" s="513"/>
      <c r="N201" s="513"/>
      <c r="O201" s="513"/>
      <c r="P201" s="513"/>
      <c r="Q201" s="513"/>
      <c r="R201" s="513"/>
      <c r="S201" s="513"/>
      <c r="T201" s="513"/>
      <c r="U201" s="513"/>
      <c r="V201" s="513"/>
      <c r="W201" s="513"/>
      <c r="X201" s="513"/>
      <c r="Y201" s="513"/>
      <c r="Z201" s="513"/>
      <c r="AA201" s="557"/>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row>
    <row r="202" spans="1:49" s="145" customFormat="1" x14ac:dyDescent="0.2">
      <c r="A202" s="518" t="s">
        <v>519</v>
      </c>
      <c r="B202" s="513">
        <f t="shared" ref="B202:AW202" si="49">B70</f>
        <v>172</v>
      </c>
      <c r="C202" s="513">
        <f t="shared" si="49"/>
        <v>178</v>
      </c>
      <c r="D202" s="513">
        <f t="shared" si="49"/>
        <v>183</v>
      </c>
      <c r="E202" s="513">
        <f t="shared" si="49"/>
        <v>220</v>
      </c>
      <c r="F202" s="513">
        <f t="shared" si="49"/>
        <v>250</v>
      </c>
      <c r="G202" s="513">
        <f t="shared" si="49"/>
        <v>284</v>
      </c>
      <c r="H202" s="513">
        <f t="shared" si="49"/>
        <v>308</v>
      </c>
      <c r="I202" s="513">
        <f t="shared" si="49"/>
        <v>365</v>
      </c>
      <c r="J202" s="513">
        <f t="shared" si="49"/>
        <v>417</v>
      </c>
      <c r="K202" s="513">
        <f t="shared" si="49"/>
        <v>469</v>
      </c>
      <c r="L202" s="513">
        <f t="shared" si="49"/>
        <v>499</v>
      </c>
      <c r="M202" s="513">
        <f t="shared" si="49"/>
        <v>492</v>
      </c>
      <c r="N202" s="513">
        <f t="shared" si="49"/>
        <v>528</v>
      </c>
      <c r="O202" s="513">
        <f t="shared" si="49"/>
        <v>533</v>
      </c>
      <c r="P202" s="513">
        <f t="shared" si="49"/>
        <v>586</v>
      </c>
      <c r="Q202" s="513">
        <f t="shared" si="49"/>
        <v>605</v>
      </c>
      <c r="R202" s="513">
        <f t="shared" si="49"/>
        <v>637</v>
      </c>
      <c r="S202" s="513">
        <f t="shared" si="49"/>
        <v>675</v>
      </c>
      <c r="T202" s="513">
        <f t="shared" si="49"/>
        <v>700</v>
      </c>
      <c r="U202" s="513">
        <f t="shared" si="49"/>
        <v>706</v>
      </c>
      <c r="V202" s="513">
        <f t="shared" si="49"/>
        <v>674</v>
      </c>
      <c r="W202" s="513">
        <f t="shared" si="49"/>
        <v>721</v>
      </c>
      <c r="X202" s="513">
        <f t="shared" si="49"/>
        <v>714</v>
      </c>
      <c r="Y202" s="513">
        <f t="shared" si="49"/>
        <v>643</v>
      </c>
      <c r="Z202" s="513">
        <f t="shared" si="49"/>
        <v>649</v>
      </c>
      <c r="AA202" s="557">
        <f t="shared" si="49"/>
        <v>679</v>
      </c>
      <c r="AB202" s="513">
        <f t="shared" si="49"/>
        <v>372</v>
      </c>
      <c r="AC202" s="513">
        <f t="shared" si="49"/>
        <v>762</v>
      </c>
      <c r="AD202" s="513">
        <f t="shared" si="49"/>
        <v>794</v>
      </c>
      <c r="AE202" s="513">
        <f t="shared" si="49"/>
        <v>800</v>
      </c>
      <c r="AF202" s="513">
        <f t="shared" si="49"/>
        <v>799</v>
      </c>
      <c r="AG202" s="513">
        <f t="shared" si="49"/>
        <v>467</v>
      </c>
      <c r="AH202" s="513">
        <f t="shared" si="49"/>
        <v>482</v>
      </c>
      <c r="AI202" s="513">
        <f t="shared" si="49"/>
        <v>0</v>
      </c>
      <c r="AJ202" s="513">
        <f t="shared" si="49"/>
        <v>0</v>
      </c>
      <c r="AK202" s="513">
        <f t="shared" si="49"/>
        <v>0</v>
      </c>
      <c r="AL202" s="513">
        <f t="shared" si="49"/>
        <v>0</v>
      </c>
      <c r="AM202" s="513">
        <f t="shared" si="49"/>
        <v>0</v>
      </c>
      <c r="AN202" s="513">
        <f t="shared" si="49"/>
        <v>0</v>
      </c>
      <c r="AO202" s="513">
        <f t="shared" si="49"/>
        <v>0</v>
      </c>
      <c r="AP202" s="513">
        <f t="shared" si="49"/>
        <v>0</v>
      </c>
      <c r="AQ202" s="513">
        <f t="shared" si="49"/>
        <v>0</v>
      </c>
      <c r="AR202" s="513">
        <f t="shared" si="49"/>
        <v>0</v>
      </c>
      <c r="AS202" s="513">
        <f t="shared" si="49"/>
        <v>0</v>
      </c>
      <c r="AT202" s="513">
        <f t="shared" si="49"/>
        <v>0</v>
      </c>
      <c r="AU202" s="513">
        <f t="shared" si="49"/>
        <v>0</v>
      </c>
      <c r="AV202" s="513">
        <f t="shared" si="49"/>
        <v>0</v>
      </c>
      <c r="AW202" s="513">
        <f t="shared" si="49"/>
        <v>0</v>
      </c>
    </row>
    <row r="203" spans="1:49" s="145" customFormat="1" x14ac:dyDescent="0.2">
      <c r="A203" s="443" t="s">
        <v>130</v>
      </c>
      <c r="B203" s="513">
        <f t="shared" ref="B203:M203" si="50">MEDIAN($B$202:$M$202)</f>
        <v>296</v>
      </c>
      <c r="C203" s="513">
        <f t="shared" si="50"/>
        <v>296</v>
      </c>
      <c r="D203" s="513">
        <f t="shared" si="50"/>
        <v>296</v>
      </c>
      <c r="E203" s="513">
        <f t="shared" si="50"/>
        <v>296</v>
      </c>
      <c r="F203" s="513">
        <f t="shared" si="50"/>
        <v>296</v>
      </c>
      <c r="G203" s="513">
        <f t="shared" si="50"/>
        <v>296</v>
      </c>
      <c r="H203" s="513">
        <f t="shared" si="50"/>
        <v>296</v>
      </c>
      <c r="I203" s="513">
        <f t="shared" si="50"/>
        <v>296</v>
      </c>
      <c r="J203" s="513">
        <f t="shared" si="50"/>
        <v>296</v>
      </c>
      <c r="K203" s="513">
        <f t="shared" si="50"/>
        <v>296</v>
      </c>
      <c r="L203" s="513">
        <f t="shared" si="50"/>
        <v>296</v>
      </c>
      <c r="M203" s="513">
        <f t="shared" si="50"/>
        <v>296</v>
      </c>
      <c r="N203" s="513"/>
      <c r="O203" s="513"/>
      <c r="P203" s="513"/>
      <c r="Q203" s="513"/>
      <c r="R203" s="513"/>
      <c r="S203" s="513"/>
      <c r="T203" s="513"/>
      <c r="U203" s="513"/>
      <c r="V203" s="513"/>
      <c r="W203" s="513"/>
      <c r="X203" s="513"/>
      <c r="Y203" s="513"/>
      <c r="Z203" s="513"/>
      <c r="AA203" s="782"/>
      <c r="AB203" s="783"/>
      <c r="AC203" s="783"/>
      <c r="AD203" s="783"/>
      <c r="AE203" s="783"/>
      <c r="AF203" s="783"/>
      <c r="AG203" s="783"/>
      <c r="AH203" s="783"/>
      <c r="AI203" s="783"/>
      <c r="AJ203" s="783"/>
      <c r="AK203" s="783"/>
      <c r="AL203" s="783"/>
      <c r="AM203" s="783"/>
      <c r="AN203" s="783"/>
      <c r="AO203" s="783"/>
      <c r="AP203" s="783"/>
      <c r="AQ203" s="783"/>
      <c r="AR203" s="783"/>
      <c r="AS203" s="783"/>
      <c r="AT203" s="783"/>
      <c r="AU203" s="783"/>
      <c r="AV203" s="783"/>
      <c r="AW203" s="783"/>
    </row>
    <row r="204" spans="1:49" s="145" customFormat="1" x14ac:dyDescent="0.2">
      <c r="A204" s="443" t="s">
        <v>303</v>
      </c>
      <c r="B204" s="513"/>
      <c r="C204" s="513"/>
      <c r="D204" s="513"/>
      <c r="E204" s="513"/>
      <c r="F204" s="513"/>
      <c r="G204" s="513"/>
      <c r="H204" s="513"/>
      <c r="I204" s="513"/>
      <c r="J204" s="513"/>
      <c r="K204" s="513"/>
      <c r="L204" s="513"/>
      <c r="M204" s="513"/>
      <c r="N204" s="513">
        <f t="shared" ref="N204:Y204" si="51">MEDIAN($N$202:$Y$202)</f>
        <v>658.5</v>
      </c>
      <c r="O204" s="513">
        <f t="shared" si="51"/>
        <v>658.5</v>
      </c>
      <c r="P204" s="513">
        <f t="shared" si="51"/>
        <v>658.5</v>
      </c>
      <c r="Q204" s="513">
        <f t="shared" si="51"/>
        <v>658.5</v>
      </c>
      <c r="R204" s="513">
        <f t="shared" si="51"/>
        <v>658.5</v>
      </c>
      <c r="S204" s="513">
        <f t="shared" si="51"/>
        <v>658.5</v>
      </c>
      <c r="T204" s="513">
        <f t="shared" si="51"/>
        <v>658.5</v>
      </c>
      <c r="U204" s="513">
        <f t="shared" si="51"/>
        <v>658.5</v>
      </c>
      <c r="V204" s="513">
        <f t="shared" si="51"/>
        <v>658.5</v>
      </c>
      <c r="W204" s="513">
        <f t="shared" si="51"/>
        <v>658.5</v>
      </c>
      <c r="X204" s="513">
        <f t="shared" si="51"/>
        <v>658.5</v>
      </c>
      <c r="Y204" s="513">
        <f t="shared" si="51"/>
        <v>658.5</v>
      </c>
      <c r="Z204" s="513" t="s">
        <v>368</v>
      </c>
      <c r="AA204" s="782"/>
      <c r="AB204" s="783"/>
      <c r="AC204" s="783"/>
      <c r="AD204" s="783"/>
      <c r="AE204" s="783"/>
      <c r="AF204" s="783"/>
      <c r="AG204" s="783"/>
      <c r="AH204" s="783"/>
      <c r="AI204" s="783"/>
      <c r="AJ204" s="783"/>
      <c r="AK204" s="783"/>
      <c r="AL204" s="783"/>
      <c r="AM204" s="783"/>
      <c r="AN204" s="783"/>
      <c r="AO204" s="783"/>
      <c r="AP204" s="783"/>
      <c r="AQ204" s="783"/>
      <c r="AR204" s="783"/>
      <c r="AS204" s="783"/>
      <c r="AT204" s="783"/>
      <c r="AU204" s="783"/>
      <c r="AV204" s="783"/>
      <c r="AW204" s="783"/>
    </row>
    <row r="205" spans="1:49" s="145" customFormat="1" x14ac:dyDescent="0.2">
      <c r="A205" s="443" t="s">
        <v>304</v>
      </c>
      <c r="B205" s="559"/>
      <c r="C205" s="559"/>
      <c r="D205" s="559"/>
      <c r="E205" s="559"/>
      <c r="F205" s="559"/>
      <c r="G205" s="559"/>
      <c r="H205" s="559"/>
      <c r="I205" s="559"/>
      <c r="J205" s="559"/>
      <c r="K205" s="559"/>
      <c r="L205" s="559"/>
      <c r="M205" s="559"/>
      <c r="N205" s="559"/>
      <c r="O205" s="559"/>
      <c r="P205" s="559"/>
      <c r="Q205" s="559"/>
      <c r="R205" s="559"/>
      <c r="S205" s="559"/>
      <c r="T205" s="559"/>
      <c r="U205" s="559"/>
      <c r="V205" s="559"/>
      <c r="W205" s="559"/>
      <c r="X205" s="559"/>
      <c r="Y205" s="513">
        <f t="shared" ref="Y205:AW205" si="52">MEDIAN($N$202:$Y$202)</f>
        <v>658.5</v>
      </c>
      <c r="Z205" s="513">
        <f t="shared" si="52"/>
        <v>658.5</v>
      </c>
      <c r="AA205" s="557">
        <f t="shared" si="52"/>
        <v>658.5</v>
      </c>
      <c r="AB205" s="513">
        <f t="shared" si="52"/>
        <v>658.5</v>
      </c>
      <c r="AC205" s="513">
        <f t="shared" si="52"/>
        <v>658.5</v>
      </c>
      <c r="AD205" s="513">
        <f t="shared" si="52"/>
        <v>658.5</v>
      </c>
      <c r="AE205" s="513">
        <f t="shared" si="52"/>
        <v>658.5</v>
      </c>
      <c r="AF205" s="513">
        <f t="shared" si="52"/>
        <v>658.5</v>
      </c>
      <c r="AG205" s="513">
        <f t="shared" si="52"/>
        <v>658.5</v>
      </c>
      <c r="AH205" s="513">
        <f t="shared" si="52"/>
        <v>658.5</v>
      </c>
      <c r="AI205" s="513">
        <f t="shared" si="52"/>
        <v>658.5</v>
      </c>
      <c r="AJ205" s="513">
        <f t="shared" si="52"/>
        <v>658.5</v>
      </c>
      <c r="AK205" s="513">
        <f t="shared" si="52"/>
        <v>658.5</v>
      </c>
      <c r="AL205" s="513">
        <f t="shared" si="52"/>
        <v>658.5</v>
      </c>
      <c r="AM205" s="513">
        <f t="shared" si="52"/>
        <v>658.5</v>
      </c>
      <c r="AN205" s="513">
        <f t="shared" si="52"/>
        <v>658.5</v>
      </c>
      <c r="AO205" s="513">
        <f t="shared" si="52"/>
        <v>658.5</v>
      </c>
      <c r="AP205" s="513">
        <f t="shared" si="52"/>
        <v>658.5</v>
      </c>
      <c r="AQ205" s="513">
        <f t="shared" si="52"/>
        <v>658.5</v>
      </c>
      <c r="AR205" s="513">
        <f t="shared" si="52"/>
        <v>658.5</v>
      </c>
      <c r="AS205" s="513">
        <f t="shared" si="52"/>
        <v>658.5</v>
      </c>
      <c r="AT205" s="513">
        <f t="shared" si="52"/>
        <v>658.5</v>
      </c>
      <c r="AU205" s="513">
        <f t="shared" si="52"/>
        <v>658.5</v>
      </c>
      <c r="AV205" s="513">
        <f t="shared" si="52"/>
        <v>658.5</v>
      </c>
      <c r="AW205" s="513">
        <f t="shared" si="52"/>
        <v>658.5</v>
      </c>
    </row>
    <row r="206" spans="1:49" s="449" customFormat="1" x14ac:dyDescent="0.2">
      <c r="A206" s="496" t="s">
        <v>466</v>
      </c>
      <c r="B206" s="513" t="s">
        <v>368</v>
      </c>
      <c r="C206" s="513">
        <f>SUM(C202-B202)</f>
        <v>6</v>
      </c>
      <c r="D206" s="513">
        <f t="shared" ref="D206:AA206" si="53">SUM(D202-C202)</f>
        <v>5</v>
      </c>
      <c r="E206" s="513">
        <f t="shared" si="53"/>
        <v>37</v>
      </c>
      <c r="F206" s="513">
        <f t="shared" si="53"/>
        <v>30</v>
      </c>
      <c r="G206" s="513">
        <f t="shared" si="53"/>
        <v>34</v>
      </c>
      <c r="H206" s="513">
        <f t="shared" si="53"/>
        <v>24</v>
      </c>
      <c r="I206" s="513">
        <f t="shared" si="53"/>
        <v>57</v>
      </c>
      <c r="J206" s="513">
        <f t="shared" si="53"/>
        <v>52</v>
      </c>
      <c r="K206" s="513">
        <f t="shared" si="53"/>
        <v>52</v>
      </c>
      <c r="L206" s="513">
        <f t="shared" si="53"/>
        <v>30</v>
      </c>
      <c r="M206" s="513">
        <f>SUM(M202-L202)*-1</f>
        <v>7</v>
      </c>
      <c r="N206" s="513">
        <f t="shared" si="53"/>
        <v>36</v>
      </c>
      <c r="O206" s="513">
        <f t="shared" si="53"/>
        <v>5</v>
      </c>
      <c r="P206" s="513">
        <f t="shared" si="53"/>
        <v>53</v>
      </c>
      <c r="Q206" s="513">
        <f t="shared" si="53"/>
        <v>19</v>
      </c>
      <c r="R206" s="513">
        <f t="shared" si="53"/>
        <v>32</v>
      </c>
      <c r="S206" s="513">
        <f t="shared" si="53"/>
        <v>38</v>
      </c>
      <c r="T206" s="513">
        <f t="shared" si="53"/>
        <v>25</v>
      </c>
      <c r="U206" s="513">
        <f t="shared" si="53"/>
        <v>6</v>
      </c>
      <c r="V206" s="513">
        <f>SUM(V202-U202)*-1</f>
        <v>32</v>
      </c>
      <c r="W206" s="513">
        <f t="shared" si="53"/>
        <v>47</v>
      </c>
      <c r="X206" s="513">
        <f>SUM(X202-W202)*-1</f>
        <v>7</v>
      </c>
      <c r="Y206" s="513">
        <f>SUM(Y202-X202)*-1</f>
        <v>71</v>
      </c>
      <c r="Z206" s="513">
        <f t="shared" si="53"/>
        <v>6</v>
      </c>
      <c r="AA206" s="557">
        <f t="shared" si="53"/>
        <v>30</v>
      </c>
      <c r="AB206" s="557">
        <f>SUM(AB202-AA202)*-1</f>
        <v>307</v>
      </c>
      <c r="AC206" s="557">
        <f>SUM(AC202-AB202)</f>
        <v>390</v>
      </c>
      <c r="AD206" s="557">
        <f>SUM(AD202-AC202)</f>
        <v>32</v>
      </c>
      <c r="AE206" s="557">
        <f>SUM(AE202-AD202)</f>
        <v>6</v>
      </c>
      <c r="AF206" s="557">
        <f>SUM(AF202-AE202)*-1</f>
        <v>1</v>
      </c>
      <c r="AG206" s="557">
        <f t="shared" ref="AG206" si="54">SUM(AG202-AF202)*-1</f>
        <v>332</v>
      </c>
      <c r="AH206" s="557">
        <f>SUM(AH202-AG202)</f>
        <v>15</v>
      </c>
      <c r="AI206" s="513"/>
      <c r="AJ206" s="513"/>
      <c r="AK206" s="513"/>
      <c r="AL206" s="513"/>
      <c r="AM206" s="513"/>
      <c r="AN206" s="513"/>
      <c r="AO206" s="513"/>
      <c r="AP206" s="513"/>
      <c r="AQ206" s="513"/>
      <c r="AR206" s="513"/>
      <c r="AS206" s="513"/>
      <c r="AT206" s="513"/>
      <c r="AU206" s="513"/>
      <c r="AV206" s="513"/>
      <c r="AW206" s="513"/>
    </row>
    <row r="207" spans="1:49" s="449" customFormat="1" ht="51" x14ac:dyDescent="0.2">
      <c r="A207" s="784" t="s">
        <v>497</v>
      </c>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57"/>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row>
    <row r="208" spans="1:49" s="449" customFormat="1" x14ac:dyDescent="0.2">
      <c r="A208" s="460" t="s">
        <v>468</v>
      </c>
      <c r="B208" s="513">
        <f t="shared" ref="B208:AW208" si="55">AVERAGE($B$202:$AW$202)</f>
        <v>361.72916666666669</v>
      </c>
      <c r="C208" s="513">
        <f t="shared" si="55"/>
        <v>361.72916666666669</v>
      </c>
      <c r="D208" s="513">
        <f t="shared" si="55"/>
        <v>361.72916666666669</v>
      </c>
      <c r="E208" s="513">
        <f t="shared" si="55"/>
        <v>361.72916666666669</v>
      </c>
      <c r="F208" s="513">
        <f t="shared" si="55"/>
        <v>361.72916666666669</v>
      </c>
      <c r="G208" s="513">
        <f t="shared" si="55"/>
        <v>361.72916666666669</v>
      </c>
      <c r="H208" s="513">
        <f t="shared" si="55"/>
        <v>361.72916666666669</v>
      </c>
      <c r="I208" s="513">
        <f t="shared" si="55"/>
        <v>361.72916666666669</v>
      </c>
      <c r="J208" s="513">
        <f t="shared" si="55"/>
        <v>361.72916666666669</v>
      </c>
      <c r="K208" s="513">
        <f t="shared" si="55"/>
        <v>361.72916666666669</v>
      </c>
      <c r="L208" s="513">
        <f t="shared" si="55"/>
        <v>361.72916666666669</v>
      </c>
      <c r="M208" s="513">
        <f t="shared" si="55"/>
        <v>361.72916666666669</v>
      </c>
      <c r="N208" s="513">
        <f t="shared" si="55"/>
        <v>361.72916666666669</v>
      </c>
      <c r="O208" s="513">
        <f t="shared" si="55"/>
        <v>361.72916666666669</v>
      </c>
      <c r="P208" s="513">
        <f t="shared" si="55"/>
        <v>361.72916666666669</v>
      </c>
      <c r="Q208" s="513">
        <f t="shared" si="55"/>
        <v>361.72916666666669</v>
      </c>
      <c r="R208" s="513">
        <f t="shared" si="55"/>
        <v>361.72916666666669</v>
      </c>
      <c r="S208" s="513">
        <f t="shared" si="55"/>
        <v>361.72916666666669</v>
      </c>
      <c r="T208" s="513">
        <f t="shared" si="55"/>
        <v>361.72916666666669</v>
      </c>
      <c r="U208" s="513">
        <f t="shared" si="55"/>
        <v>361.72916666666669</v>
      </c>
      <c r="V208" s="513">
        <f t="shared" si="55"/>
        <v>361.72916666666669</v>
      </c>
      <c r="W208" s="513">
        <f t="shared" si="55"/>
        <v>361.72916666666669</v>
      </c>
      <c r="X208" s="513">
        <f t="shared" si="55"/>
        <v>361.72916666666669</v>
      </c>
      <c r="Y208" s="513">
        <f t="shared" si="55"/>
        <v>361.72916666666669</v>
      </c>
      <c r="Z208" s="513">
        <f t="shared" si="55"/>
        <v>361.72916666666669</v>
      </c>
      <c r="AA208" s="557">
        <f t="shared" si="55"/>
        <v>361.72916666666669</v>
      </c>
      <c r="AB208" s="513">
        <f t="shared" si="55"/>
        <v>361.72916666666669</v>
      </c>
      <c r="AC208" s="513">
        <f t="shared" si="55"/>
        <v>361.72916666666669</v>
      </c>
      <c r="AD208" s="513">
        <f t="shared" si="55"/>
        <v>361.72916666666669</v>
      </c>
      <c r="AE208" s="513">
        <f t="shared" si="55"/>
        <v>361.72916666666669</v>
      </c>
      <c r="AF208" s="513">
        <f t="shared" si="55"/>
        <v>361.72916666666669</v>
      </c>
      <c r="AG208" s="513">
        <f t="shared" si="55"/>
        <v>361.72916666666669</v>
      </c>
      <c r="AH208" s="513">
        <f t="shared" si="55"/>
        <v>361.72916666666669</v>
      </c>
      <c r="AI208" s="513">
        <f t="shared" si="55"/>
        <v>361.72916666666669</v>
      </c>
      <c r="AJ208" s="513">
        <f t="shared" si="55"/>
        <v>361.72916666666669</v>
      </c>
      <c r="AK208" s="513">
        <f t="shared" si="55"/>
        <v>361.72916666666669</v>
      </c>
      <c r="AL208" s="513">
        <f t="shared" si="55"/>
        <v>361.72916666666669</v>
      </c>
      <c r="AM208" s="513">
        <f t="shared" si="55"/>
        <v>361.72916666666669</v>
      </c>
      <c r="AN208" s="513">
        <f t="shared" si="55"/>
        <v>361.72916666666669</v>
      </c>
      <c r="AO208" s="513">
        <f t="shared" si="55"/>
        <v>361.72916666666669</v>
      </c>
      <c r="AP208" s="513">
        <f t="shared" si="55"/>
        <v>361.72916666666669</v>
      </c>
      <c r="AQ208" s="513">
        <f t="shared" si="55"/>
        <v>361.72916666666669</v>
      </c>
      <c r="AR208" s="513">
        <f t="shared" si="55"/>
        <v>361.72916666666669</v>
      </c>
      <c r="AS208" s="513">
        <f t="shared" si="55"/>
        <v>361.72916666666669</v>
      </c>
      <c r="AT208" s="513">
        <f t="shared" si="55"/>
        <v>361.72916666666669</v>
      </c>
      <c r="AU208" s="513">
        <f t="shared" si="55"/>
        <v>361.72916666666669</v>
      </c>
      <c r="AV208" s="513">
        <f t="shared" si="55"/>
        <v>361.72916666666669</v>
      </c>
      <c r="AW208" s="513">
        <f t="shared" si="55"/>
        <v>361.72916666666669</v>
      </c>
    </row>
    <row r="209" spans="1:49" s="449" customFormat="1" x14ac:dyDescent="0.2">
      <c r="A209" s="445" t="s">
        <v>467</v>
      </c>
      <c r="B209" s="513">
        <f>SUM(C206:AW206)/COUNT(C206:AW206)</f>
        <v>57</v>
      </c>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57"/>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row>
    <row r="210" spans="1:49" s="449" customFormat="1" ht="25.5" x14ac:dyDescent="0.2">
      <c r="A210" s="445" t="s">
        <v>470</v>
      </c>
      <c r="B210" s="513">
        <f>SUM(B209/1.128)</f>
        <v>50.531914893617028</v>
      </c>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57"/>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row>
    <row r="211" spans="1:49" s="449" customFormat="1" x14ac:dyDescent="0.2">
      <c r="A211" s="445" t="s">
        <v>473</v>
      </c>
      <c r="B211" s="513">
        <f t="shared" ref="B211:AW211" si="56">$B$208+(3*$B$210)</f>
        <v>513.32491134751774</v>
      </c>
      <c r="C211" s="513">
        <f t="shared" si="56"/>
        <v>513.32491134751774</v>
      </c>
      <c r="D211" s="513">
        <f t="shared" si="56"/>
        <v>513.32491134751774</v>
      </c>
      <c r="E211" s="513">
        <f t="shared" si="56"/>
        <v>513.32491134751774</v>
      </c>
      <c r="F211" s="513">
        <f t="shared" si="56"/>
        <v>513.32491134751774</v>
      </c>
      <c r="G211" s="513">
        <f t="shared" si="56"/>
        <v>513.32491134751774</v>
      </c>
      <c r="H211" s="513">
        <f t="shared" si="56"/>
        <v>513.32491134751774</v>
      </c>
      <c r="I211" s="513">
        <f t="shared" si="56"/>
        <v>513.32491134751774</v>
      </c>
      <c r="J211" s="513">
        <f t="shared" si="56"/>
        <v>513.32491134751774</v>
      </c>
      <c r="K211" s="513">
        <f t="shared" si="56"/>
        <v>513.32491134751774</v>
      </c>
      <c r="L211" s="513">
        <f t="shared" si="56"/>
        <v>513.32491134751774</v>
      </c>
      <c r="M211" s="513">
        <f t="shared" si="56"/>
        <v>513.32491134751774</v>
      </c>
      <c r="N211" s="513">
        <f t="shared" si="56"/>
        <v>513.32491134751774</v>
      </c>
      <c r="O211" s="513">
        <f t="shared" si="56"/>
        <v>513.32491134751774</v>
      </c>
      <c r="P211" s="513">
        <f t="shared" si="56"/>
        <v>513.32491134751774</v>
      </c>
      <c r="Q211" s="513">
        <f t="shared" si="56"/>
        <v>513.32491134751774</v>
      </c>
      <c r="R211" s="513">
        <f t="shared" si="56"/>
        <v>513.32491134751774</v>
      </c>
      <c r="S211" s="513">
        <f t="shared" si="56"/>
        <v>513.32491134751774</v>
      </c>
      <c r="T211" s="513">
        <f t="shared" si="56"/>
        <v>513.32491134751774</v>
      </c>
      <c r="U211" s="513">
        <f t="shared" si="56"/>
        <v>513.32491134751774</v>
      </c>
      <c r="V211" s="513">
        <f t="shared" si="56"/>
        <v>513.32491134751774</v>
      </c>
      <c r="W211" s="513">
        <f t="shared" si="56"/>
        <v>513.32491134751774</v>
      </c>
      <c r="X211" s="513">
        <f t="shared" si="56"/>
        <v>513.32491134751774</v>
      </c>
      <c r="Y211" s="513">
        <f t="shared" si="56"/>
        <v>513.32491134751774</v>
      </c>
      <c r="Z211" s="513">
        <f t="shared" si="56"/>
        <v>513.32491134751774</v>
      </c>
      <c r="AA211" s="557">
        <f t="shared" si="56"/>
        <v>513.32491134751774</v>
      </c>
      <c r="AB211" s="513">
        <f t="shared" si="56"/>
        <v>513.32491134751774</v>
      </c>
      <c r="AC211" s="513">
        <f t="shared" si="56"/>
        <v>513.32491134751774</v>
      </c>
      <c r="AD211" s="513">
        <f t="shared" si="56"/>
        <v>513.32491134751774</v>
      </c>
      <c r="AE211" s="513">
        <f t="shared" si="56"/>
        <v>513.32491134751774</v>
      </c>
      <c r="AF211" s="513">
        <f t="shared" si="56"/>
        <v>513.32491134751774</v>
      </c>
      <c r="AG211" s="513">
        <f t="shared" si="56"/>
        <v>513.32491134751774</v>
      </c>
      <c r="AH211" s="513">
        <f t="shared" si="56"/>
        <v>513.32491134751774</v>
      </c>
      <c r="AI211" s="513">
        <f t="shared" si="56"/>
        <v>513.32491134751774</v>
      </c>
      <c r="AJ211" s="513">
        <f t="shared" si="56"/>
        <v>513.32491134751774</v>
      </c>
      <c r="AK211" s="513">
        <f t="shared" si="56"/>
        <v>513.32491134751774</v>
      </c>
      <c r="AL211" s="513">
        <f t="shared" si="56"/>
        <v>513.32491134751774</v>
      </c>
      <c r="AM211" s="513">
        <f t="shared" si="56"/>
        <v>513.32491134751774</v>
      </c>
      <c r="AN211" s="513">
        <f t="shared" si="56"/>
        <v>513.32491134751774</v>
      </c>
      <c r="AO211" s="513">
        <f t="shared" si="56"/>
        <v>513.32491134751774</v>
      </c>
      <c r="AP211" s="513">
        <f t="shared" si="56"/>
        <v>513.32491134751774</v>
      </c>
      <c r="AQ211" s="513">
        <f t="shared" si="56"/>
        <v>513.32491134751774</v>
      </c>
      <c r="AR211" s="513">
        <f t="shared" si="56"/>
        <v>513.32491134751774</v>
      </c>
      <c r="AS211" s="513">
        <f t="shared" si="56"/>
        <v>513.32491134751774</v>
      </c>
      <c r="AT211" s="513">
        <f t="shared" si="56"/>
        <v>513.32491134751774</v>
      </c>
      <c r="AU211" s="513">
        <f t="shared" si="56"/>
        <v>513.32491134751774</v>
      </c>
      <c r="AV211" s="513">
        <f t="shared" si="56"/>
        <v>513.32491134751774</v>
      </c>
      <c r="AW211" s="513">
        <f t="shared" si="56"/>
        <v>513.32491134751774</v>
      </c>
    </row>
    <row r="212" spans="1:49" s="449" customFormat="1" x14ac:dyDescent="0.2">
      <c r="A212" s="445" t="s">
        <v>475</v>
      </c>
      <c r="B212" s="513">
        <f t="shared" ref="B212:AW212" si="57">$B$208-(3*$B$210)</f>
        <v>210.1334219858156</v>
      </c>
      <c r="C212" s="513">
        <f t="shared" si="57"/>
        <v>210.1334219858156</v>
      </c>
      <c r="D212" s="513">
        <f t="shared" si="57"/>
        <v>210.1334219858156</v>
      </c>
      <c r="E212" s="513">
        <f t="shared" si="57"/>
        <v>210.1334219858156</v>
      </c>
      <c r="F212" s="513">
        <f t="shared" si="57"/>
        <v>210.1334219858156</v>
      </c>
      <c r="G212" s="513">
        <f t="shared" si="57"/>
        <v>210.1334219858156</v>
      </c>
      <c r="H212" s="513">
        <f t="shared" si="57"/>
        <v>210.1334219858156</v>
      </c>
      <c r="I212" s="513">
        <f t="shared" si="57"/>
        <v>210.1334219858156</v>
      </c>
      <c r="J212" s="513">
        <f t="shared" si="57"/>
        <v>210.1334219858156</v>
      </c>
      <c r="K212" s="513">
        <f t="shared" si="57"/>
        <v>210.1334219858156</v>
      </c>
      <c r="L212" s="513">
        <f t="shared" si="57"/>
        <v>210.1334219858156</v>
      </c>
      <c r="M212" s="513">
        <f t="shared" si="57"/>
        <v>210.1334219858156</v>
      </c>
      <c r="N212" s="513">
        <f t="shared" si="57"/>
        <v>210.1334219858156</v>
      </c>
      <c r="O212" s="513">
        <f t="shared" si="57"/>
        <v>210.1334219858156</v>
      </c>
      <c r="P212" s="513">
        <f t="shared" si="57"/>
        <v>210.1334219858156</v>
      </c>
      <c r="Q212" s="513">
        <f t="shared" si="57"/>
        <v>210.1334219858156</v>
      </c>
      <c r="R212" s="513">
        <f t="shared" si="57"/>
        <v>210.1334219858156</v>
      </c>
      <c r="S212" s="513">
        <f t="shared" si="57"/>
        <v>210.1334219858156</v>
      </c>
      <c r="T212" s="513">
        <f t="shared" si="57"/>
        <v>210.1334219858156</v>
      </c>
      <c r="U212" s="513">
        <f t="shared" si="57"/>
        <v>210.1334219858156</v>
      </c>
      <c r="V212" s="513">
        <f t="shared" si="57"/>
        <v>210.1334219858156</v>
      </c>
      <c r="W212" s="513">
        <f t="shared" si="57"/>
        <v>210.1334219858156</v>
      </c>
      <c r="X212" s="513">
        <f t="shared" si="57"/>
        <v>210.1334219858156</v>
      </c>
      <c r="Y212" s="513">
        <f t="shared" si="57"/>
        <v>210.1334219858156</v>
      </c>
      <c r="Z212" s="513">
        <f t="shared" si="57"/>
        <v>210.1334219858156</v>
      </c>
      <c r="AA212" s="557">
        <f t="shared" si="57"/>
        <v>210.1334219858156</v>
      </c>
      <c r="AB212" s="513">
        <f t="shared" si="57"/>
        <v>210.1334219858156</v>
      </c>
      <c r="AC212" s="513">
        <f t="shared" si="57"/>
        <v>210.1334219858156</v>
      </c>
      <c r="AD212" s="513">
        <f t="shared" si="57"/>
        <v>210.1334219858156</v>
      </c>
      <c r="AE212" s="513">
        <f t="shared" si="57"/>
        <v>210.1334219858156</v>
      </c>
      <c r="AF212" s="513">
        <f t="shared" si="57"/>
        <v>210.1334219858156</v>
      </c>
      <c r="AG212" s="513">
        <f t="shared" si="57"/>
        <v>210.1334219858156</v>
      </c>
      <c r="AH212" s="513">
        <f t="shared" si="57"/>
        <v>210.1334219858156</v>
      </c>
      <c r="AI212" s="513">
        <f t="shared" si="57"/>
        <v>210.1334219858156</v>
      </c>
      <c r="AJ212" s="513">
        <f t="shared" si="57"/>
        <v>210.1334219858156</v>
      </c>
      <c r="AK212" s="513">
        <f t="shared" si="57"/>
        <v>210.1334219858156</v>
      </c>
      <c r="AL212" s="513">
        <f t="shared" si="57"/>
        <v>210.1334219858156</v>
      </c>
      <c r="AM212" s="513">
        <f t="shared" si="57"/>
        <v>210.1334219858156</v>
      </c>
      <c r="AN212" s="513">
        <f t="shared" si="57"/>
        <v>210.1334219858156</v>
      </c>
      <c r="AO212" s="513">
        <f t="shared" si="57"/>
        <v>210.1334219858156</v>
      </c>
      <c r="AP212" s="513">
        <f t="shared" si="57"/>
        <v>210.1334219858156</v>
      </c>
      <c r="AQ212" s="513">
        <f t="shared" si="57"/>
        <v>210.1334219858156</v>
      </c>
      <c r="AR212" s="513">
        <f t="shared" si="57"/>
        <v>210.1334219858156</v>
      </c>
      <c r="AS212" s="513">
        <f t="shared" si="57"/>
        <v>210.1334219858156</v>
      </c>
      <c r="AT212" s="513">
        <f t="shared" si="57"/>
        <v>210.1334219858156</v>
      </c>
      <c r="AU212" s="513">
        <f t="shared" si="57"/>
        <v>210.1334219858156</v>
      </c>
      <c r="AV212" s="513">
        <f t="shared" si="57"/>
        <v>210.1334219858156</v>
      </c>
      <c r="AW212" s="513">
        <f t="shared" si="57"/>
        <v>210.1334219858156</v>
      </c>
    </row>
    <row r="213" spans="1:49" s="145" customFormat="1" ht="25.5" x14ac:dyDescent="0.2">
      <c r="A213" s="480" t="s">
        <v>489</v>
      </c>
      <c r="B213" s="190"/>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89"/>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row>
  </sheetData>
  <phoneticPr fontId="0" type="noConversion"/>
  <hyperlinks>
    <hyperlink ref="A1" location="Content!A1" display="Return to Contents"/>
  </hyperlinks>
  <pageMargins left="0.7" right="0.7" top="0.75" bottom="0.75" header="0.3" footer="0.3"/>
  <pageSetup paperSize="9" orientation="portrait" r:id="rId1"/>
  <ignoredErrors>
    <ignoredError sqref="L30 Y30 V3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AW9"/>
  <sheetViews>
    <sheetView workbookViewId="0">
      <pane xSplit="1" topLeftCell="B1" activePane="topRight" state="frozen"/>
      <selection pane="topRight"/>
    </sheetView>
  </sheetViews>
  <sheetFormatPr defaultColWidth="9.140625" defaultRowHeight="12.75" x14ac:dyDescent="0.2"/>
  <cols>
    <col min="1" max="1" width="18.85546875" style="107" bestFit="1" customWidth="1"/>
    <col min="2" max="16384" width="9.140625" style="107"/>
  </cols>
  <sheetData>
    <row r="1" spans="1:49" x14ac:dyDescent="0.2">
      <c r="A1" s="106" t="s">
        <v>345</v>
      </c>
    </row>
    <row r="2" spans="1:49" x14ac:dyDescent="0.2">
      <c r="A2" s="106"/>
    </row>
    <row r="3" spans="1:49" x14ac:dyDescent="0.2">
      <c r="A3" s="127" t="s">
        <v>710</v>
      </c>
      <c r="B3" s="129" t="str">
        <f>IF(HLOOKUP(MAX(B7:AW7),A7:AW9,3,0)&gt;HLOOKUP(MAX(B7:AW7),A7:AW9,2,0),"Better", "Worse")</f>
        <v>Worse</v>
      </c>
      <c r="C3" s="112" t="b">
        <f>IF(HLOOKUP(MAX(B7:AW7),A7:AW9,3,0)=HLOOKUP(MAX(B7:AW7),A7:AW9,2,0),"Equal")</f>
        <v>0</v>
      </c>
    </row>
    <row r="4" spans="1:49" x14ac:dyDescent="0.2">
      <c r="A4" s="127" t="s">
        <v>144</v>
      </c>
      <c r="B4" s="128">
        <f>MAX(B7:AW7)</f>
        <v>43040</v>
      </c>
    </row>
    <row r="5" spans="1:49" x14ac:dyDescent="0.2">
      <c r="A5" s="127" t="s">
        <v>206</v>
      </c>
      <c r="B5" s="128" t="s">
        <v>207</v>
      </c>
    </row>
    <row r="6" spans="1:49" x14ac:dyDescent="0.2">
      <c r="A6" s="124"/>
    </row>
    <row r="7" spans="1:49" x14ac:dyDescent="0.2">
      <c r="A7" s="130"/>
      <c r="B7" s="131">
        <v>42095</v>
      </c>
      <c r="C7" s="131">
        <v>42125</v>
      </c>
      <c r="D7" s="131">
        <v>42156</v>
      </c>
      <c r="E7" s="131">
        <v>42186</v>
      </c>
      <c r="F7" s="131">
        <v>42217</v>
      </c>
      <c r="G7" s="131">
        <v>42248</v>
      </c>
      <c r="H7" s="131">
        <v>42278</v>
      </c>
      <c r="I7" s="131">
        <v>42309</v>
      </c>
      <c r="J7" s="131">
        <v>42339</v>
      </c>
      <c r="K7" s="131">
        <v>42370</v>
      </c>
      <c r="L7" s="131">
        <v>42401</v>
      </c>
      <c r="M7" s="132">
        <v>42430</v>
      </c>
      <c r="N7" s="131">
        <v>42461</v>
      </c>
      <c r="O7" s="131">
        <v>42491</v>
      </c>
      <c r="P7" s="131">
        <v>42522</v>
      </c>
      <c r="Q7" s="131">
        <v>42552</v>
      </c>
      <c r="R7" s="131">
        <v>42583</v>
      </c>
      <c r="S7" s="131">
        <v>42614</v>
      </c>
      <c r="T7" s="131">
        <v>42644</v>
      </c>
      <c r="U7" s="131">
        <v>42675</v>
      </c>
      <c r="V7" s="131">
        <v>42705</v>
      </c>
      <c r="W7" s="131">
        <v>42736</v>
      </c>
      <c r="X7" s="131">
        <v>42767</v>
      </c>
      <c r="Y7" s="131">
        <v>42795</v>
      </c>
      <c r="Z7" s="131">
        <v>42826</v>
      </c>
      <c r="AA7" s="596">
        <v>42856</v>
      </c>
      <c r="AB7" s="596">
        <v>42887</v>
      </c>
      <c r="AC7" s="596">
        <v>42917</v>
      </c>
      <c r="AD7" s="596">
        <v>42948</v>
      </c>
      <c r="AE7" s="596">
        <v>42979</v>
      </c>
      <c r="AF7" s="596">
        <v>43009</v>
      </c>
      <c r="AG7" s="596">
        <v>43040</v>
      </c>
      <c r="AH7" s="131"/>
      <c r="AI7" s="131"/>
      <c r="AJ7" s="131"/>
      <c r="AK7" s="132"/>
      <c r="AL7" s="131"/>
      <c r="AM7" s="131"/>
      <c r="AN7" s="131"/>
      <c r="AO7" s="131"/>
      <c r="AP7" s="131"/>
      <c r="AQ7" s="131"/>
      <c r="AR7" s="131"/>
      <c r="AS7" s="131"/>
      <c r="AT7" s="131"/>
      <c r="AU7" s="131"/>
      <c r="AV7" s="131"/>
      <c r="AW7" s="133"/>
    </row>
    <row r="8" spans="1:49" x14ac:dyDescent="0.2">
      <c r="A8" s="134" t="s">
        <v>369</v>
      </c>
      <c r="B8" s="135">
        <v>0.92800000000000005</v>
      </c>
      <c r="C8" s="135">
        <v>0.93500000000000005</v>
      </c>
      <c r="D8" s="135">
        <v>0.94299999999999995</v>
      </c>
      <c r="E8" s="135">
        <v>0.95799999999999996</v>
      </c>
      <c r="F8" s="135">
        <v>0.95199999999999996</v>
      </c>
      <c r="G8" s="135">
        <v>0.95399999999999996</v>
      </c>
      <c r="H8" s="135">
        <v>0.94699999999999995</v>
      </c>
      <c r="I8" s="135">
        <v>0.94899999999999995</v>
      </c>
      <c r="J8" s="135">
        <v>0.94899999999999995</v>
      </c>
      <c r="K8" s="135">
        <v>0.91800000000000004</v>
      </c>
      <c r="L8" s="135">
        <v>0.92900000000000005</v>
      </c>
      <c r="M8" s="135">
        <v>0.93100000000000005</v>
      </c>
      <c r="N8" s="135">
        <v>0.95099999999999996</v>
      </c>
      <c r="O8" s="135">
        <v>0.94499999999999995</v>
      </c>
      <c r="P8" s="135">
        <v>0.95699999999999996</v>
      </c>
      <c r="Q8" s="135">
        <v>0.95799999999999996</v>
      </c>
      <c r="R8" s="135">
        <v>0.94799999999999995</v>
      </c>
      <c r="S8" s="135">
        <v>0.94899999999999995</v>
      </c>
      <c r="T8" s="135">
        <v>0.93899999999999995</v>
      </c>
      <c r="U8" s="135">
        <v>0.93600000000000005</v>
      </c>
      <c r="V8" s="135">
        <v>0.92600000000000005</v>
      </c>
      <c r="W8" s="135">
        <v>0.91900000000000004</v>
      </c>
      <c r="X8" s="135">
        <v>0.92500000000000004</v>
      </c>
      <c r="Y8" s="135">
        <v>0.93799999999999994</v>
      </c>
      <c r="Z8" s="135">
        <v>0.93400000000000005</v>
      </c>
      <c r="AA8" s="135">
        <v>0.94</v>
      </c>
      <c r="AB8" s="135">
        <v>0.95499999999999996</v>
      </c>
      <c r="AC8" s="135">
        <v>0.95699999999999996</v>
      </c>
      <c r="AD8" s="135">
        <v>0.95</v>
      </c>
      <c r="AE8" s="135" t="s">
        <v>738</v>
      </c>
      <c r="AF8" s="135">
        <v>0.94399999999999995</v>
      </c>
      <c r="AG8" s="135">
        <v>0.93300000000000005</v>
      </c>
      <c r="AH8" s="135"/>
      <c r="AI8" s="135"/>
      <c r="AJ8" s="135"/>
      <c r="AK8" s="135"/>
      <c r="AL8" s="135"/>
      <c r="AM8" s="135"/>
      <c r="AN8" s="135"/>
      <c r="AO8" s="135"/>
      <c r="AP8" s="135"/>
      <c r="AQ8" s="135"/>
      <c r="AR8" s="135"/>
      <c r="AS8" s="135"/>
      <c r="AT8" s="135"/>
      <c r="AU8" s="135"/>
      <c r="AV8" s="135"/>
      <c r="AW8" s="135"/>
    </row>
    <row r="9" spans="1:49" x14ac:dyDescent="0.2">
      <c r="A9" s="134" t="s">
        <v>370</v>
      </c>
      <c r="B9" s="135">
        <v>0.93600000000000005</v>
      </c>
      <c r="C9" s="135">
        <v>0.94099999999999995</v>
      </c>
      <c r="D9" s="135">
        <v>0.94699999999999995</v>
      </c>
      <c r="E9" s="135">
        <v>0.93899999999999995</v>
      </c>
      <c r="F9" s="135">
        <v>0.94499999999999995</v>
      </c>
      <c r="G9" s="135">
        <v>0.94</v>
      </c>
      <c r="H9" s="135">
        <v>0.94399999999999995</v>
      </c>
      <c r="I9" s="135">
        <v>0.93500000000000005</v>
      </c>
      <c r="J9" s="135">
        <v>0.92200000000000004</v>
      </c>
      <c r="K9" s="135">
        <v>0.88500000000000001</v>
      </c>
      <c r="L9" s="135">
        <v>0.88</v>
      </c>
      <c r="M9" s="135">
        <v>0.92100000000000004</v>
      </c>
      <c r="N9" s="135">
        <v>0.93500000000000005</v>
      </c>
      <c r="O9" s="135">
        <v>0.93400000000000005</v>
      </c>
      <c r="P9" s="135">
        <v>0.95499999999999996</v>
      </c>
      <c r="Q9" s="135">
        <v>0.97099999999999997</v>
      </c>
      <c r="R9" s="135">
        <v>0.94499999999999995</v>
      </c>
      <c r="S9" s="135">
        <v>0.93300000000000005</v>
      </c>
      <c r="T9" s="135">
        <v>0.93200000000000005</v>
      </c>
      <c r="U9" s="135">
        <v>0.94499999999999995</v>
      </c>
      <c r="V9" s="135">
        <v>0.92500000000000004</v>
      </c>
      <c r="W9" s="135">
        <v>0.92800000000000005</v>
      </c>
      <c r="X9" s="135">
        <v>0.93200000000000005</v>
      </c>
      <c r="Y9" s="135">
        <v>0.95699999999999996</v>
      </c>
      <c r="Z9" s="135">
        <v>0.95299999999999996</v>
      </c>
      <c r="AA9" s="135">
        <v>0.95099999999999996</v>
      </c>
      <c r="AB9" s="135">
        <v>0.95699999999999996</v>
      </c>
      <c r="AC9" s="135">
        <v>0.96099999999999997</v>
      </c>
      <c r="AD9" s="135">
        <v>0.95199999999999996</v>
      </c>
      <c r="AE9" s="135" t="s">
        <v>739</v>
      </c>
      <c r="AF9" s="135">
        <v>0.93799999999999994</v>
      </c>
      <c r="AG9" s="135">
        <v>0.89400000000000002</v>
      </c>
      <c r="AH9" s="135"/>
      <c r="AI9" s="135"/>
      <c r="AJ9" s="135"/>
      <c r="AK9" s="135"/>
      <c r="AL9" s="135"/>
      <c r="AM9" s="135"/>
      <c r="AN9" s="135"/>
      <c r="AO9" s="135"/>
      <c r="AP9" s="135"/>
      <c r="AQ9" s="135"/>
      <c r="AR9" s="135"/>
      <c r="AS9" s="135"/>
      <c r="AT9" s="135"/>
      <c r="AU9" s="135"/>
      <c r="AV9" s="135"/>
      <c r="AW9" s="135"/>
    </row>
  </sheetData>
  <phoneticPr fontId="0" type="noConversion"/>
  <hyperlinks>
    <hyperlink ref="A1" location="Content!A1" display="Return to Contents"/>
  </hyperlinks>
  <pageMargins left="0.7" right="0.7" top="0.75" bottom="0.75" header="0.3" footer="0.3"/>
  <pageSetup paperSize="9" orientation="portrait" r:id="rId1"/>
  <ignoredErrors>
    <ignoredError sqref="AE8:AE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W189"/>
  <sheetViews>
    <sheetView workbookViewId="0">
      <pane xSplit="1" topLeftCell="B1" activePane="topRight" state="frozen"/>
      <selection pane="topRight"/>
    </sheetView>
  </sheetViews>
  <sheetFormatPr defaultColWidth="9.140625" defaultRowHeight="12.75" x14ac:dyDescent="0.2"/>
  <cols>
    <col min="1" max="1" width="23.7109375" style="107" customWidth="1"/>
    <col min="2" max="2" width="9.140625" style="107" customWidth="1"/>
    <col min="3" max="16384" width="9.140625" style="107"/>
  </cols>
  <sheetData>
    <row r="1" spans="1:49" x14ac:dyDescent="0.2">
      <c r="A1" s="106" t="s">
        <v>345</v>
      </c>
      <c r="B1" s="186"/>
    </row>
    <row r="2" spans="1:49" x14ac:dyDescent="0.2">
      <c r="A2" s="106"/>
      <c r="B2" s="801"/>
    </row>
    <row r="3" spans="1:49" x14ac:dyDescent="0.2">
      <c r="A3" s="108" t="s">
        <v>436</v>
      </c>
      <c r="B3" s="107" t="s">
        <v>57</v>
      </c>
    </row>
    <row r="4" spans="1:49" x14ac:dyDescent="0.2">
      <c r="A4" s="108" t="s">
        <v>143</v>
      </c>
      <c r="B4" s="126">
        <f>HLOOKUP(MAX(B10:AW10),B10:AW17,2,0)</f>
        <v>0.75102599179206564</v>
      </c>
    </row>
    <row r="5" spans="1:49" x14ac:dyDescent="0.2">
      <c r="A5" s="108" t="s">
        <v>118</v>
      </c>
      <c r="B5" s="128">
        <f>MAX(B10:AW10)</f>
        <v>43070</v>
      </c>
    </row>
    <row r="6" spans="1:49" x14ac:dyDescent="0.2">
      <c r="A6" s="108" t="s">
        <v>195</v>
      </c>
      <c r="B6" s="409" t="s">
        <v>175</v>
      </c>
    </row>
    <row r="7" spans="1:49" x14ac:dyDescent="0.2">
      <c r="A7" s="108" t="s">
        <v>438</v>
      </c>
      <c r="B7" s="598" t="s">
        <v>743</v>
      </c>
    </row>
    <row r="8" spans="1:49" x14ac:dyDescent="0.2">
      <c r="A8" s="108"/>
      <c r="B8" s="112"/>
    </row>
    <row r="9" spans="1:49" x14ac:dyDescent="0.2">
      <c r="A9" s="297"/>
    </row>
    <row r="10" spans="1:49" x14ac:dyDescent="0.2">
      <c r="A10" s="113"/>
      <c r="B10" s="114">
        <v>42095</v>
      </c>
      <c r="C10" s="114">
        <v>42125</v>
      </c>
      <c r="D10" s="114">
        <v>42156</v>
      </c>
      <c r="E10" s="114">
        <v>42186</v>
      </c>
      <c r="F10" s="114">
        <v>42217</v>
      </c>
      <c r="G10" s="114">
        <v>42248</v>
      </c>
      <c r="H10" s="114">
        <v>42278</v>
      </c>
      <c r="I10" s="114">
        <v>42309</v>
      </c>
      <c r="J10" s="114">
        <v>42339</v>
      </c>
      <c r="K10" s="114">
        <v>42370</v>
      </c>
      <c r="L10" s="114">
        <v>42401</v>
      </c>
      <c r="M10" s="114">
        <v>42430</v>
      </c>
      <c r="N10" s="114">
        <v>42461</v>
      </c>
      <c r="O10" s="114">
        <v>42491</v>
      </c>
      <c r="P10" s="114">
        <v>42522</v>
      </c>
      <c r="Q10" s="114">
        <v>42552</v>
      </c>
      <c r="R10" s="114">
        <v>42583</v>
      </c>
      <c r="S10" s="114">
        <v>42614</v>
      </c>
      <c r="T10" s="114">
        <v>42644</v>
      </c>
      <c r="U10" s="114">
        <v>42675</v>
      </c>
      <c r="V10" s="114">
        <v>42705</v>
      </c>
      <c r="W10" s="114">
        <v>42736</v>
      </c>
      <c r="X10" s="114">
        <v>42767</v>
      </c>
      <c r="Y10" s="114">
        <v>42795</v>
      </c>
      <c r="Z10" s="114">
        <v>42826</v>
      </c>
      <c r="AA10" s="114">
        <v>42856</v>
      </c>
      <c r="AB10" s="114">
        <v>42887</v>
      </c>
      <c r="AC10" s="114">
        <v>42917</v>
      </c>
      <c r="AD10" s="114">
        <v>42948</v>
      </c>
      <c r="AE10" s="114">
        <v>42979</v>
      </c>
      <c r="AF10" s="114">
        <v>43009</v>
      </c>
      <c r="AG10" s="114">
        <v>43040</v>
      </c>
      <c r="AH10" s="114">
        <v>43070</v>
      </c>
      <c r="AI10" s="114"/>
      <c r="AJ10" s="114"/>
      <c r="AK10" s="114"/>
      <c r="AL10" s="114"/>
      <c r="AM10" s="114"/>
      <c r="AN10" s="114"/>
      <c r="AO10" s="114"/>
      <c r="AP10" s="114"/>
      <c r="AQ10" s="114"/>
      <c r="AR10" s="114"/>
      <c r="AS10" s="114"/>
      <c r="AT10" s="114"/>
      <c r="AU10" s="114"/>
      <c r="AV10" s="114"/>
      <c r="AW10" s="114"/>
    </row>
    <row r="11" spans="1:49" s="127" customFormat="1" ht="25.5" x14ac:dyDescent="0.2">
      <c r="A11" s="115" t="s">
        <v>0</v>
      </c>
      <c r="B11" s="116">
        <f>B24</f>
        <v>0.39408866995073893</v>
      </c>
      <c r="C11" s="116">
        <f t="shared" ref="C11:AW11" si="0">C24</f>
        <v>0.43979057591623039</v>
      </c>
      <c r="D11" s="116">
        <f t="shared" si="0"/>
        <v>0.3951048951048951</v>
      </c>
      <c r="E11" s="116">
        <f t="shared" si="0"/>
        <v>0.45</v>
      </c>
      <c r="F11" s="116">
        <f t="shared" si="0"/>
        <v>0.45864661654135336</v>
      </c>
      <c r="G11" s="116">
        <f t="shared" si="0"/>
        <v>0.47435897435897434</v>
      </c>
      <c r="H11" s="116">
        <f t="shared" si="0"/>
        <v>0.67622259696458686</v>
      </c>
      <c r="I11" s="116">
        <f t="shared" si="0"/>
        <v>0.69260700389105057</v>
      </c>
      <c r="J11" s="116">
        <f t="shared" si="0"/>
        <v>0.7303370786516854</v>
      </c>
      <c r="K11" s="116">
        <f t="shared" si="0"/>
        <v>0.66223908918406071</v>
      </c>
      <c r="L11" s="116">
        <f t="shared" si="0"/>
        <v>0.70485436893203879</v>
      </c>
      <c r="M11" s="116">
        <f t="shared" si="0"/>
        <v>0.72025052192066807</v>
      </c>
      <c r="N11" s="116">
        <f t="shared" si="0"/>
        <v>0.71824480369515009</v>
      </c>
      <c r="O11" s="116">
        <f t="shared" si="0"/>
        <v>0.69021739130434778</v>
      </c>
      <c r="P11" s="116">
        <f t="shared" si="0"/>
        <v>0.68080808080808086</v>
      </c>
      <c r="Q11" s="116">
        <f t="shared" si="0"/>
        <v>0.71855010660980811</v>
      </c>
      <c r="R11" s="116">
        <f t="shared" si="0"/>
        <v>0.72310405643738973</v>
      </c>
      <c r="S11" s="116">
        <f t="shared" si="0"/>
        <v>0.7551789077212806</v>
      </c>
      <c r="T11" s="116">
        <f t="shared" si="0"/>
        <v>0.60258780036968573</v>
      </c>
      <c r="U11" s="116">
        <f t="shared" si="0"/>
        <v>0.61049284578696339</v>
      </c>
      <c r="V11" s="116">
        <f t="shared" si="0"/>
        <v>0.73130841121495327</v>
      </c>
      <c r="W11" s="116">
        <f t="shared" si="0"/>
        <v>0.65232358003442337</v>
      </c>
      <c r="X11" s="116">
        <f t="shared" si="0"/>
        <v>0.66085271317829453</v>
      </c>
      <c r="Y11" s="116">
        <f t="shared" si="0"/>
        <v>0.68561278863232678</v>
      </c>
      <c r="Z11" s="116">
        <f t="shared" si="0"/>
        <v>0.59958932238193019</v>
      </c>
      <c r="AA11" s="116">
        <f t="shared" si="0"/>
        <v>0.64516129032258063</v>
      </c>
      <c r="AB11" s="116">
        <f t="shared" si="0"/>
        <v>0.67519181585677746</v>
      </c>
      <c r="AC11" s="116">
        <f t="shared" si="0"/>
        <v>0.66825396825396821</v>
      </c>
      <c r="AD11" s="116">
        <f t="shared" si="0"/>
        <v>0.60949464012251153</v>
      </c>
      <c r="AE11" s="116">
        <f t="shared" si="0"/>
        <v>0.58714043993231813</v>
      </c>
      <c r="AF11" s="116">
        <f t="shared" si="0"/>
        <v>0.70194384449244063</v>
      </c>
      <c r="AG11" s="116">
        <f t="shared" si="0"/>
        <v>0.71148459383753504</v>
      </c>
      <c r="AH11" s="116">
        <f t="shared" si="0"/>
        <v>0.75102599179206564</v>
      </c>
      <c r="AI11" s="116" t="e">
        <f t="shared" si="0"/>
        <v>#DIV/0!</v>
      </c>
      <c r="AJ11" s="116" t="e">
        <f t="shared" si="0"/>
        <v>#DIV/0!</v>
      </c>
      <c r="AK11" s="116" t="e">
        <f t="shared" si="0"/>
        <v>#DIV/0!</v>
      </c>
      <c r="AL11" s="116" t="e">
        <f t="shared" si="0"/>
        <v>#DIV/0!</v>
      </c>
      <c r="AM11" s="116" t="e">
        <f t="shared" si="0"/>
        <v>#DIV/0!</v>
      </c>
      <c r="AN11" s="116" t="e">
        <f t="shared" si="0"/>
        <v>#DIV/0!</v>
      </c>
      <c r="AO11" s="116" t="e">
        <f t="shared" si="0"/>
        <v>#DIV/0!</v>
      </c>
      <c r="AP11" s="116" t="e">
        <f t="shared" si="0"/>
        <v>#DIV/0!</v>
      </c>
      <c r="AQ11" s="116" t="e">
        <f t="shared" si="0"/>
        <v>#DIV/0!</v>
      </c>
      <c r="AR11" s="116" t="e">
        <f t="shared" si="0"/>
        <v>#DIV/0!</v>
      </c>
      <c r="AS11" s="116" t="e">
        <f t="shared" si="0"/>
        <v>#DIV/0!</v>
      </c>
      <c r="AT11" s="116" t="e">
        <f t="shared" si="0"/>
        <v>#DIV/0!</v>
      </c>
      <c r="AU11" s="116" t="e">
        <f t="shared" si="0"/>
        <v>#DIV/0!</v>
      </c>
      <c r="AV11" s="116" t="e">
        <f t="shared" si="0"/>
        <v>#DIV/0!</v>
      </c>
      <c r="AW11" s="116" t="e">
        <f t="shared" si="0"/>
        <v>#DIV/0!</v>
      </c>
    </row>
    <row r="12" spans="1:49" x14ac:dyDescent="0.2">
      <c r="A12" s="117" t="s">
        <v>130</v>
      </c>
      <c r="B12" s="118"/>
      <c r="C12" s="118"/>
      <c r="D12" s="118"/>
      <c r="E12" s="118"/>
      <c r="F12" s="118"/>
      <c r="G12" s="118"/>
      <c r="H12" s="118">
        <f>MEDIAN($H$11:$M$11)</f>
        <v>0.69873068641154468</v>
      </c>
      <c r="I12" s="118">
        <f t="shared" ref="I12:V13" si="1">MEDIAN($H$11:$M$11)</f>
        <v>0.69873068641154468</v>
      </c>
      <c r="J12" s="118">
        <f t="shared" si="1"/>
        <v>0.69873068641154468</v>
      </c>
      <c r="K12" s="118">
        <f t="shared" si="1"/>
        <v>0.69873068641154468</v>
      </c>
      <c r="L12" s="118">
        <f t="shared" si="1"/>
        <v>0.69873068641154468</v>
      </c>
      <c r="M12" s="118">
        <f t="shared" si="1"/>
        <v>0.69873068641154468</v>
      </c>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49" x14ac:dyDescent="0.2">
      <c r="A13" s="117" t="s">
        <v>131</v>
      </c>
      <c r="B13" s="118"/>
      <c r="C13" s="118"/>
      <c r="D13" s="118"/>
      <c r="E13" s="118"/>
      <c r="F13" s="118"/>
      <c r="G13" s="118"/>
      <c r="H13" s="118"/>
      <c r="I13" s="118"/>
      <c r="J13" s="118"/>
      <c r="K13" s="118"/>
      <c r="L13" s="118"/>
      <c r="M13" s="118">
        <f t="shared" si="1"/>
        <v>0.69873068641154468</v>
      </c>
      <c r="N13" s="118">
        <f t="shared" si="1"/>
        <v>0.69873068641154468</v>
      </c>
      <c r="O13" s="118">
        <f t="shared" si="1"/>
        <v>0.69873068641154468</v>
      </c>
      <c r="P13" s="118">
        <f t="shared" si="1"/>
        <v>0.69873068641154468</v>
      </c>
      <c r="Q13" s="118">
        <f t="shared" si="1"/>
        <v>0.69873068641154468</v>
      </c>
      <c r="R13" s="118">
        <f t="shared" si="1"/>
        <v>0.69873068641154468</v>
      </c>
      <c r="S13" s="118">
        <f t="shared" si="1"/>
        <v>0.69873068641154468</v>
      </c>
      <c r="T13" s="118">
        <f t="shared" si="1"/>
        <v>0.69873068641154468</v>
      </c>
      <c r="U13" s="118">
        <f t="shared" si="1"/>
        <v>0.69873068641154468</v>
      </c>
      <c r="V13" s="118">
        <f t="shared" si="1"/>
        <v>0.69873068641154468</v>
      </c>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row>
    <row r="14" spans="1:49" x14ac:dyDescent="0.2">
      <c r="A14" s="117" t="s">
        <v>303</v>
      </c>
      <c r="B14" s="118"/>
      <c r="C14" s="118"/>
      <c r="D14" s="118"/>
      <c r="E14" s="118"/>
      <c r="F14" s="118"/>
      <c r="G14" s="118"/>
      <c r="H14" s="118"/>
      <c r="I14" s="118"/>
      <c r="J14" s="118"/>
      <c r="K14" s="118"/>
      <c r="L14" s="118"/>
      <c r="M14" s="118"/>
      <c r="N14" s="118"/>
      <c r="O14" s="118"/>
      <c r="P14" s="118"/>
      <c r="Q14" s="118"/>
      <c r="R14" s="118"/>
      <c r="S14" s="118"/>
      <c r="T14" s="118"/>
      <c r="U14" s="118"/>
      <c r="V14" s="118"/>
      <c r="W14" s="118">
        <f>MEDIAN($W$11:$AB$11)</f>
        <v>0.656588146606359</v>
      </c>
      <c r="X14" s="118">
        <f t="shared" ref="X14:AE15" si="2">MEDIAN($W$11:$AB$11)</f>
        <v>0.656588146606359</v>
      </c>
      <c r="Y14" s="118">
        <f t="shared" si="2"/>
        <v>0.656588146606359</v>
      </c>
      <c r="Z14" s="118">
        <f t="shared" si="2"/>
        <v>0.656588146606359</v>
      </c>
      <c r="AA14" s="118">
        <f t="shared" si="2"/>
        <v>0.656588146606359</v>
      </c>
      <c r="AB14" s="118">
        <f t="shared" si="2"/>
        <v>0.656588146606359</v>
      </c>
      <c r="AC14" s="118"/>
      <c r="AD14" s="118"/>
      <c r="AE14" s="118"/>
      <c r="AF14" s="118"/>
      <c r="AG14" s="118"/>
      <c r="AH14" s="118"/>
      <c r="AI14" s="118"/>
      <c r="AJ14" s="118"/>
      <c r="AK14" s="118"/>
      <c r="AL14" s="118"/>
      <c r="AM14" s="118"/>
      <c r="AN14" s="118"/>
      <c r="AO14" s="118"/>
      <c r="AP14" s="118"/>
      <c r="AQ14" s="118"/>
      <c r="AR14" s="118"/>
      <c r="AS14" s="118"/>
      <c r="AT14" s="118"/>
      <c r="AU14" s="118"/>
      <c r="AV14" s="118"/>
      <c r="AW14" s="118"/>
    </row>
    <row r="15" spans="1:49" x14ac:dyDescent="0.2">
      <c r="A15" s="117" t="s">
        <v>304</v>
      </c>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f t="shared" si="2"/>
        <v>0.656588146606359</v>
      </c>
      <c r="AC15" s="118">
        <f t="shared" si="2"/>
        <v>0.656588146606359</v>
      </c>
      <c r="AD15" s="118">
        <f t="shared" si="2"/>
        <v>0.656588146606359</v>
      </c>
      <c r="AE15" s="118">
        <f t="shared" si="2"/>
        <v>0.656588146606359</v>
      </c>
      <c r="AF15" s="118">
        <f>MEDIAN($W$11:$AB$11)</f>
        <v>0.656588146606359</v>
      </c>
      <c r="AG15" s="118">
        <f>MEDIAN($W$11:$AB$11)</f>
        <v>0.656588146606359</v>
      </c>
      <c r="AH15" s="118">
        <f t="shared" ref="AH15:AW15" si="3">MEDIAN($W$11:$AB$11)</f>
        <v>0.656588146606359</v>
      </c>
      <c r="AI15" s="118">
        <f t="shared" si="3"/>
        <v>0.656588146606359</v>
      </c>
      <c r="AJ15" s="118">
        <f t="shared" si="3"/>
        <v>0.656588146606359</v>
      </c>
      <c r="AK15" s="118">
        <f t="shared" si="3"/>
        <v>0.656588146606359</v>
      </c>
      <c r="AL15" s="118">
        <f t="shared" si="3"/>
        <v>0.656588146606359</v>
      </c>
      <c r="AM15" s="118">
        <f t="shared" si="3"/>
        <v>0.656588146606359</v>
      </c>
      <c r="AN15" s="118">
        <f t="shared" si="3"/>
        <v>0.656588146606359</v>
      </c>
      <c r="AO15" s="118">
        <f t="shared" si="3"/>
        <v>0.656588146606359</v>
      </c>
      <c r="AP15" s="118">
        <f t="shared" si="3"/>
        <v>0.656588146606359</v>
      </c>
      <c r="AQ15" s="118">
        <f t="shared" si="3"/>
        <v>0.656588146606359</v>
      </c>
      <c r="AR15" s="118">
        <f t="shared" si="3"/>
        <v>0.656588146606359</v>
      </c>
      <c r="AS15" s="118">
        <f t="shared" si="3"/>
        <v>0.656588146606359</v>
      </c>
      <c r="AT15" s="118">
        <f t="shared" si="3"/>
        <v>0.656588146606359</v>
      </c>
      <c r="AU15" s="118">
        <f t="shared" si="3"/>
        <v>0.656588146606359</v>
      </c>
      <c r="AV15" s="118">
        <f t="shared" si="3"/>
        <v>0.656588146606359</v>
      </c>
      <c r="AW15" s="118">
        <f t="shared" si="3"/>
        <v>0.656588146606359</v>
      </c>
    </row>
    <row r="16" spans="1:49" ht="25.5" x14ac:dyDescent="0.2">
      <c r="A16" s="117" t="s">
        <v>21</v>
      </c>
      <c r="B16" s="119">
        <f>B28</f>
        <v>3190</v>
      </c>
      <c r="C16" s="119">
        <f t="shared" ref="C16:AW16" si="4">C28</f>
        <v>3341</v>
      </c>
      <c r="D16" s="119">
        <f t="shared" si="4"/>
        <v>3261</v>
      </c>
      <c r="E16" s="119">
        <f t="shared" si="4"/>
        <v>3219</v>
      </c>
      <c r="F16" s="119">
        <f t="shared" si="4"/>
        <v>3150</v>
      </c>
      <c r="G16" s="119">
        <f t="shared" si="4"/>
        <v>3015</v>
      </c>
      <c r="H16" s="119">
        <f t="shared" si="4"/>
        <v>3457</v>
      </c>
      <c r="I16" s="119">
        <f t="shared" si="4"/>
        <v>3540</v>
      </c>
      <c r="J16" s="119">
        <f t="shared" si="4"/>
        <v>3697</v>
      </c>
      <c r="K16" s="119">
        <f t="shared" si="4"/>
        <v>3426</v>
      </c>
      <c r="L16" s="119">
        <f t="shared" si="4"/>
        <v>3480</v>
      </c>
      <c r="M16" s="119">
        <f t="shared" si="4"/>
        <v>3548</v>
      </c>
      <c r="N16" s="119">
        <f t="shared" si="4"/>
        <v>3707</v>
      </c>
      <c r="O16" s="119">
        <f t="shared" si="4"/>
        <v>3700</v>
      </c>
      <c r="P16" s="119">
        <f t="shared" si="4"/>
        <v>3791</v>
      </c>
      <c r="Q16" s="119">
        <f t="shared" si="4"/>
        <v>3878</v>
      </c>
      <c r="R16" s="119">
        <f t="shared" si="4"/>
        <v>3870</v>
      </c>
      <c r="S16" s="119">
        <f t="shared" si="4"/>
        <v>3939</v>
      </c>
      <c r="T16" s="119">
        <f t="shared" si="4"/>
        <v>4063</v>
      </c>
      <c r="U16" s="119">
        <f t="shared" si="4"/>
        <v>4056</v>
      </c>
      <c r="V16" s="119">
        <f t="shared" si="4"/>
        <v>4154</v>
      </c>
      <c r="W16" s="119">
        <f t="shared" si="4"/>
        <v>4137</v>
      </c>
      <c r="X16" s="119">
        <f t="shared" si="4"/>
        <v>4341</v>
      </c>
      <c r="Y16" s="119">
        <f t="shared" si="4"/>
        <v>4455</v>
      </c>
      <c r="Z16" s="119">
        <f t="shared" si="4"/>
        <v>4416</v>
      </c>
      <c r="AA16" s="119">
        <f t="shared" si="4"/>
        <v>4527</v>
      </c>
      <c r="AB16" s="119">
        <f t="shared" si="4"/>
        <v>4653</v>
      </c>
      <c r="AC16" s="119">
        <f t="shared" si="4"/>
        <v>4913</v>
      </c>
      <c r="AD16" s="119">
        <f t="shared" si="4"/>
        <v>5174</v>
      </c>
      <c r="AE16" s="119">
        <f t="shared" si="4"/>
        <v>5327</v>
      </c>
      <c r="AF16" s="119">
        <f t="shared" si="4"/>
        <v>5135</v>
      </c>
      <c r="AG16" s="119">
        <f t="shared" si="4"/>
        <v>5043</v>
      </c>
      <c r="AH16" s="119">
        <f t="shared" si="4"/>
        <v>4721</v>
      </c>
      <c r="AI16" s="119">
        <f t="shared" si="4"/>
        <v>0</v>
      </c>
      <c r="AJ16" s="119">
        <f t="shared" si="4"/>
        <v>0</v>
      </c>
      <c r="AK16" s="119">
        <f t="shared" si="4"/>
        <v>0</v>
      </c>
      <c r="AL16" s="119">
        <f t="shared" si="4"/>
        <v>0</v>
      </c>
      <c r="AM16" s="119">
        <f t="shared" si="4"/>
        <v>0</v>
      </c>
      <c r="AN16" s="119">
        <f t="shared" si="4"/>
        <v>0</v>
      </c>
      <c r="AO16" s="119">
        <f t="shared" si="4"/>
        <v>0</v>
      </c>
      <c r="AP16" s="119">
        <f t="shared" si="4"/>
        <v>0</v>
      </c>
      <c r="AQ16" s="119">
        <f t="shared" si="4"/>
        <v>0</v>
      </c>
      <c r="AR16" s="119">
        <f t="shared" si="4"/>
        <v>0</v>
      </c>
      <c r="AS16" s="119">
        <f t="shared" si="4"/>
        <v>0</v>
      </c>
      <c r="AT16" s="119">
        <f t="shared" si="4"/>
        <v>0</v>
      </c>
      <c r="AU16" s="119">
        <f t="shared" si="4"/>
        <v>0</v>
      </c>
      <c r="AV16" s="119">
        <f t="shared" si="4"/>
        <v>0</v>
      </c>
      <c r="AW16" s="119">
        <f t="shared" si="4"/>
        <v>0</v>
      </c>
    </row>
    <row r="17" spans="1:49" ht="25.5" x14ac:dyDescent="0.2">
      <c r="A17" s="117" t="s">
        <v>22</v>
      </c>
      <c r="B17" s="119">
        <f>B30</f>
        <v>1254</v>
      </c>
      <c r="C17" s="119">
        <f t="shared" ref="C17:AW17" si="5">C30</f>
        <v>1257</v>
      </c>
      <c r="D17" s="119">
        <f t="shared" si="5"/>
        <v>1173</v>
      </c>
      <c r="E17" s="119">
        <f t="shared" si="5"/>
        <v>1146</v>
      </c>
      <c r="F17" s="119">
        <f t="shared" si="5"/>
        <v>1108</v>
      </c>
      <c r="G17" s="119">
        <f t="shared" si="5"/>
        <v>1085</v>
      </c>
      <c r="H17" s="119">
        <f t="shared" si="5"/>
        <v>1069</v>
      </c>
      <c r="I17" s="119">
        <f t="shared" si="5"/>
        <v>985</v>
      </c>
      <c r="J17" s="119">
        <f t="shared" si="5"/>
        <v>1041</v>
      </c>
      <c r="K17" s="119">
        <f t="shared" si="5"/>
        <v>902</v>
      </c>
      <c r="L17" s="119">
        <f t="shared" si="5"/>
        <v>892</v>
      </c>
      <c r="M17" s="119">
        <f t="shared" si="5"/>
        <v>1013</v>
      </c>
      <c r="N17" s="119">
        <f t="shared" si="5"/>
        <v>1073</v>
      </c>
      <c r="O17" s="119">
        <f t="shared" si="5"/>
        <v>1075</v>
      </c>
      <c r="P17" s="119">
        <f t="shared" si="5"/>
        <v>1183</v>
      </c>
      <c r="Q17" s="119">
        <f t="shared" si="5"/>
        <v>1292</v>
      </c>
      <c r="R17" s="119">
        <f t="shared" si="5"/>
        <v>1309</v>
      </c>
      <c r="S17" s="119">
        <f t="shared" si="5"/>
        <v>1363</v>
      </c>
      <c r="T17" s="119">
        <f t="shared" si="5"/>
        <v>1337</v>
      </c>
      <c r="U17" s="119">
        <f t="shared" si="5"/>
        <v>1240</v>
      </c>
      <c r="V17" s="119">
        <f t="shared" si="5"/>
        <v>1337</v>
      </c>
      <c r="W17" s="119">
        <f t="shared" si="5"/>
        <v>1338</v>
      </c>
      <c r="X17" s="119">
        <f t="shared" si="5"/>
        <v>1318</v>
      </c>
      <c r="Y17" s="119">
        <f t="shared" si="5"/>
        <v>1354</v>
      </c>
      <c r="Z17" s="119">
        <f t="shared" si="5"/>
        <v>1416</v>
      </c>
      <c r="AA17" s="119">
        <f t="shared" si="5"/>
        <v>1344</v>
      </c>
      <c r="AB17" s="119">
        <f t="shared" si="5"/>
        <v>1418</v>
      </c>
      <c r="AC17" s="119">
        <f t="shared" si="5"/>
        <v>1542</v>
      </c>
      <c r="AD17" s="119">
        <f t="shared" si="5"/>
        <v>1576</v>
      </c>
      <c r="AE17" s="119">
        <f t="shared" si="5"/>
        <v>1569</v>
      </c>
      <c r="AF17" s="119">
        <f t="shared" si="5"/>
        <v>1632</v>
      </c>
      <c r="AG17" s="119">
        <f t="shared" si="5"/>
        <v>1625</v>
      </c>
      <c r="AH17" s="119">
        <f t="shared" si="5"/>
        <v>1660</v>
      </c>
      <c r="AI17" s="119">
        <f t="shared" si="5"/>
        <v>0</v>
      </c>
      <c r="AJ17" s="119">
        <f t="shared" si="5"/>
        <v>0</v>
      </c>
      <c r="AK17" s="119">
        <f t="shared" si="5"/>
        <v>0</v>
      </c>
      <c r="AL17" s="119">
        <f t="shared" si="5"/>
        <v>0</v>
      </c>
      <c r="AM17" s="119">
        <f t="shared" si="5"/>
        <v>0</v>
      </c>
      <c r="AN17" s="119">
        <f t="shared" si="5"/>
        <v>0</v>
      </c>
      <c r="AO17" s="119">
        <f t="shared" si="5"/>
        <v>0</v>
      </c>
      <c r="AP17" s="119">
        <f t="shared" si="5"/>
        <v>0</v>
      </c>
      <c r="AQ17" s="119">
        <f t="shared" si="5"/>
        <v>0</v>
      </c>
      <c r="AR17" s="119">
        <f t="shared" si="5"/>
        <v>0</v>
      </c>
      <c r="AS17" s="119">
        <f t="shared" si="5"/>
        <v>0</v>
      </c>
      <c r="AT17" s="119">
        <f t="shared" si="5"/>
        <v>0</v>
      </c>
      <c r="AU17" s="119">
        <f t="shared" si="5"/>
        <v>0</v>
      </c>
      <c r="AV17" s="119">
        <f t="shared" si="5"/>
        <v>0</v>
      </c>
      <c r="AW17" s="119">
        <f t="shared" si="5"/>
        <v>0</v>
      </c>
    </row>
    <row r="18" spans="1:49" x14ac:dyDescent="0.2">
      <c r="A18" s="298" t="s">
        <v>317</v>
      </c>
      <c r="B18" s="247">
        <v>0.9</v>
      </c>
      <c r="C18" s="247">
        <v>0.9</v>
      </c>
      <c r="D18" s="247">
        <v>0.9</v>
      </c>
      <c r="E18" s="247">
        <v>0.9</v>
      </c>
      <c r="F18" s="247">
        <v>0.9</v>
      </c>
      <c r="G18" s="247">
        <v>0.9</v>
      </c>
      <c r="H18" s="247">
        <v>0.9</v>
      </c>
      <c r="I18" s="247">
        <v>0.9</v>
      </c>
      <c r="J18" s="247">
        <v>0.9</v>
      </c>
      <c r="K18" s="247">
        <v>0.9</v>
      </c>
      <c r="L18" s="247">
        <v>0.9</v>
      </c>
      <c r="M18" s="247">
        <v>0.9</v>
      </c>
      <c r="N18" s="247">
        <v>0.9</v>
      </c>
      <c r="O18" s="247">
        <v>0.9</v>
      </c>
      <c r="P18" s="247">
        <v>0.9</v>
      </c>
      <c r="Q18" s="247">
        <v>0.9</v>
      </c>
      <c r="R18" s="247">
        <v>0.9</v>
      </c>
      <c r="S18" s="247">
        <v>0.9</v>
      </c>
      <c r="T18" s="247">
        <v>0.9</v>
      </c>
      <c r="U18" s="247">
        <v>0.9</v>
      </c>
      <c r="V18" s="247">
        <v>0.9</v>
      </c>
      <c r="W18" s="247">
        <v>0.9</v>
      </c>
      <c r="X18" s="247">
        <v>0.9</v>
      </c>
      <c r="Y18" s="247">
        <v>0.9</v>
      </c>
      <c r="Z18" s="247">
        <v>0.9</v>
      </c>
      <c r="AA18" s="247">
        <v>0.9</v>
      </c>
      <c r="AB18" s="247">
        <v>0.9</v>
      </c>
      <c r="AC18" s="247">
        <v>0.9</v>
      </c>
      <c r="AD18" s="247">
        <v>0.9</v>
      </c>
      <c r="AE18" s="247">
        <v>0.9</v>
      </c>
      <c r="AF18" s="247">
        <v>0.9</v>
      </c>
      <c r="AG18" s="247">
        <v>0.9</v>
      </c>
      <c r="AH18" s="247">
        <v>0.9</v>
      </c>
      <c r="AI18" s="247">
        <v>0.9</v>
      </c>
      <c r="AJ18" s="247">
        <v>0.9</v>
      </c>
      <c r="AK18" s="247">
        <v>0.9</v>
      </c>
      <c r="AL18" s="247">
        <v>0.9</v>
      </c>
      <c r="AM18" s="247">
        <v>0.9</v>
      </c>
      <c r="AN18" s="247">
        <v>0.9</v>
      </c>
      <c r="AO18" s="247">
        <v>0.9</v>
      </c>
      <c r="AP18" s="247">
        <v>0.9</v>
      </c>
      <c r="AQ18" s="247">
        <v>0.9</v>
      </c>
      <c r="AR18" s="247">
        <v>0.9</v>
      </c>
      <c r="AS18" s="247">
        <v>0.9</v>
      </c>
      <c r="AT18" s="247">
        <v>0.9</v>
      </c>
      <c r="AU18" s="247">
        <v>0.9</v>
      </c>
      <c r="AV18" s="247">
        <v>0.9</v>
      </c>
      <c r="AW18" s="247">
        <v>0.9</v>
      </c>
    </row>
    <row r="19" spans="1:49" x14ac:dyDescent="0.2">
      <c r="A19" s="293"/>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row>
    <row r="20" spans="1:49" x14ac:dyDescent="0.2">
      <c r="A20" s="102" t="s">
        <v>346</v>
      </c>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row>
    <row r="21" spans="1:49" x14ac:dyDescent="0.2">
      <c r="A21" s="113" t="s">
        <v>442</v>
      </c>
      <c r="B21" s="119">
        <v>203</v>
      </c>
      <c r="C21" s="119">
        <v>191</v>
      </c>
      <c r="D21" s="119">
        <v>286</v>
      </c>
      <c r="E21" s="119">
        <v>280</v>
      </c>
      <c r="F21" s="119">
        <v>266</v>
      </c>
      <c r="G21" s="119">
        <v>312</v>
      </c>
      <c r="H21" s="119">
        <v>593</v>
      </c>
      <c r="I21" s="119">
        <v>514</v>
      </c>
      <c r="J21" s="119">
        <v>356</v>
      </c>
      <c r="K21" s="119">
        <v>527</v>
      </c>
      <c r="L21" s="119">
        <v>515</v>
      </c>
      <c r="M21" s="119">
        <v>479</v>
      </c>
      <c r="N21" s="119">
        <v>433</v>
      </c>
      <c r="O21" s="119">
        <v>552</v>
      </c>
      <c r="P21" s="119">
        <v>495</v>
      </c>
      <c r="Q21" s="119">
        <v>469</v>
      </c>
      <c r="R21" s="119">
        <v>567</v>
      </c>
      <c r="S21" s="119">
        <v>531</v>
      </c>
      <c r="T21" s="119">
        <v>541</v>
      </c>
      <c r="U21" s="119">
        <v>629</v>
      </c>
      <c r="V21" s="119">
        <v>428</v>
      </c>
      <c r="W21" s="119">
        <v>581</v>
      </c>
      <c r="X21" s="119">
        <v>516</v>
      </c>
      <c r="Y21" s="119">
        <v>563</v>
      </c>
      <c r="Z21" s="119">
        <v>487</v>
      </c>
      <c r="AA21" s="119">
        <v>682</v>
      </c>
      <c r="AB21" s="119">
        <v>782</v>
      </c>
      <c r="AC21" s="119">
        <v>630</v>
      </c>
      <c r="AD21" s="119">
        <v>653</v>
      </c>
      <c r="AE21" s="119">
        <v>591</v>
      </c>
      <c r="AF21" s="119">
        <v>926</v>
      </c>
      <c r="AG21" s="119">
        <v>1071</v>
      </c>
      <c r="AH21" s="119">
        <v>731</v>
      </c>
      <c r="AI21" s="119"/>
      <c r="AJ21" s="119"/>
      <c r="AK21" s="119"/>
      <c r="AL21" s="119"/>
      <c r="AM21" s="119"/>
      <c r="AN21" s="119"/>
      <c r="AO21" s="119"/>
      <c r="AP21" s="119"/>
      <c r="AQ21" s="119"/>
      <c r="AR21" s="119"/>
      <c r="AS21" s="119"/>
      <c r="AT21" s="119"/>
      <c r="AU21" s="119"/>
      <c r="AV21" s="119"/>
      <c r="AW21" s="119"/>
    </row>
    <row r="22" spans="1:49" ht="25.5" x14ac:dyDescent="0.2">
      <c r="A22" s="113" t="s">
        <v>443</v>
      </c>
      <c r="B22" s="119">
        <f t="shared" ref="B22:AW22" si="6">B21-B23</f>
        <v>80</v>
      </c>
      <c r="C22" s="119">
        <f t="shared" si="6"/>
        <v>84</v>
      </c>
      <c r="D22" s="119">
        <f t="shared" si="6"/>
        <v>113</v>
      </c>
      <c r="E22" s="119">
        <f t="shared" si="6"/>
        <v>126</v>
      </c>
      <c r="F22" s="119">
        <f t="shared" si="6"/>
        <v>122</v>
      </c>
      <c r="G22" s="119">
        <f t="shared" si="6"/>
        <v>148</v>
      </c>
      <c r="H22" s="119">
        <f t="shared" si="6"/>
        <v>401</v>
      </c>
      <c r="I22" s="119">
        <f t="shared" si="6"/>
        <v>356</v>
      </c>
      <c r="J22" s="119">
        <f t="shared" si="6"/>
        <v>260</v>
      </c>
      <c r="K22" s="286">
        <f t="shared" si="6"/>
        <v>349</v>
      </c>
      <c r="L22" s="119">
        <f t="shared" si="6"/>
        <v>363</v>
      </c>
      <c r="M22" s="119">
        <f t="shared" si="6"/>
        <v>345</v>
      </c>
      <c r="N22" s="119">
        <f t="shared" si="6"/>
        <v>311</v>
      </c>
      <c r="O22" s="119">
        <f t="shared" si="6"/>
        <v>381</v>
      </c>
      <c r="P22" s="119">
        <f t="shared" si="6"/>
        <v>337</v>
      </c>
      <c r="Q22" s="119">
        <f t="shared" si="6"/>
        <v>337</v>
      </c>
      <c r="R22" s="119">
        <f t="shared" si="6"/>
        <v>410</v>
      </c>
      <c r="S22" s="119">
        <f t="shared" si="6"/>
        <v>401</v>
      </c>
      <c r="T22" s="119">
        <f t="shared" si="6"/>
        <v>326</v>
      </c>
      <c r="U22" s="119">
        <f t="shared" si="6"/>
        <v>384</v>
      </c>
      <c r="V22" s="119">
        <f t="shared" si="6"/>
        <v>313</v>
      </c>
      <c r="W22" s="119">
        <f t="shared" si="6"/>
        <v>379</v>
      </c>
      <c r="X22" s="119">
        <f t="shared" si="6"/>
        <v>341</v>
      </c>
      <c r="Y22" s="119">
        <f t="shared" si="6"/>
        <v>386</v>
      </c>
      <c r="Z22" s="119">
        <f t="shared" si="6"/>
        <v>292</v>
      </c>
      <c r="AA22" s="119">
        <f t="shared" si="6"/>
        <v>440</v>
      </c>
      <c r="AB22" s="119">
        <f t="shared" si="6"/>
        <v>528</v>
      </c>
      <c r="AC22" s="119">
        <f t="shared" si="6"/>
        <v>421</v>
      </c>
      <c r="AD22" s="119">
        <f t="shared" si="6"/>
        <v>398</v>
      </c>
      <c r="AE22" s="119">
        <f t="shared" si="6"/>
        <v>347</v>
      </c>
      <c r="AF22" s="119">
        <f t="shared" si="6"/>
        <v>650</v>
      </c>
      <c r="AG22" s="119">
        <f t="shared" si="6"/>
        <v>762</v>
      </c>
      <c r="AH22" s="119">
        <f t="shared" si="6"/>
        <v>549</v>
      </c>
      <c r="AI22" s="119">
        <f t="shared" si="6"/>
        <v>0</v>
      </c>
      <c r="AJ22" s="119">
        <f t="shared" si="6"/>
        <v>0</v>
      </c>
      <c r="AK22" s="119">
        <f t="shared" si="6"/>
        <v>0</v>
      </c>
      <c r="AL22" s="119">
        <f t="shared" si="6"/>
        <v>0</v>
      </c>
      <c r="AM22" s="119">
        <f t="shared" si="6"/>
        <v>0</v>
      </c>
      <c r="AN22" s="119">
        <f t="shared" si="6"/>
        <v>0</v>
      </c>
      <c r="AO22" s="119">
        <f t="shared" si="6"/>
        <v>0</v>
      </c>
      <c r="AP22" s="119">
        <f t="shared" si="6"/>
        <v>0</v>
      </c>
      <c r="AQ22" s="119">
        <f t="shared" si="6"/>
        <v>0</v>
      </c>
      <c r="AR22" s="119">
        <f t="shared" si="6"/>
        <v>0</v>
      </c>
      <c r="AS22" s="119">
        <f t="shared" si="6"/>
        <v>0</v>
      </c>
      <c r="AT22" s="119">
        <f t="shared" si="6"/>
        <v>0</v>
      </c>
      <c r="AU22" s="119">
        <f t="shared" si="6"/>
        <v>0</v>
      </c>
      <c r="AV22" s="119">
        <f t="shared" si="6"/>
        <v>0</v>
      </c>
      <c r="AW22" s="119">
        <f t="shared" si="6"/>
        <v>0</v>
      </c>
    </row>
    <row r="23" spans="1:49" ht="25.5" x14ac:dyDescent="0.2">
      <c r="A23" s="113" t="s">
        <v>444</v>
      </c>
      <c r="B23" s="119">
        <v>123</v>
      </c>
      <c r="C23" s="119">
        <v>107</v>
      </c>
      <c r="D23" s="119">
        <v>173</v>
      </c>
      <c r="E23" s="119">
        <v>154</v>
      </c>
      <c r="F23" s="119">
        <v>144</v>
      </c>
      <c r="G23" s="119">
        <v>164</v>
      </c>
      <c r="H23" s="119">
        <v>192</v>
      </c>
      <c r="I23" s="119">
        <v>158</v>
      </c>
      <c r="J23" s="119">
        <v>96</v>
      </c>
      <c r="K23" s="286">
        <v>178</v>
      </c>
      <c r="L23" s="119">
        <v>152</v>
      </c>
      <c r="M23" s="119">
        <v>134</v>
      </c>
      <c r="N23" s="119">
        <v>122</v>
      </c>
      <c r="O23" s="119">
        <v>171</v>
      </c>
      <c r="P23" s="119">
        <v>158</v>
      </c>
      <c r="Q23" s="119">
        <v>132</v>
      </c>
      <c r="R23" s="119">
        <v>157</v>
      </c>
      <c r="S23" s="119">
        <v>130</v>
      </c>
      <c r="T23" s="119">
        <v>215</v>
      </c>
      <c r="U23" s="119">
        <v>245</v>
      </c>
      <c r="V23" s="119">
        <v>115</v>
      </c>
      <c r="W23" s="119">
        <v>202</v>
      </c>
      <c r="X23" s="119">
        <v>175</v>
      </c>
      <c r="Y23" s="119">
        <v>177</v>
      </c>
      <c r="Z23" s="119">
        <v>195</v>
      </c>
      <c r="AA23" s="119">
        <v>242</v>
      </c>
      <c r="AB23" s="119">
        <v>254</v>
      </c>
      <c r="AC23" s="119">
        <v>209</v>
      </c>
      <c r="AD23" s="119">
        <v>255</v>
      </c>
      <c r="AE23" s="119">
        <v>244</v>
      </c>
      <c r="AF23" s="119">
        <v>276</v>
      </c>
      <c r="AG23" s="119">
        <v>309</v>
      </c>
      <c r="AH23" s="119">
        <v>182</v>
      </c>
      <c r="AI23" s="286"/>
      <c r="AJ23" s="119"/>
      <c r="AK23" s="119"/>
      <c r="AL23" s="119"/>
      <c r="AM23" s="119"/>
      <c r="AN23" s="119"/>
      <c r="AO23" s="119"/>
      <c r="AP23" s="119"/>
      <c r="AQ23" s="119"/>
      <c r="AR23" s="119"/>
      <c r="AS23" s="119"/>
      <c r="AT23" s="119"/>
      <c r="AU23" s="119"/>
      <c r="AV23" s="119"/>
      <c r="AW23" s="119"/>
    </row>
    <row r="24" spans="1:49" x14ac:dyDescent="0.2">
      <c r="A24" s="115" t="s">
        <v>347</v>
      </c>
      <c r="B24" s="116">
        <f>B22/B21</f>
        <v>0.39408866995073893</v>
      </c>
      <c r="C24" s="116">
        <f>C22/C21</f>
        <v>0.43979057591623039</v>
      </c>
      <c r="D24" s="116">
        <f t="shared" ref="D24:Y24" si="7">D22/D21</f>
        <v>0.3951048951048951</v>
      </c>
      <c r="E24" s="116">
        <f t="shared" si="7"/>
        <v>0.45</v>
      </c>
      <c r="F24" s="116">
        <f t="shared" si="7"/>
        <v>0.45864661654135336</v>
      </c>
      <c r="G24" s="116">
        <f t="shared" si="7"/>
        <v>0.47435897435897434</v>
      </c>
      <c r="H24" s="122">
        <f t="shared" si="7"/>
        <v>0.67622259696458686</v>
      </c>
      <c r="I24" s="116">
        <f t="shared" si="7"/>
        <v>0.69260700389105057</v>
      </c>
      <c r="J24" s="116">
        <f t="shared" si="7"/>
        <v>0.7303370786516854</v>
      </c>
      <c r="K24" s="116">
        <f t="shared" si="7"/>
        <v>0.66223908918406071</v>
      </c>
      <c r="L24" s="116">
        <f t="shared" si="7"/>
        <v>0.70485436893203879</v>
      </c>
      <c r="M24" s="116">
        <f t="shared" si="7"/>
        <v>0.72025052192066807</v>
      </c>
      <c r="N24" s="116">
        <f t="shared" si="7"/>
        <v>0.71824480369515009</v>
      </c>
      <c r="O24" s="116">
        <f t="shared" si="7"/>
        <v>0.69021739130434778</v>
      </c>
      <c r="P24" s="116">
        <f t="shared" si="7"/>
        <v>0.68080808080808086</v>
      </c>
      <c r="Q24" s="116">
        <f t="shared" si="7"/>
        <v>0.71855010660980811</v>
      </c>
      <c r="R24" s="116">
        <f t="shared" si="7"/>
        <v>0.72310405643738973</v>
      </c>
      <c r="S24" s="116">
        <f t="shared" si="7"/>
        <v>0.7551789077212806</v>
      </c>
      <c r="T24" s="116">
        <f t="shared" si="7"/>
        <v>0.60258780036968573</v>
      </c>
      <c r="U24" s="116">
        <f t="shared" si="7"/>
        <v>0.61049284578696339</v>
      </c>
      <c r="V24" s="116">
        <f t="shared" si="7"/>
        <v>0.73130841121495327</v>
      </c>
      <c r="W24" s="116">
        <f t="shared" si="7"/>
        <v>0.65232358003442337</v>
      </c>
      <c r="X24" s="116">
        <f t="shared" si="7"/>
        <v>0.66085271317829453</v>
      </c>
      <c r="Y24" s="116">
        <f t="shared" si="7"/>
        <v>0.68561278863232678</v>
      </c>
      <c r="Z24" s="116">
        <f t="shared" ref="Z24:AW24" si="8">Z22/Z21</f>
        <v>0.59958932238193019</v>
      </c>
      <c r="AA24" s="116">
        <f t="shared" si="8"/>
        <v>0.64516129032258063</v>
      </c>
      <c r="AB24" s="116">
        <f t="shared" si="8"/>
        <v>0.67519181585677746</v>
      </c>
      <c r="AC24" s="116">
        <f t="shared" si="8"/>
        <v>0.66825396825396821</v>
      </c>
      <c r="AD24" s="116">
        <f t="shared" si="8"/>
        <v>0.60949464012251153</v>
      </c>
      <c r="AE24" s="116">
        <f t="shared" si="8"/>
        <v>0.58714043993231813</v>
      </c>
      <c r="AF24" s="116">
        <f t="shared" si="8"/>
        <v>0.70194384449244063</v>
      </c>
      <c r="AG24" s="116">
        <f t="shared" si="8"/>
        <v>0.71148459383753504</v>
      </c>
      <c r="AH24" s="116">
        <f t="shared" si="8"/>
        <v>0.75102599179206564</v>
      </c>
      <c r="AI24" s="116" t="e">
        <f t="shared" si="8"/>
        <v>#DIV/0!</v>
      </c>
      <c r="AJ24" s="116" t="e">
        <f t="shared" si="8"/>
        <v>#DIV/0!</v>
      </c>
      <c r="AK24" s="116" t="e">
        <f t="shared" si="8"/>
        <v>#DIV/0!</v>
      </c>
      <c r="AL24" s="116" t="e">
        <f t="shared" si="8"/>
        <v>#DIV/0!</v>
      </c>
      <c r="AM24" s="116" t="e">
        <f t="shared" si="8"/>
        <v>#DIV/0!</v>
      </c>
      <c r="AN24" s="116" t="e">
        <f t="shared" si="8"/>
        <v>#DIV/0!</v>
      </c>
      <c r="AO24" s="116" t="e">
        <f t="shared" si="8"/>
        <v>#DIV/0!</v>
      </c>
      <c r="AP24" s="116" t="e">
        <f t="shared" si="8"/>
        <v>#DIV/0!</v>
      </c>
      <c r="AQ24" s="116" t="e">
        <f t="shared" si="8"/>
        <v>#DIV/0!</v>
      </c>
      <c r="AR24" s="116" t="e">
        <f t="shared" si="8"/>
        <v>#DIV/0!</v>
      </c>
      <c r="AS24" s="116" t="e">
        <f t="shared" si="8"/>
        <v>#DIV/0!</v>
      </c>
      <c r="AT24" s="116" t="e">
        <f t="shared" si="8"/>
        <v>#DIV/0!</v>
      </c>
      <c r="AU24" s="116" t="e">
        <f t="shared" si="8"/>
        <v>#DIV/0!</v>
      </c>
      <c r="AV24" s="116" t="e">
        <f t="shared" si="8"/>
        <v>#DIV/0!</v>
      </c>
      <c r="AW24" s="116" t="e">
        <f t="shared" si="8"/>
        <v>#DIV/0!</v>
      </c>
    </row>
    <row r="25" spans="1:49" x14ac:dyDescent="0.2">
      <c r="A25" s="113" t="s">
        <v>348</v>
      </c>
      <c r="B25" s="120">
        <f>1-B24</f>
        <v>0.60591133004926112</v>
      </c>
      <c r="C25" s="120">
        <f t="shared" ref="C25:Y25" si="9">1-C24</f>
        <v>0.56020942408376961</v>
      </c>
      <c r="D25" s="120">
        <f t="shared" si="9"/>
        <v>0.6048951048951049</v>
      </c>
      <c r="E25" s="120">
        <f t="shared" si="9"/>
        <v>0.55000000000000004</v>
      </c>
      <c r="F25" s="120">
        <f t="shared" si="9"/>
        <v>0.54135338345864659</v>
      </c>
      <c r="G25" s="120">
        <f t="shared" si="9"/>
        <v>0.52564102564102566</v>
      </c>
      <c r="H25" s="120">
        <f t="shared" si="9"/>
        <v>0.32377740303541314</v>
      </c>
      <c r="I25" s="120">
        <f t="shared" si="9"/>
        <v>0.30739299610894943</v>
      </c>
      <c r="J25" s="120">
        <f t="shared" si="9"/>
        <v>0.2696629213483146</v>
      </c>
      <c r="K25" s="120">
        <f t="shared" si="9"/>
        <v>0.33776091081593929</v>
      </c>
      <c r="L25" s="120">
        <f t="shared" si="9"/>
        <v>0.29514563106796121</v>
      </c>
      <c r="M25" s="120">
        <f t="shared" si="9"/>
        <v>0.27974947807933193</v>
      </c>
      <c r="N25" s="120">
        <f t="shared" si="9"/>
        <v>0.28175519630484991</v>
      </c>
      <c r="O25" s="120">
        <f t="shared" si="9"/>
        <v>0.30978260869565222</v>
      </c>
      <c r="P25" s="120">
        <f t="shared" si="9"/>
        <v>0.31919191919191914</v>
      </c>
      <c r="Q25" s="120">
        <f t="shared" si="9"/>
        <v>0.28144989339019189</v>
      </c>
      <c r="R25" s="120">
        <f t="shared" si="9"/>
        <v>0.27689594356261027</v>
      </c>
      <c r="S25" s="120">
        <f t="shared" si="9"/>
        <v>0.2448210922787194</v>
      </c>
      <c r="T25" s="120">
        <f t="shared" si="9"/>
        <v>0.39741219963031427</v>
      </c>
      <c r="U25" s="120">
        <f t="shared" si="9"/>
        <v>0.38950715421303661</v>
      </c>
      <c r="V25" s="120">
        <f t="shared" si="9"/>
        <v>0.26869158878504673</v>
      </c>
      <c r="W25" s="120">
        <f t="shared" si="9"/>
        <v>0.34767641996557663</v>
      </c>
      <c r="X25" s="120">
        <f t="shared" si="9"/>
        <v>0.33914728682170547</v>
      </c>
      <c r="Y25" s="120">
        <f t="shared" si="9"/>
        <v>0.31438721136767322</v>
      </c>
      <c r="Z25" s="120">
        <f t="shared" ref="Z25:AW25" si="10">1-Z24</f>
        <v>0.40041067761806981</v>
      </c>
      <c r="AA25" s="120">
        <f t="shared" si="10"/>
        <v>0.35483870967741937</v>
      </c>
      <c r="AB25" s="120">
        <f t="shared" si="10"/>
        <v>0.32480818414322254</v>
      </c>
      <c r="AC25" s="120">
        <f t="shared" si="10"/>
        <v>0.33174603174603179</v>
      </c>
      <c r="AD25" s="120">
        <f t="shared" si="10"/>
        <v>0.39050535987748847</v>
      </c>
      <c r="AE25" s="120">
        <f t="shared" si="10"/>
        <v>0.41285956006768187</v>
      </c>
      <c r="AF25" s="120">
        <f t="shared" si="10"/>
        <v>0.29805615550755937</v>
      </c>
      <c r="AG25" s="120">
        <f t="shared" si="10"/>
        <v>0.28851540616246496</v>
      </c>
      <c r="AH25" s="120">
        <f t="shared" si="10"/>
        <v>0.24897400820793436</v>
      </c>
      <c r="AI25" s="120" t="e">
        <f t="shared" si="10"/>
        <v>#DIV/0!</v>
      </c>
      <c r="AJ25" s="120" t="e">
        <f t="shared" si="10"/>
        <v>#DIV/0!</v>
      </c>
      <c r="AK25" s="120" t="e">
        <f t="shared" si="10"/>
        <v>#DIV/0!</v>
      </c>
      <c r="AL25" s="120" t="e">
        <f t="shared" si="10"/>
        <v>#DIV/0!</v>
      </c>
      <c r="AM25" s="120" t="e">
        <f t="shared" si="10"/>
        <v>#DIV/0!</v>
      </c>
      <c r="AN25" s="120" t="e">
        <f t="shared" si="10"/>
        <v>#DIV/0!</v>
      </c>
      <c r="AO25" s="120" t="e">
        <f t="shared" si="10"/>
        <v>#DIV/0!</v>
      </c>
      <c r="AP25" s="120" t="e">
        <f t="shared" si="10"/>
        <v>#DIV/0!</v>
      </c>
      <c r="AQ25" s="120" t="e">
        <f t="shared" si="10"/>
        <v>#DIV/0!</v>
      </c>
      <c r="AR25" s="120" t="e">
        <f t="shared" si="10"/>
        <v>#DIV/0!</v>
      </c>
      <c r="AS25" s="120" t="e">
        <f t="shared" si="10"/>
        <v>#DIV/0!</v>
      </c>
      <c r="AT25" s="120" t="e">
        <f t="shared" si="10"/>
        <v>#DIV/0!</v>
      </c>
      <c r="AU25" s="120" t="e">
        <f t="shared" si="10"/>
        <v>#DIV/0!</v>
      </c>
      <c r="AV25" s="120" t="e">
        <f t="shared" si="10"/>
        <v>#DIV/0!</v>
      </c>
      <c r="AW25" s="120" t="e">
        <f t="shared" si="10"/>
        <v>#DIV/0!</v>
      </c>
    </row>
    <row r="26" spans="1:49" x14ac:dyDescent="0.2">
      <c r="A26" s="104"/>
      <c r="B26" s="105"/>
      <c r="C26" s="105"/>
      <c r="D26" s="105"/>
      <c r="E26" s="105"/>
      <c r="F26" s="105"/>
      <c r="G26" s="105"/>
      <c r="H26" s="105"/>
      <c r="I26" s="105"/>
      <c r="J26" s="105"/>
      <c r="K26" s="105"/>
      <c r="L26" s="105"/>
      <c r="M26" s="105"/>
      <c r="N26" s="105"/>
      <c r="O26" s="105"/>
      <c r="P26" s="105"/>
      <c r="Q26" s="105"/>
      <c r="R26" s="103"/>
      <c r="S26" s="103"/>
      <c r="T26" s="103"/>
      <c r="U26" s="103"/>
      <c r="V26" s="103"/>
      <c r="W26" s="103"/>
      <c r="X26" s="103"/>
      <c r="Y26" s="103"/>
      <c r="Z26" s="105"/>
      <c r="AA26" s="105"/>
      <c r="AB26" s="105"/>
      <c r="AC26" s="105"/>
      <c r="AD26" s="105"/>
      <c r="AE26" s="105"/>
      <c r="AF26" s="105"/>
      <c r="AG26" s="105"/>
      <c r="AH26" s="105"/>
      <c r="AI26" s="105"/>
      <c r="AJ26" s="105"/>
      <c r="AK26" s="105"/>
      <c r="AL26" s="105"/>
      <c r="AM26" s="105"/>
      <c r="AN26" s="105"/>
      <c r="AO26" s="105"/>
      <c r="AP26" s="103"/>
      <c r="AQ26" s="103"/>
      <c r="AR26" s="103"/>
      <c r="AS26" s="103"/>
      <c r="AT26" s="103"/>
      <c r="AU26" s="103"/>
      <c r="AV26" s="103"/>
      <c r="AW26" s="103"/>
    </row>
    <row r="27" spans="1:49" x14ac:dyDescent="0.2">
      <c r="A27" s="102" t="s">
        <v>349</v>
      </c>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row>
    <row r="28" spans="1:49" x14ac:dyDescent="0.2">
      <c r="A28" s="123" t="s">
        <v>190</v>
      </c>
      <c r="B28" s="119">
        <v>3190</v>
      </c>
      <c r="C28" s="119">
        <v>3341</v>
      </c>
      <c r="D28" s="119">
        <v>3261</v>
      </c>
      <c r="E28" s="119">
        <v>3219</v>
      </c>
      <c r="F28" s="119">
        <v>3150</v>
      </c>
      <c r="G28" s="119">
        <v>3015</v>
      </c>
      <c r="H28" s="119">
        <v>3457</v>
      </c>
      <c r="I28" s="119">
        <v>3540</v>
      </c>
      <c r="J28" s="119">
        <v>3697</v>
      </c>
      <c r="K28" s="119">
        <v>3426</v>
      </c>
      <c r="L28" s="119">
        <v>3480</v>
      </c>
      <c r="M28" s="119">
        <v>3548</v>
      </c>
      <c r="N28" s="119">
        <v>3707</v>
      </c>
      <c r="O28" s="119">
        <v>3700</v>
      </c>
      <c r="P28" s="119">
        <v>3791</v>
      </c>
      <c r="Q28" s="119">
        <v>3878</v>
      </c>
      <c r="R28" s="119">
        <v>3870</v>
      </c>
      <c r="S28" s="119">
        <v>3939</v>
      </c>
      <c r="T28" s="119">
        <v>4063</v>
      </c>
      <c r="U28" s="119">
        <v>4056</v>
      </c>
      <c r="V28" s="119">
        <v>4154</v>
      </c>
      <c r="W28" s="119">
        <v>4137</v>
      </c>
      <c r="X28" s="119">
        <v>4341</v>
      </c>
      <c r="Y28" s="119">
        <v>4455</v>
      </c>
      <c r="Z28" s="119">
        <v>4416</v>
      </c>
      <c r="AA28" s="119">
        <v>4527</v>
      </c>
      <c r="AB28" s="119">
        <v>4653</v>
      </c>
      <c r="AC28" s="119">
        <v>4913</v>
      </c>
      <c r="AD28" s="119">
        <v>5174</v>
      </c>
      <c r="AE28" s="119">
        <v>5327</v>
      </c>
      <c r="AF28" s="119">
        <v>5135</v>
      </c>
      <c r="AG28" s="119">
        <v>5043</v>
      </c>
      <c r="AH28" s="119">
        <v>4721</v>
      </c>
      <c r="AI28" s="119"/>
      <c r="AJ28" s="119"/>
      <c r="AK28" s="119"/>
      <c r="AL28" s="119"/>
      <c r="AM28" s="119"/>
      <c r="AN28" s="119"/>
      <c r="AO28" s="119"/>
      <c r="AP28" s="119"/>
      <c r="AQ28" s="119"/>
      <c r="AR28" s="119"/>
      <c r="AS28" s="119"/>
      <c r="AT28" s="119"/>
      <c r="AU28" s="119"/>
      <c r="AV28" s="119"/>
      <c r="AW28" s="119"/>
    </row>
    <row r="29" spans="1:49" ht="25.5" x14ac:dyDescent="0.2">
      <c r="A29" s="123" t="s">
        <v>445</v>
      </c>
      <c r="B29" s="119">
        <f t="shared" ref="B29:AW29" si="11">B28-B30</f>
        <v>1936</v>
      </c>
      <c r="C29" s="119">
        <f t="shared" si="11"/>
        <v>2084</v>
      </c>
      <c r="D29" s="119">
        <f t="shared" si="11"/>
        <v>2088</v>
      </c>
      <c r="E29" s="119">
        <f t="shared" si="11"/>
        <v>2073</v>
      </c>
      <c r="F29" s="119">
        <f t="shared" si="11"/>
        <v>2042</v>
      </c>
      <c r="G29" s="119">
        <f t="shared" si="11"/>
        <v>1930</v>
      </c>
      <c r="H29" s="119">
        <f t="shared" si="11"/>
        <v>2388</v>
      </c>
      <c r="I29" s="119">
        <f t="shared" si="11"/>
        <v>2555</v>
      </c>
      <c r="J29" s="119">
        <f t="shared" si="11"/>
        <v>2656</v>
      </c>
      <c r="K29" s="119">
        <f t="shared" si="11"/>
        <v>2524</v>
      </c>
      <c r="L29" s="119">
        <f t="shared" si="11"/>
        <v>2588</v>
      </c>
      <c r="M29" s="119">
        <f t="shared" si="11"/>
        <v>2535</v>
      </c>
      <c r="N29" s="119">
        <f t="shared" si="11"/>
        <v>2634</v>
      </c>
      <c r="O29" s="119">
        <f t="shared" si="11"/>
        <v>2625</v>
      </c>
      <c r="P29" s="119">
        <f t="shared" si="11"/>
        <v>2608</v>
      </c>
      <c r="Q29" s="119">
        <f t="shared" si="11"/>
        <v>2586</v>
      </c>
      <c r="R29" s="119">
        <f t="shared" si="11"/>
        <v>2561</v>
      </c>
      <c r="S29" s="119">
        <f t="shared" si="11"/>
        <v>2576</v>
      </c>
      <c r="T29" s="119">
        <f t="shared" si="11"/>
        <v>2726</v>
      </c>
      <c r="U29" s="119">
        <f t="shared" si="11"/>
        <v>2816</v>
      </c>
      <c r="V29" s="119">
        <f t="shared" si="11"/>
        <v>2817</v>
      </c>
      <c r="W29" s="119">
        <f t="shared" si="11"/>
        <v>2799</v>
      </c>
      <c r="X29" s="119">
        <f t="shared" si="11"/>
        <v>3023</v>
      </c>
      <c r="Y29" s="119">
        <f t="shared" si="11"/>
        <v>3101</v>
      </c>
      <c r="Z29" s="119">
        <f t="shared" si="11"/>
        <v>3000</v>
      </c>
      <c r="AA29" s="119">
        <f t="shared" si="11"/>
        <v>3183</v>
      </c>
      <c r="AB29" s="119">
        <f t="shared" si="11"/>
        <v>3235</v>
      </c>
      <c r="AC29" s="119">
        <f t="shared" si="11"/>
        <v>3371</v>
      </c>
      <c r="AD29" s="119">
        <f t="shared" si="11"/>
        <v>3598</v>
      </c>
      <c r="AE29" s="119">
        <f t="shared" si="11"/>
        <v>3758</v>
      </c>
      <c r="AF29" s="119">
        <f t="shared" si="11"/>
        <v>3503</v>
      </c>
      <c r="AG29" s="119">
        <f t="shared" si="11"/>
        <v>3418</v>
      </c>
      <c r="AH29" s="119">
        <f t="shared" si="11"/>
        <v>3061</v>
      </c>
      <c r="AI29" s="119">
        <f t="shared" si="11"/>
        <v>0</v>
      </c>
      <c r="AJ29" s="119">
        <f t="shared" si="11"/>
        <v>0</v>
      </c>
      <c r="AK29" s="119">
        <f t="shared" si="11"/>
        <v>0</v>
      </c>
      <c r="AL29" s="119">
        <f t="shared" si="11"/>
        <v>0</v>
      </c>
      <c r="AM29" s="119">
        <f t="shared" si="11"/>
        <v>0</v>
      </c>
      <c r="AN29" s="119">
        <f t="shared" si="11"/>
        <v>0</v>
      </c>
      <c r="AO29" s="119">
        <f t="shared" si="11"/>
        <v>0</v>
      </c>
      <c r="AP29" s="119">
        <f t="shared" si="11"/>
        <v>0</v>
      </c>
      <c r="AQ29" s="119">
        <f t="shared" si="11"/>
        <v>0</v>
      </c>
      <c r="AR29" s="119">
        <f t="shared" si="11"/>
        <v>0</v>
      </c>
      <c r="AS29" s="119">
        <f t="shared" si="11"/>
        <v>0</v>
      </c>
      <c r="AT29" s="119">
        <f t="shared" si="11"/>
        <v>0</v>
      </c>
      <c r="AU29" s="119">
        <f t="shared" si="11"/>
        <v>0</v>
      </c>
      <c r="AV29" s="119">
        <f t="shared" si="11"/>
        <v>0</v>
      </c>
      <c r="AW29" s="119">
        <f t="shared" si="11"/>
        <v>0</v>
      </c>
    </row>
    <row r="30" spans="1:49" ht="25.5" x14ac:dyDescent="0.2">
      <c r="A30" s="123" t="s">
        <v>446</v>
      </c>
      <c r="B30" s="119">
        <v>1254</v>
      </c>
      <c r="C30" s="119">
        <v>1257</v>
      </c>
      <c r="D30" s="119">
        <v>1173</v>
      </c>
      <c r="E30" s="119">
        <v>1146</v>
      </c>
      <c r="F30" s="119">
        <v>1108</v>
      </c>
      <c r="G30" s="119">
        <v>1085</v>
      </c>
      <c r="H30" s="119">
        <v>1069</v>
      </c>
      <c r="I30" s="119">
        <v>985</v>
      </c>
      <c r="J30" s="119">
        <v>1041</v>
      </c>
      <c r="K30" s="119">
        <v>902</v>
      </c>
      <c r="L30" s="119">
        <v>892</v>
      </c>
      <c r="M30" s="119">
        <v>1013</v>
      </c>
      <c r="N30" s="119">
        <v>1073</v>
      </c>
      <c r="O30" s="119">
        <v>1075</v>
      </c>
      <c r="P30" s="119">
        <v>1183</v>
      </c>
      <c r="Q30" s="119">
        <v>1292</v>
      </c>
      <c r="R30" s="119">
        <v>1309</v>
      </c>
      <c r="S30" s="119">
        <v>1363</v>
      </c>
      <c r="T30" s="119">
        <v>1337</v>
      </c>
      <c r="U30" s="119">
        <v>1240</v>
      </c>
      <c r="V30" s="119">
        <v>1337</v>
      </c>
      <c r="W30" s="119">
        <v>1338</v>
      </c>
      <c r="X30" s="119">
        <v>1318</v>
      </c>
      <c r="Y30" s="119">
        <v>1354</v>
      </c>
      <c r="Z30" s="119">
        <v>1416</v>
      </c>
      <c r="AA30" s="119">
        <v>1344</v>
      </c>
      <c r="AB30" s="119">
        <v>1418</v>
      </c>
      <c r="AC30" s="119">
        <v>1542</v>
      </c>
      <c r="AD30" s="119">
        <v>1576</v>
      </c>
      <c r="AE30" s="119">
        <v>1569</v>
      </c>
      <c r="AF30" s="119">
        <v>1632</v>
      </c>
      <c r="AG30" s="119">
        <v>1625</v>
      </c>
      <c r="AH30" s="119">
        <v>1660</v>
      </c>
      <c r="AI30" s="119"/>
      <c r="AJ30" s="119"/>
      <c r="AK30" s="119"/>
      <c r="AL30" s="119"/>
      <c r="AM30" s="119"/>
      <c r="AN30" s="119"/>
      <c r="AO30" s="119"/>
      <c r="AP30" s="119"/>
      <c r="AQ30" s="119"/>
      <c r="AR30" s="119"/>
      <c r="AS30" s="119"/>
      <c r="AT30" s="119"/>
      <c r="AU30" s="119"/>
      <c r="AV30" s="119"/>
      <c r="AW30" s="119"/>
    </row>
    <row r="31" spans="1:49" x14ac:dyDescent="0.2">
      <c r="A31" s="123" t="s">
        <v>347</v>
      </c>
      <c r="B31" s="120">
        <f t="shared" ref="B31:Y31" si="12">1-(B30/B28)</f>
        <v>0.60689655172413792</v>
      </c>
      <c r="C31" s="120">
        <f t="shared" si="12"/>
        <v>0.62376533971864712</v>
      </c>
      <c r="D31" s="120">
        <f t="shared" si="12"/>
        <v>0.64029438822447104</v>
      </c>
      <c r="E31" s="120">
        <f t="shared" si="12"/>
        <v>0.64398881640260952</v>
      </c>
      <c r="F31" s="120">
        <f t="shared" si="12"/>
        <v>0.6482539682539683</v>
      </c>
      <c r="G31" s="120">
        <f t="shared" si="12"/>
        <v>0.64013266998341622</v>
      </c>
      <c r="H31" s="120">
        <f t="shared" si="12"/>
        <v>0.69077234596470927</v>
      </c>
      <c r="I31" s="120">
        <f t="shared" si="12"/>
        <v>0.72175141242937846</v>
      </c>
      <c r="J31" s="120">
        <f t="shared" si="12"/>
        <v>0.71842034081687856</v>
      </c>
      <c r="K31" s="120">
        <f t="shared" si="12"/>
        <v>0.7367192060712201</v>
      </c>
      <c r="L31" s="120">
        <f t="shared" si="12"/>
        <v>0.7436781609195402</v>
      </c>
      <c r="M31" s="120">
        <f t="shared" si="12"/>
        <v>0.71448703494926713</v>
      </c>
      <c r="N31" s="120">
        <f t="shared" si="12"/>
        <v>0.71054761262476396</v>
      </c>
      <c r="O31" s="120">
        <f t="shared" si="12"/>
        <v>0.70945945945945943</v>
      </c>
      <c r="P31" s="120">
        <f t="shared" si="12"/>
        <v>0.68794513321023476</v>
      </c>
      <c r="Q31" s="120">
        <f t="shared" si="12"/>
        <v>0.66683857658586898</v>
      </c>
      <c r="R31" s="120">
        <f t="shared" si="12"/>
        <v>0.6617571059431524</v>
      </c>
      <c r="S31" s="120">
        <f t="shared" si="12"/>
        <v>0.65397308961665401</v>
      </c>
      <c r="T31" s="120">
        <f t="shared" si="12"/>
        <v>0.67093280826975144</v>
      </c>
      <c r="U31" s="120">
        <f t="shared" si="12"/>
        <v>0.6942800788954635</v>
      </c>
      <c r="V31" s="120">
        <f t="shared" si="12"/>
        <v>0.67814155031295131</v>
      </c>
      <c r="W31" s="120">
        <f t="shared" si="12"/>
        <v>0.67657722987672231</v>
      </c>
      <c r="X31" s="120">
        <f t="shared" si="12"/>
        <v>0.69638332181524998</v>
      </c>
      <c r="Y31" s="120">
        <f t="shared" si="12"/>
        <v>0.69607182940516266</v>
      </c>
      <c r="Z31" s="120">
        <f t="shared" ref="Z31:AW31" si="13">1-(Z30/Z28)</f>
        <v>0.67934782608695654</v>
      </c>
      <c r="AA31" s="120">
        <f t="shared" si="13"/>
        <v>0.7031146454605699</v>
      </c>
      <c r="AB31" s="120">
        <f t="shared" si="13"/>
        <v>0.69525037610143992</v>
      </c>
      <c r="AC31" s="120">
        <f t="shared" si="13"/>
        <v>0.68613881538774679</v>
      </c>
      <c r="AD31" s="120">
        <f t="shared" si="13"/>
        <v>0.69540007730962505</v>
      </c>
      <c r="AE31" s="120">
        <f t="shared" si="13"/>
        <v>0.7054627370001878</v>
      </c>
      <c r="AF31" s="120">
        <f t="shared" si="13"/>
        <v>0.68218111002921122</v>
      </c>
      <c r="AG31" s="120">
        <f t="shared" si="13"/>
        <v>0.67777116795558201</v>
      </c>
      <c r="AH31" s="120">
        <f t="shared" si="13"/>
        <v>0.64837958059733114</v>
      </c>
      <c r="AI31" s="120" t="e">
        <f t="shared" si="13"/>
        <v>#DIV/0!</v>
      </c>
      <c r="AJ31" s="120" t="e">
        <f t="shared" si="13"/>
        <v>#DIV/0!</v>
      </c>
      <c r="AK31" s="120" t="e">
        <f t="shared" si="13"/>
        <v>#DIV/0!</v>
      </c>
      <c r="AL31" s="120" t="e">
        <f t="shared" si="13"/>
        <v>#DIV/0!</v>
      </c>
      <c r="AM31" s="120" t="e">
        <f t="shared" si="13"/>
        <v>#DIV/0!</v>
      </c>
      <c r="AN31" s="120" t="e">
        <f t="shared" si="13"/>
        <v>#DIV/0!</v>
      </c>
      <c r="AO31" s="120" t="e">
        <f t="shared" si="13"/>
        <v>#DIV/0!</v>
      </c>
      <c r="AP31" s="120" t="e">
        <f t="shared" si="13"/>
        <v>#DIV/0!</v>
      </c>
      <c r="AQ31" s="120" t="e">
        <f t="shared" si="13"/>
        <v>#DIV/0!</v>
      </c>
      <c r="AR31" s="120" t="e">
        <f t="shared" si="13"/>
        <v>#DIV/0!</v>
      </c>
      <c r="AS31" s="120" t="e">
        <f t="shared" si="13"/>
        <v>#DIV/0!</v>
      </c>
      <c r="AT31" s="120" t="e">
        <f t="shared" si="13"/>
        <v>#DIV/0!</v>
      </c>
      <c r="AU31" s="120" t="e">
        <f t="shared" si="13"/>
        <v>#DIV/0!</v>
      </c>
      <c r="AV31" s="120" t="e">
        <f t="shared" si="13"/>
        <v>#DIV/0!</v>
      </c>
      <c r="AW31" s="120" t="e">
        <f t="shared" si="13"/>
        <v>#DIV/0!</v>
      </c>
    </row>
    <row r="32" spans="1:49" x14ac:dyDescent="0.2">
      <c r="A32" s="123" t="s">
        <v>348</v>
      </c>
      <c r="B32" s="120">
        <f t="shared" ref="B32:Y32" si="14">1-(B29/B28)</f>
        <v>0.39310344827586208</v>
      </c>
      <c r="C32" s="120">
        <f t="shared" si="14"/>
        <v>0.37623466028135288</v>
      </c>
      <c r="D32" s="120">
        <f t="shared" si="14"/>
        <v>0.35970561177552896</v>
      </c>
      <c r="E32" s="120">
        <f t="shared" si="14"/>
        <v>0.35601118359739048</v>
      </c>
      <c r="F32" s="120">
        <f t="shared" si="14"/>
        <v>0.3517460317460317</v>
      </c>
      <c r="G32" s="120">
        <f t="shared" si="14"/>
        <v>0.35986733001658378</v>
      </c>
      <c r="H32" s="120">
        <f t="shared" si="14"/>
        <v>0.30922765403529073</v>
      </c>
      <c r="I32" s="120">
        <f t="shared" si="14"/>
        <v>0.27824858757062143</v>
      </c>
      <c r="J32" s="120">
        <f t="shared" si="14"/>
        <v>0.28157965918312144</v>
      </c>
      <c r="K32" s="120">
        <f t="shared" si="14"/>
        <v>0.2632807939287799</v>
      </c>
      <c r="L32" s="120">
        <f t="shared" si="14"/>
        <v>0.2563218390804598</v>
      </c>
      <c r="M32" s="120">
        <f t="shared" si="14"/>
        <v>0.28551296505073276</v>
      </c>
      <c r="N32" s="120">
        <f t="shared" si="14"/>
        <v>0.28945238737523604</v>
      </c>
      <c r="O32" s="120">
        <f t="shared" si="14"/>
        <v>0.29054054054054057</v>
      </c>
      <c r="P32" s="120">
        <f t="shared" si="14"/>
        <v>0.31205486678976524</v>
      </c>
      <c r="Q32" s="120">
        <f t="shared" si="14"/>
        <v>0.33316142341413102</v>
      </c>
      <c r="R32" s="120">
        <f t="shared" si="14"/>
        <v>0.3382428940568476</v>
      </c>
      <c r="S32" s="120">
        <f t="shared" si="14"/>
        <v>0.34602691038334599</v>
      </c>
      <c r="T32" s="120">
        <f t="shared" si="14"/>
        <v>0.32906719173024856</v>
      </c>
      <c r="U32" s="120">
        <f t="shared" si="14"/>
        <v>0.3057199211045365</v>
      </c>
      <c r="V32" s="120">
        <f t="shared" si="14"/>
        <v>0.32185844968704858</v>
      </c>
      <c r="W32" s="120">
        <f t="shared" si="14"/>
        <v>0.32342277012327769</v>
      </c>
      <c r="X32" s="120">
        <f t="shared" si="14"/>
        <v>0.30361667818475002</v>
      </c>
      <c r="Y32" s="120">
        <f t="shared" si="14"/>
        <v>0.30392817059483723</v>
      </c>
      <c r="Z32" s="120">
        <f t="shared" ref="Z32:AW32" si="15">1-(Z29/Z28)</f>
        <v>0.32065217391304346</v>
      </c>
      <c r="AA32" s="120">
        <f t="shared" si="15"/>
        <v>0.2968853545394301</v>
      </c>
      <c r="AB32" s="120">
        <f t="shared" si="15"/>
        <v>0.30474962389856008</v>
      </c>
      <c r="AC32" s="120">
        <f t="shared" si="15"/>
        <v>0.31386118461225321</v>
      </c>
      <c r="AD32" s="120">
        <f t="shared" si="15"/>
        <v>0.30459992269037495</v>
      </c>
      <c r="AE32" s="120">
        <f t="shared" si="15"/>
        <v>0.29453726299981231</v>
      </c>
      <c r="AF32" s="120">
        <f t="shared" si="15"/>
        <v>0.31781888997078866</v>
      </c>
      <c r="AG32" s="120">
        <f t="shared" si="15"/>
        <v>0.32222883204441799</v>
      </c>
      <c r="AH32" s="120">
        <f t="shared" si="15"/>
        <v>0.35162041940266897</v>
      </c>
      <c r="AI32" s="120" t="e">
        <f t="shared" si="15"/>
        <v>#DIV/0!</v>
      </c>
      <c r="AJ32" s="120" t="e">
        <f t="shared" si="15"/>
        <v>#DIV/0!</v>
      </c>
      <c r="AK32" s="120" t="e">
        <f t="shared" si="15"/>
        <v>#DIV/0!</v>
      </c>
      <c r="AL32" s="120" t="e">
        <f t="shared" si="15"/>
        <v>#DIV/0!</v>
      </c>
      <c r="AM32" s="120" t="e">
        <f t="shared" si="15"/>
        <v>#DIV/0!</v>
      </c>
      <c r="AN32" s="120" t="e">
        <f t="shared" si="15"/>
        <v>#DIV/0!</v>
      </c>
      <c r="AO32" s="120" t="e">
        <f t="shared" si="15"/>
        <v>#DIV/0!</v>
      </c>
      <c r="AP32" s="120" t="e">
        <f t="shared" si="15"/>
        <v>#DIV/0!</v>
      </c>
      <c r="AQ32" s="120" t="e">
        <f t="shared" si="15"/>
        <v>#DIV/0!</v>
      </c>
      <c r="AR32" s="120" t="e">
        <f t="shared" si="15"/>
        <v>#DIV/0!</v>
      </c>
      <c r="AS32" s="120" t="e">
        <f t="shared" si="15"/>
        <v>#DIV/0!</v>
      </c>
      <c r="AT32" s="120" t="e">
        <f t="shared" si="15"/>
        <v>#DIV/0!</v>
      </c>
      <c r="AU32" s="120" t="e">
        <f t="shared" si="15"/>
        <v>#DIV/0!</v>
      </c>
      <c r="AV32" s="120" t="e">
        <f t="shared" si="15"/>
        <v>#DIV/0!</v>
      </c>
      <c r="AW32" s="120" t="e">
        <f t="shared" si="15"/>
        <v>#DIV/0!</v>
      </c>
    </row>
    <row r="33" spans="1:49" x14ac:dyDescent="0.2">
      <c r="A33" s="100"/>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row>
    <row r="34" spans="1:49" x14ac:dyDescent="0.2">
      <c r="A34" s="705">
        <v>43070</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row>
    <row r="35" spans="1:49" x14ac:dyDescent="0.2">
      <c r="A35" s="705" t="s">
        <v>653</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row>
    <row r="36" spans="1:49" ht="15" x14ac:dyDescent="0.2">
      <c r="A36" s="706"/>
      <c r="B36" s="1079" t="s">
        <v>667</v>
      </c>
      <c r="C36" s="1079"/>
      <c r="D36" s="1079"/>
      <c r="E36" s="1079"/>
      <c r="F36" s="1079"/>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row>
    <row r="37" spans="1:49" ht="25.5" x14ac:dyDescent="0.2">
      <c r="A37" s="707" t="s">
        <v>647</v>
      </c>
      <c r="B37" s="708" t="s">
        <v>672</v>
      </c>
      <c r="C37" s="708" t="s">
        <v>668</v>
      </c>
      <c r="D37" s="708" t="s">
        <v>669</v>
      </c>
      <c r="E37" s="708" t="s">
        <v>670</v>
      </c>
      <c r="F37" s="708" t="s">
        <v>671</v>
      </c>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row>
    <row r="38" spans="1:49" x14ac:dyDescent="0.2">
      <c r="A38" s="701" t="s">
        <v>655</v>
      </c>
      <c r="B38" s="713">
        <v>5</v>
      </c>
      <c r="C38" s="713">
        <v>4</v>
      </c>
      <c r="D38" s="713">
        <v>1</v>
      </c>
      <c r="E38" s="717">
        <v>0.8</v>
      </c>
      <c r="F38" s="717">
        <v>0.2</v>
      </c>
      <c r="G38" s="121"/>
      <c r="H38" s="121"/>
      <c r="I38" s="793"/>
      <c r="J38" s="793"/>
      <c r="K38" s="793"/>
      <c r="L38" s="794"/>
      <c r="M38" s="794"/>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row>
    <row r="39" spans="1:49" x14ac:dyDescent="0.2">
      <c r="A39" s="701" t="s">
        <v>656</v>
      </c>
      <c r="B39" s="713">
        <v>272</v>
      </c>
      <c r="C39" s="713">
        <v>272</v>
      </c>
      <c r="D39" s="713">
        <v>0</v>
      </c>
      <c r="E39" s="717">
        <v>1</v>
      </c>
      <c r="F39" s="717">
        <v>0</v>
      </c>
      <c r="G39" s="121"/>
      <c r="H39" s="121"/>
      <c r="I39" s="793"/>
      <c r="J39" s="793"/>
      <c r="K39" s="793"/>
      <c r="L39" s="794"/>
      <c r="M39" s="794"/>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row>
    <row r="40" spans="1:49" x14ac:dyDescent="0.2">
      <c r="A40" s="701" t="s">
        <v>657</v>
      </c>
      <c r="B40" s="713">
        <v>165</v>
      </c>
      <c r="C40" s="713">
        <v>47</v>
      </c>
      <c r="D40" s="713">
        <v>118</v>
      </c>
      <c r="E40" s="717">
        <v>0.28499999999999998</v>
      </c>
      <c r="F40" s="717">
        <v>0.71499999999999997</v>
      </c>
      <c r="G40" s="121"/>
      <c r="H40" s="121"/>
      <c r="I40" s="793"/>
      <c r="J40" s="793"/>
      <c r="K40" s="793"/>
      <c r="L40" s="794"/>
      <c r="M40" s="794"/>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row>
    <row r="41" spans="1:49" x14ac:dyDescent="0.2">
      <c r="A41" s="701" t="s">
        <v>658</v>
      </c>
      <c r="B41" s="713">
        <v>15</v>
      </c>
      <c r="C41" s="713">
        <v>13</v>
      </c>
      <c r="D41" s="713">
        <v>2</v>
      </c>
      <c r="E41" s="717">
        <v>0.86699999999999999</v>
      </c>
      <c r="F41" s="717">
        <v>0.13300000000000001</v>
      </c>
      <c r="G41" s="121"/>
      <c r="H41" s="121"/>
      <c r="I41" s="793"/>
      <c r="J41" s="793"/>
      <c r="K41" s="793"/>
      <c r="L41" s="794"/>
      <c r="M41" s="794"/>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row>
    <row r="42" spans="1:49" x14ac:dyDescent="0.2">
      <c r="A42" s="701" t="s">
        <v>659</v>
      </c>
      <c r="B42" s="713">
        <v>31</v>
      </c>
      <c r="C42" s="713">
        <v>25</v>
      </c>
      <c r="D42" s="713">
        <v>6</v>
      </c>
      <c r="E42" s="717">
        <v>0.80600000000000005</v>
      </c>
      <c r="F42" s="717">
        <v>0.19400000000000001</v>
      </c>
      <c r="G42" s="121"/>
      <c r="H42" s="121"/>
      <c r="I42" s="793"/>
      <c r="J42" s="793"/>
      <c r="K42" s="793"/>
      <c r="L42" s="794"/>
      <c r="M42" s="794"/>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row>
    <row r="43" spans="1:49" x14ac:dyDescent="0.2">
      <c r="A43" s="701" t="s">
        <v>660</v>
      </c>
      <c r="B43" s="713">
        <v>11</v>
      </c>
      <c r="C43" s="713">
        <v>2</v>
      </c>
      <c r="D43" s="713">
        <v>9</v>
      </c>
      <c r="E43" s="717">
        <v>0.182</v>
      </c>
      <c r="F43" s="717">
        <v>0.81799999999999995</v>
      </c>
      <c r="G43" s="121"/>
      <c r="H43" s="121"/>
      <c r="I43" s="795"/>
      <c r="J43" s="795"/>
      <c r="K43" s="795"/>
      <c r="L43" s="796"/>
      <c r="M43" s="796"/>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row>
    <row r="44" spans="1:49" x14ac:dyDescent="0.2">
      <c r="A44" s="701" t="s">
        <v>661</v>
      </c>
      <c r="B44" s="713">
        <v>29</v>
      </c>
      <c r="C44" s="713">
        <v>21</v>
      </c>
      <c r="D44" s="713">
        <v>8</v>
      </c>
      <c r="E44" s="717">
        <v>0.72399999999999998</v>
      </c>
      <c r="F44" s="717">
        <v>0.27600000000000002</v>
      </c>
      <c r="G44" s="121"/>
      <c r="H44" s="121"/>
      <c r="I44" s="795"/>
      <c r="J44" s="795"/>
      <c r="K44" s="795"/>
      <c r="L44" s="796"/>
      <c r="M44" s="796"/>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row>
    <row r="45" spans="1:49" x14ac:dyDescent="0.2">
      <c r="A45" s="702" t="s">
        <v>662</v>
      </c>
      <c r="B45" s="713">
        <v>122</v>
      </c>
      <c r="C45" s="713">
        <v>99</v>
      </c>
      <c r="D45" s="713">
        <v>23</v>
      </c>
      <c r="E45" s="717">
        <v>0.81100000000000005</v>
      </c>
      <c r="F45" s="717">
        <v>0.189</v>
      </c>
      <c r="G45" s="121"/>
      <c r="H45" s="121"/>
      <c r="I45" s="795"/>
      <c r="J45" s="795"/>
      <c r="K45" s="795"/>
      <c r="L45" s="796"/>
      <c r="M45" s="796"/>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row>
    <row r="46" spans="1:49" x14ac:dyDescent="0.2">
      <c r="A46" s="702" t="s">
        <v>663</v>
      </c>
      <c r="B46" s="713">
        <v>66</v>
      </c>
      <c r="C46" s="713">
        <v>53</v>
      </c>
      <c r="D46" s="713">
        <v>13</v>
      </c>
      <c r="E46" s="717">
        <v>0.80300000000000005</v>
      </c>
      <c r="F46" s="717">
        <v>0.19700000000000001</v>
      </c>
      <c r="G46" s="121"/>
      <c r="H46" s="121"/>
      <c r="I46" s="795"/>
      <c r="J46" s="789"/>
      <c r="K46" s="789"/>
      <c r="L46" s="796"/>
      <c r="M46" s="796"/>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row>
    <row r="47" spans="1:49" x14ac:dyDescent="0.2">
      <c r="A47" s="702" t="s">
        <v>664</v>
      </c>
      <c r="B47" s="713">
        <v>15</v>
      </c>
      <c r="C47" s="713">
        <v>13</v>
      </c>
      <c r="D47" s="713">
        <v>2</v>
      </c>
      <c r="E47" s="717">
        <v>0.86699999999999999</v>
      </c>
      <c r="F47" s="717">
        <v>0.13300000000000001</v>
      </c>
      <c r="G47" s="121"/>
      <c r="H47" s="121"/>
      <c r="I47" s="795"/>
      <c r="J47" s="795"/>
      <c r="K47" s="795"/>
      <c r="L47" s="796"/>
      <c r="M47" s="796"/>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row>
    <row r="48" spans="1:49" x14ac:dyDescent="0.2">
      <c r="A48" s="709" t="s">
        <v>665</v>
      </c>
      <c r="B48" s="704">
        <v>731</v>
      </c>
      <c r="C48" s="704">
        <v>549</v>
      </c>
      <c r="D48" s="704">
        <v>182</v>
      </c>
      <c r="E48" s="116">
        <v>0.751</v>
      </c>
      <c r="F48" s="719">
        <v>0.249</v>
      </c>
      <c r="G48" s="121"/>
      <c r="H48" s="121"/>
      <c r="I48" s="791"/>
      <c r="J48" s="791"/>
      <c r="K48" s="791"/>
      <c r="L48" s="799"/>
      <c r="M48" s="799"/>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row>
    <row r="49" spans="1:49" x14ac:dyDescent="0.2">
      <c r="A49" s="100"/>
      <c r="B49" s="121"/>
      <c r="C49" s="121"/>
      <c r="D49" s="121"/>
      <c r="E49" s="121"/>
      <c r="F49" s="121"/>
      <c r="G49" s="121"/>
      <c r="H49" s="121"/>
      <c r="I49" s="294"/>
      <c r="J49" s="294"/>
      <c r="K49" s="294"/>
      <c r="L49" s="294"/>
      <c r="M49" s="294"/>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row>
    <row r="50" spans="1:49" ht="15" x14ac:dyDescent="0.2">
      <c r="A50" s="706"/>
      <c r="B50" s="1079" t="s">
        <v>654</v>
      </c>
      <c r="C50" s="1079"/>
      <c r="D50" s="1079"/>
      <c r="E50" s="1079"/>
      <c r="F50" s="1079"/>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row>
    <row r="51" spans="1:49" ht="25.5" x14ac:dyDescent="0.2">
      <c r="A51" s="707" t="s">
        <v>647</v>
      </c>
      <c r="B51" s="708" t="s">
        <v>648</v>
      </c>
      <c r="C51" s="708" t="s">
        <v>668</v>
      </c>
      <c r="D51" s="708" t="s">
        <v>669</v>
      </c>
      <c r="E51" s="708" t="s">
        <v>670</v>
      </c>
      <c r="F51" s="708" t="s">
        <v>671</v>
      </c>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row>
    <row r="52" spans="1:49" x14ac:dyDescent="0.2">
      <c r="A52" s="701" t="s">
        <v>655</v>
      </c>
      <c r="B52" s="713">
        <v>100</v>
      </c>
      <c r="C52" s="713">
        <v>79</v>
      </c>
      <c r="D52" s="713">
        <v>21</v>
      </c>
      <c r="E52" s="717">
        <v>0.79</v>
      </c>
      <c r="F52" s="717">
        <v>0.21</v>
      </c>
      <c r="G52" s="121"/>
      <c r="H52" s="121"/>
      <c r="I52" s="793"/>
      <c r="J52" s="793"/>
      <c r="K52" s="793"/>
      <c r="L52" s="794"/>
      <c r="M52" s="794"/>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row>
    <row r="53" spans="1:49" x14ac:dyDescent="0.2">
      <c r="A53" s="701" t="s">
        <v>656</v>
      </c>
      <c r="B53" s="713">
        <v>77</v>
      </c>
      <c r="C53" s="713">
        <v>52</v>
      </c>
      <c r="D53" s="713">
        <v>25</v>
      </c>
      <c r="E53" s="717">
        <v>0.67500000000000004</v>
      </c>
      <c r="F53" s="717">
        <v>0.32500000000000001</v>
      </c>
      <c r="G53" s="121"/>
      <c r="H53" s="121"/>
      <c r="I53" s="795"/>
      <c r="J53" s="795"/>
      <c r="K53" s="795"/>
      <c r="L53" s="796"/>
      <c r="M53" s="796"/>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row>
    <row r="54" spans="1:49" x14ac:dyDescent="0.2">
      <c r="A54" s="701" t="s">
        <v>657</v>
      </c>
      <c r="B54" s="713">
        <v>2874</v>
      </c>
      <c r="C54" s="713">
        <v>1707</v>
      </c>
      <c r="D54" s="713">
        <v>1167</v>
      </c>
      <c r="E54" s="717">
        <v>0.59399999999999997</v>
      </c>
      <c r="F54" s="717">
        <v>0.40600000000000003</v>
      </c>
      <c r="G54" s="121"/>
      <c r="H54" s="121"/>
      <c r="I54" s="795"/>
      <c r="J54" s="795"/>
      <c r="K54" s="795"/>
      <c r="L54" s="796"/>
      <c r="M54" s="796"/>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row>
    <row r="55" spans="1:49" x14ac:dyDescent="0.2">
      <c r="A55" s="701" t="s">
        <v>658</v>
      </c>
      <c r="B55" s="713">
        <v>66</v>
      </c>
      <c r="C55" s="713">
        <v>59</v>
      </c>
      <c r="D55" s="713">
        <v>7</v>
      </c>
      <c r="E55" s="717">
        <v>0.89400000000000002</v>
      </c>
      <c r="F55" s="717">
        <v>0.106</v>
      </c>
      <c r="G55" s="121"/>
      <c r="H55" s="121"/>
      <c r="I55" s="795"/>
      <c r="J55" s="795"/>
      <c r="K55" s="795"/>
      <c r="L55" s="796"/>
      <c r="M55" s="796"/>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row>
    <row r="56" spans="1:49" x14ac:dyDescent="0.2">
      <c r="A56" s="701" t="s">
        <v>659</v>
      </c>
      <c r="B56" s="713">
        <v>159</v>
      </c>
      <c r="C56" s="713">
        <v>115</v>
      </c>
      <c r="D56" s="713">
        <v>44</v>
      </c>
      <c r="E56" s="717">
        <v>0.72299999999999998</v>
      </c>
      <c r="F56" s="717">
        <v>0.27700000000000002</v>
      </c>
      <c r="G56" s="121"/>
      <c r="H56" s="121"/>
      <c r="I56" s="795"/>
      <c r="J56" s="795"/>
      <c r="K56" s="795"/>
      <c r="L56" s="796"/>
      <c r="M56" s="796"/>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row>
    <row r="57" spans="1:49" x14ac:dyDescent="0.2">
      <c r="A57" s="701" t="s">
        <v>660</v>
      </c>
      <c r="B57" s="713">
        <v>119</v>
      </c>
      <c r="C57" s="713">
        <v>37</v>
      </c>
      <c r="D57" s="713">
        <v>82</v>
      </c>
      <c r="E57" s="717">
        <v>0.311</v>
      </c>
      <c r="F57" s="717">
        <v>0.68899999999999995</v>
      </c>
      <c r="G57" s="121"/>
      <c r="H57" s="121"/>
      <c r="I57" s="795"/>
      <c r="J57" s="795"/>
      <c r="K57" s="795"/>
      <c r="L57" s="796"/>
      <c r="M57" s="796"/>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row>
    <row r="58" spans="1:49" x14ac:dyDescent="0.2">
      <c r="A58" s="701" t="s">
        <v>661</v>
      </c>
      <c r="B58" s="713">
        <v>419</v>
      </c>
      <c r="C58" s="713">
        <v>254</v>
      </c>
      <c r="D58" s="713">
        <v>165</v>
      </c>
      <c r="E58" s="717">
        <v>0.60599999999999998</v>
      </c>
      <c r="F58" s="717">
        <v>0.39400000000000002</v>
      </c>
      <c r="G58" s="121"/>
      <c r="H58" s="121"/>
      <c r="I58" s="795"/>
      <c r="J58" s="795"/>
      <c r="K58" s="795"/>
      <c r="L58" s="796"/>
      <c r="M58" s="796"/>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row>
    <row r="59" spans="1:49" x14ac:dyDescent="0.2">
      <c r="A59" s="702" t="s">
        <v>662</v>
      </c>
      <c r="B59" s="713">
        <v>618</v>
      </c>
      <c r="C59" s="713">
        <v>536</v>
      </c>
      <c r="D59" s="713">
        <v>82</v>
      </c>
      <c r="E59" s="717">
        <v>0.86699999999999999</v>
      </c>
      <c r="F59" s="717">
        <v>0.13300000000000001</v>
      </c>
      <c r="G59" s="121"/>
      <c r="H59" s="121"/>
      <c r="I59" s="795"/>
      <c r="J59" s="795"/>
      <c r="K59" s="795"/>
      <c r="L59" s="796"/>
      <c r="M59" s="796"/>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row>
    <row r="60" spans="1:49" x14ac:dyDescent="0.2">
      <c r="A60" s="702" t="s">
        <v>663</v>
      </c>
      <c r="B60" s="713">
        <v>204</v>
      </c>
      <c r="C60" s="713">
        <v>138</v>
      </c>
      <c r="D60" s="713">
        <v>66</v>
      </c>
      <c r="E60" s="717">
        <v>0.67600000000000005</v>
      </c>
      <c r="F60" s="717">
        <v>0.32400000000000001</v>
      </c>
      <c r="G60" s="121"/>
      <c r="H60" s="121"/>
      <c r="I60" s="795"/>
      <c r="J60" s="795"/>
      <c r="K60" s="795"/>
      <c r="L60" s="796"/>
      <c r="M60" s="796"/>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row>
    <row r="61" spans="1:49" x14ac:dyDescent="0.2">
      <c r="A61" s="702" t="s">
        <v>664</v>
      </c>
      <c r="B61" s="713">
        <v>85</v>
      </c>
      <c r="C61" s="713">
        <v>84</v>
      </c>
      <c r="D61" s="713">
        <v>1</v>
      </c>
      <c r="E61" s="717">
        <v>0.98799999999999999</v>
      </c>
      <c r="F61" s="717">
        <v>1.2E-2</v>
      </c>
      <c r="G61" s="121"/>
      <c r="H61" s="121"/>
      <c r="I61" s="795"/>
      <c r="J61" s="795"/>
      <c r="K61" s="795"/>
      <c r="L61" s="796"/>
      <c r="M61" s="796"/>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row>
    <row r="62" spans="1:49" x14ac:dyDescent="0.2">
      <c r="A62" s="709" t="s">
        <v>666</v>
      </c>
      <c r="B62" s="718">
        <v>4721</v>
      </c>
      <c r="C62" s="718">
        <v>3061</v>
      </c>
      <c r="D62" s="718">
        <v>1660</v>
      </c>
      <c r="E62" s="719">
        <v>0.64800000000000002</v>
      </c>
      <c r="F62" s="719">
        <v>0.35199999999999998</v>
      </c>
      <c r="G62" s="121"/>
      <c r="H62" s="121"/>
      <c r="I62" s="797"/>
      <c r="J62" s="797"/>
      <c r="K62" s="797"/>
      <c r="L62" s="798"/>
      <c r="M62" s="798"/>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row>
    <row r="63" spans="1:49" x14ac:dyDescent="0.2">
      <c r="G63" s="299"/>
    </row>
    <row r="64" spans="1:49" x14ac:dyDescent="0.2">
      <c r="A64" s="127" t="s">
        <v>588</v>
      </c>
      <c r="B64" s="295"/>
      <c r="G64" s="299"/>
      <c r="N64" s="291"/>
    </row>
    <row r="65" spans="1:15" x14ac:dyDescent="0.2">
      <c r="A65" s="296"/>
      <c r="G65" s="299"/>
    </row>
    <row r="66" spans="1:15" x14ac:dyDescent="0.2">
      <c r="G66" s="299"/>
    </row>
    <row r="67" spans="1:15" x14ac:dyDescent="0.2">
      <c r="B67" s="300"/>
      <c r="C67" s="300"/>
      <c r="D67" s="300"/>
      <c r="E67" s="300"/>
      <c r="F67" s="300"/>
      <c r="G67" s="300"/>
      <c r="H67" s="300"/>
      <c r="I67" s="300"/>
      <c r="J67" s="300"/>
      <c r="K67" s="300"/>
      <c r="L67" s="300"/>
      <c r="M67" s="300"/>
      <c r="N67" s="300"/>
      <c r="O67" s="300"/>
    </row>
    <row r="68" spans="1:15" x14ac:dyDescent="0.2">
      <c r="B68" s="300"/>
      <c r="C68" s="300"/>
      <c r="D68" s="300"/>
      <c r="E68" s="300"/>
      <c r="F68" s="300"/>
      <c r="G68" s="300"/>
      <c r="H68" s="300"/>
      <c r="I68" s="300"/>
      <c r="J68" s="300"/>
      <c r="K68" s="300"/>
      <c r="L68" s="300"/>
      <c r="M68" s="300"/>
      <c r="N68" s="300"/>
      <c r="O68" s="300"/>
    </row>
    <row r="69" spans="1:15" x14ac:dyDescent="0.2">
      <c r="B69" s="300"/>
      <c r="C69" s="300"/>
      <c r="D69" s="300"/>
      <c r="E69" s="300"/>
      <c r="F69" s="300"/>
      <c r="G69" s="300"/>
      <c r="H69" s="300"/>
      <c r="I69" s="300"/>
      <c r="J69" s="300"/>
      <c r="K69" s="300"/>
      <c r="L69" s="300"/>
      <c r="M69" s="300"/>
      <c r="N69" s="300"/>
      <c r="O69" s="300"/>
    </row>
    <row r="70" spans="1:15" x14ac:dyDescent="0.2">
      <c r="B70" s="300"/>
      <c r="C70" s="300"/>
      <c r="D70" s="300"/>
      <c r="E70" s="300"/>
      <c r="F70" s="300"/>
      <c r="G70" s="300"/>
      <c r="H70" s="300"/>
      <c r="I70" s="300"/>
      <c r="J70" s="300"/>
      <c r="K70" s="300"/>
      <c r="L70" s="300"/>
      <c r="M70" s="300"/>
      <c r="N70" s="300"/>
      <c r="O70" s="300"/>
    </row>
    <row r="71" spans="1:15" x14ac:dyDescent="0.2">
      <c r="B71" s="300"/>
      <c r="C71" s="300"/>
      <c r="D71" s="300"/>
      <c r="E71" s="300"/>
      <c r="F71" s="300"/>
      <c r="G71" s="300"/>
      <c r="H71" s="300"/>
      <c r="I71" s="300"/>
      <c r="J71" s="300"/>
      <c r="K71" s="300"/>
      <c r="L71" s="300"/>
      <c r="M71" s="300"/>
      <c r="N71" s="300"/>
      <c r="O71" s="300"/>
    </row>
    <row r="72" spans="1:15" x14ac:dyDescent="0.2">
      <c r="B72" s="300"/>
      <c r="C72" s="300"/>
      <c r="D72" s="300"/>
      <c r="E72" s="300"/>
      <c r="F72" s="300"/>
      <c r="G72" s="300"/>
      <c r="H72" s="300"/>
      <c r="I72" s="300"/>
      <c r="J72" s="300"/>
      <c r="K72" s="300"/>
      <c r="L72" s="300"/>
      <c r="M72" s="300"/>
      <c r="N72" s="300"/>
      <c r="O72" s="300"/>
    </row>
    <row r="73" spans="1:15" x14ac:dyDescent="0.2">
      <c r="B73" s="300"/>
      <c r="C73" s="300"/>
      <c r="D73" s="300"/>
      <c r="E73" s="300"/>
      <c r="F73" s="300"/>
      <c r="G73" s="300"/>
      <c r="H73" s="300"/>
      <c r="I73" s="300"/>
      <c r="J73" s="300"/>
      <c r="K73" s="300"/>
      <c r="L73" s="300"/>
      <c r="M73" s="300"/>
      <c r="N73" s="300"/>
      <c r="O73" s="300"/>
    </row>
    <row r="74" spans="1:15" x14ac:dyDescent="0.2">
      <c r="B74" s="300"/>
      <c r="C74" s="300"/>
      <c r="D74" s="300"/>
      <c r="E74" s="300"/>
      <c r="F74" s="300"/>
      <c r="G74" s="300"/>
      <c r="H74" s="300"/>
      <c r="I74" s="300"/>
      <c r="J74" s="300"/>
      <c r="K74" s="300"/>
      <c r="L74" s="300"/>
      <c r="M74" s="300"/>
      <c r="N74" s="300"/>
      <c r="O74" s="300"/>
    </row>
    <row r="75" spans="1:15" x14ac:dyDescent="0.2">
      <c r="B75" s="300"/>
      <c r="C75" s="300"/>
      <c r="D75" s="300"/>
      <c r="E75" s="300"/>
      <c r="F75" s="300"/>
      <c r="G75" s="300"/>
      <c r="H75" s="300"/>
      <c r="I75" s="300"/>
      <c r="J75" s="300"/>
      <c r="K75" s="300"/>
      <c r="L75" s="300"/>
      <c r="M75" s="300"/>
      <c r="N75" s="300"/>
      <c r="O75" s="300"/>
    </row>
    <row r="76" spans="1:15" x14ac:dyDescent="0.2">
      <c r="B76" s="300"/>
      <c r="C76" s="300"/>
      <c r="D76" s="300"/>
      <c r="E76" s="300"/>
      <c r="F76" s="300"/>
      <c r="G76" s="300"/>
      <c r="H76" s="300"/>
      <c r="I76" s="300"/>
      <c r="J76" s="300"/>
      <c r="K76" s="300"/>
      <c r="L76" s="300"/>
      <c r="M76" s="300"/>
      <c r="N76" s="300"/>
      <c r="O76" s="300"/>
    </row>
    <row r="77" spans="1:15" x14ac:dyDescent="0.2">
      <c r="B77" s="300"/>
      <c r="C77" s="300"/>
      <c r="D77" s="300"/>
      <c r="E77" s="300"/>
      <c r="F77" s="300"/>
      <c r="G77" s="300"/>
      <c r="H77" s="300"/>
      <c r="I77" s="300"/>
      <c r="J77" s="300"/>
      <c r="K77" s="300"/>
      <c r="L77" s="300"/>
      <c r="M77" s="300"/>
      <c r="N77" s="300"/>
      <c r="O77" s="300"/>
    </row>
    <row r="78" spans="1:15" x14ac:dyDescent="0.2">
      <c r="B78" s="300"/>
      <c r="C78" s="300"/>
      <c r="D78" s="300"/>
      <c r="E78" s="300"/>
      <c r="F78" s="300"/>
      <c r="G78" s="300"/>
      <c r="H78" s="300"/>
      <c r="I78" s="300"/>
      <c r="J78" s="300"/>
      <c r="K78" s="300"/>
      <c r="L78" s="300"/>
      <c r="M78" s="300"/>
      <c r="N78" s="300"/>
      <c r="O78" s="300"/>
    </row>
    <row r="79" spans="1:15" x14ac:dyDescent="0.2">
      <c r="B79" s="300"/>
      <c r="C79" s="300"/>
      <c r="D79" s="300"/>
      <c r="E79" s="300"/>
      <c r="F79" s="300"/>
      <c r="G79" s="300"/>
      <c r="H79" s="300"/>
      <c r="I79" s="300"/>
      <c r="J79" s="300"/>
      <c r="K79" s="300"/>
      <c r="L79" s="300"/>
      <c r="M79" s="300"/>
      <c r="N79" s="300"/>
      <c r="O79" s="300"/>
    </row>
    <row r="80" spans="1:15" x14ac:dyDescent="0.2">
      <c r="B80" s="300"/>
      <c r="C80" s="300"/>
      <c r="D80" s="300"/>
      <c r="E80" s="300"/>
      <c r="F80" s="300"/>
      <c r="G80" s="300"/>
      <c r="H80" s="300"/>
      <c r="I80" s="300"/>
      <c r="J80" s="300"/>
      <c r="K80" s="300"/>
      <c r="L80" s="300"/>
      <c r="M80" s="300"/>
      <c r="N80" s="300"/>
      <c r="O80" s="300"/>
    </row>
    <row r="81" spans="1:15" x14ac:dyDescent="0.2">
      <c r="B81" s="300"/>
      <c r="C81" s="300"/>
      <c r="D81" s="300"/>
      <c r="E81" s="300"/>
      <c r="F81" s="300"/>
      <c r="G81" s="300"/>
      <c r="H81" s="300"/>
      <c r="I81" s="300"/>
      <c r="J81" s="300"/>
      <c r="K81" s="300"/>
      <c r="L81" s="300"/>
      <c r="M81" s="300"/>
      <c r="N81" s="300"/>
      <c r="O81" s="300"/>
    </row>
    <row r="82" spans="1:15" x14ac:dyDescent="0.2">
      <c r="B82" s="300"/>
      <c r="C82" s="300"/>
      <c r="D82" s="300"/>
      <c r="E82" s="300"/>
      <c r="F82" s="300"/>
      <c r="G82" s="300"/>
      <c r="H82" s="300"/>
      <c r="I82" s="300"/>
      <c r="J82" s="300"/>
      <c r="K82" s="300"/>
      <c r="L82" s="300"/>
      <c r="M82" s="300"/>
      <c r="N82" s="300"/>
      <c r="O82" s="300"/>
    </row>
    <row r="83" spans="1:15" x14ac:dyDescent="0.2">
      <c r="B83" s="300"/>
      <c r="C83" s="300"/>
      <c r="D83" s="300"/>
      <c r="E83" s="300"/>
      <c r="F83" s="300"/>
      <c r="G83" s="300"/>
      <c r="H83" s="300"/>
      <c r="I83" s="300"/>
      <c r="J83" s="300"/>
      <c r="K83" s="300"/>
      <c r="L83" s="300"/>
      <c r="M83" s="300"/>
      <c r="N83" s="300"/>
      <c r="O83" s="300"/>
    </row>
    <row r="84" spans="1:15" x14ac:dyDescent="0.2">
      <c r="B84" s="300"/>
      <c r="C84" s="300"/>
      <c r="D84" s="300"/>
      <c r="E84" s="300"/>
      <c r="F84" s="300"/>
      <c r="G84" s="300"/>
      <c r="H84" s="300"/>
      <c r="I84" s="300"/>
      <c r="J84" s="300"/>
      <c r="K84" s="300"/>
      <c r="L84" s="300"/>
      <c r="M84" s="300"/>
      <c r="N84" s="300"/>
      <c r="O84" s="300"/>
    </row>
    <row r="85" spans="1:15" x14ac:dyDescent="0.2">
      <c r="B85" s="300"/>
      <c r="C85" s="300"/>
      <c r="D85" s="300"/>
      <c r="E85" s="300"/>
      <c r="F85" s="300"/>
      <c r="G85" s="300"/>
      <c r="H85" s="300"/>
      <c r="I85" s="300"/>
      <c r="J85" s="300"/>
      <c r="K85" s="300"/>
      <c r="L85" s="300"/>
      <c r="M85" s="300"/>
      <c r="N85" s="300"/>
      <c r="O85" s="300"/>
    </row>
    <row r="86" spans="1:15" x14ac:dyDescent="0.2">
      <c r="B86" s="300"/>
      <c r="C86" s="300"/>
      <c r="D86" s="300"/>
      <c r="E86" s="300"/>
      <c r="F86" s="300"/>
      <c r="G86" s="300"/>
      <c r="H86" s="300"/>
      <c r="I86" s="300"/>
      <c r="J86" s="300"/>
      <c r="K86" s="300"/>
      <c r="L86" s="300"/>
      <c r="M86" s="300"/>
      <c r="N86" s="300"/>
      <c r="O86" s="300"/>
    </row>
    <row r="87" spans="1:15" x14ac:dyDescent="0.2">
      <c r="B87" s="300"/>
      <c r="C87" s="300"/>
      <c r="D87" s="300"/>
      <c r="E87" s="300"/>
      <c r="F87" s="300"/>
      <c r="G87" s="300"/>
      <c r="H87" s="300"/>
      <c r="I87" s="300"/>
      <c r="J87" s="300"/>
      <c r="K87" s="300"/>
      <c r="L87" s="300"/>
      <c r="M87" s="300"/>
      <c r="N87" s="300"/>
      <c r="O87" s="300"/>
    </row>
    <row r="88" spans="1:15" x14ac:dyDescent="0.2">
      <c r="B88" s="300"/>
      <c r="C88" s="300"/>
      <c r="D88" s="300"/>
      <c r="E88" s="300"/>
      <c r="F88" s="300"/>
      <c r="G88" s="300"/>
      <c r="H88" s="300"/>
      <c r="I88" s="300"/>
      <c r="J88" s="300"/>
      <c r="K88" s="300"/>
      <c r="L88" s="300"/>
      <c r="M88" s="300"/>
      <c r="N88" s="300"/>
      <c r="O88" s="300"/>
    </row>
    <row r="89" spans="1:15" x14ac:dyDescent="0.2">
      <c r="A89" s="102" t="s">
        <v>346</v>
      </c>
      <c r="B89" s="300"/>
      <c r="C89" s="300"/>
      <c r="D89" s="300"/>
      <c r="E89" s="300"/>
      <c r="F89" s="300"/>
      <c r="G89" s="300"/>
      <c r="H89" s="300"/>
      <c r="I89" s="300"/>
      <c r="J89" s="300"/>
      <c r="K89" s="300"/>
      <c r="L89" s="300"/>
      <c r="M89" s="300"/>
      <c r="N89" s="102" t="s">
        <v>349</v>
      </c>
      <c r="O89" s="300"/>
    </row>
    <row r="114" spans="1:14" x14ac:dyDescent="0.2">
      <c r="A114" s="720" t="s">
        <v>677</v>
      </c>
      <c r="N114" s="720" t="s">
        <v>674</v>
      </c>
    </row>
    <row r="139" spans="1:14" ht="14.25" x14ac:dyDescent="0.2">
      <c r="A139" s="511" t="s">
        <v>673</v>
      </c>
      <c r="N139" s="720" t="s">
        <v>676</v>
      </c>
    </row>
    <row r="164" spans="1:14" ht="14.25" x14ac:dyDescent="0.2">
      <c r="A164" s="720" t="s">
        <v>675</v>
      </c>
      <c r="N164" s="721" t="s">
        <v>678</v>
      </c>
    </row>
    <row r="189" spans="1:14" x14ac:dyDescent="0.2">
      <c r="A189" s="720" t="s">
        <v>679</v>
      </c>
      <c r="N189" s="694" t="s">
        <v>729</v>
      </c>
    </row>
  </sheetData>
  <mergeCells count="2">
    <mergeCell ref="B36:F36"/>
    <mergeCell ref="B50:F50"/>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70C0"/>
  </sheetPr>
  <dimension ref="A1:Q34"/>
  <sheetViews>
    <sheetView workbookViewId="0"/>
  </sheetViews>
  <sheetFormatPr defaultColWidth="9.140625" defaultRowHeight="12.75" x14ac:dyDescent="0.2"/>
  <cols>
    <col min="1" max="1" width="29.7109375" style="107" customWidth="1"/>
    <col min="2" max="2" width="9.85546875" style="107" bestFit="1" customWidth="1"/>
    <col min="3" max="16384" width="9.140625" style="107"/>
  </cols>
  <sheetData>
    <row r="1" spans="1:17" x14ac:dyDescent="0.2">
      <c r="A1" s="106" t="s">
        <v>345</v>
      </c>
    </row>
    <row r="2" spans="1:17" x14ac:dyDescent="0.2">
      <c r="A2" s="106"/>
    </row>
    <row r="3" spans="1:17" x14ac:dyDescent="0.2">
      <c r="A3" s="127" t="s">
        <v>710</v>
      </c>
      <c r="B3" s="129" t="str">
        <f>IF(HLOOKUP(MAX(B7:Q7),A7:Q9,3,0)&gt;HLOOKUP(MAX(B7:Q7),A7:Q9,2,0),"Better", "Worse")</f>
        <v>Worse</v>
      </c>
      <c r="C3" s="112" t="b">
        <f>IF(HLOOKUP(MAX(B7:Q7),A7:Q9,3,0)=HLOOKUP(MAX(B7:Q7),A7:Q9,2,0),"Equal")</f>
        <v>0</v>
      </c>
    </row>
    <row r="4" spans="1:17" x14ac:dyDescent="0.2">
      <c r="A4" s="127" t="s">
        <v>144</v>
      </c>
      <c r="B4" s="128">
        <f>MAX(B7:Q7)</f>
        <v>42980</v>
      </c>
    </row>
    <row r="5" spans="1:17" x14ac:dyDescent="0.2">
      <c r="A5" s="127" t="s">
        <v>206</v>
      </c>
      <c r="B5" s="128" t="s">
        <v>213</v>
      </c>
    </row>
    <row r="6" spans="1:17" x14ac:dyDescent="0.2">
      <c r="A6" s="408"/>
    </row>
    <row r="7" spans="1:17" x14ac:dyDescent="0.2">
      <c r="A7" s="136"/>
      <c r="B7" s="157">
        <v>42156</v>
      </c>
      <c r="C7" s="157">
        <v>42248</v>
      </c>
      <c r="D7" s="157">
        <v>42339</v>
      </c>
      <c r="E7" s="157">
        <v>42430</v>
      </c>
      <c r="F7" s="157">
        <v>42522</v>
      </c>
      <c r="G7" s="157">
        <v>42615</v>
      </c>
      <c r="H7" s="157">
        <v>42705</v>
      </c>
      <c r="I7" s="157">
        <v>42796</v>
      </c>
      <c r="J7" s="597">
        <v>42887</v>
      </c>
      <c r="K7" s="597">
        <v>42980</v>
      </c>
      <c r="L7" s="157"/>
      <c r="M7" s="157"/>
      <c r="N7" s="157"/>
      <c r="O7" s="157"/>
      <c r="P7" s="157"/>
      <c r="Q7" s="157"/>
    </row>
    <row r="8" spans="1:17" x14ac:dyDescent="0.2">
      <c r="A8" s="158" t="s">
        <v>369</v>
      </c>
      <c r="B8" s="159">
        <v>0.81699999999999995</v>
      </c>
      <c r="C8" s="159">
        <v>0.81100000000000005</v>
      </c>
      <c r="D8" s="159">
        <v>0.83499999999999996</v>
      </c>
      <c r="E8" s="160">
        <v>0.82799999999999996</v>
      </c>
      <c r="F8" s="160">
        <v>0.80900000000000005</v>
      </c>
      <c r="G8" s="160">
        <v>0.78900000000000003</v>
      </c>
      <c r="H8" s="159">
        <v>0.77500000000000002</v>
      </c>
      <c r="I8" s="159">
        <v>0.73699999999999999</v>
      </c>
      <c r="J8" s="159">
        <v>0.72399999999999998</v>
      </c>
      <c r="K8" s="159">
        <v>0.76600000000000001</v>
      </c>
      <c r="L8" s="159"/>
      <c r="M8" s="160"/>
      <c r="N8" s="160"/>
      <c r="O8" s="160"/>
      <c r="P8" s="159"/>
      <c r="Q8" s="159"/>
    </row>
    <row r="9" spans="1:17" x14ac:dyDescent="0.2">
      <c r="A9" s="158" t="s">
        <v>370</v>
      </c>
      <c r="B9" s="159">
        <v>0.41</v>
      </c>
      <c r="C9" s="159">
        <v>0.46200000000000002</v>
      </c>
      <c r="D9" s="159">
        <v>0.69499999999999995</v>
      </c>
      <c r="E9" s="159">
        <v>0.69499999999999995</v>
      </c>
      <c r="F9" s="159">
        <v>0.69499999999999995</v>
      </c>
      <c r="G9" s="159">
        <v>0.73299999999999998</v>
      </c>
      <c r="H9" s="159">
        <v>0.64</v>
      </c>
      <c r="I9" s="159">
        <v>0.66600000000000004</v>
      </c>
      <c r="J9" s="159">
        <v>0.64600000000000002</v>
      </c>
      <c r="K9" s="159">
        <v>0.622</v>
      </c>
      <c r="L9" s="159"/>
      <c r="M9" s="159"/>
      <c r="N9" s="159"/>
      <c r="O9" s="159"/>
      <c r="P9" s="159"/>
      <c r="Q9" s="159"/>
    </row>
    <row r="11" spans="1:17" x14ac:dyDescent="0.2">
      <c r="A11" s="145"/>
      <c r="B11" s="282"/>
      <c r="C11" s="282"/>
      <c r="D11" s="282"/>
      <c r="E11" s="282"/>
      <c r="F11" s="155"/>
    </row>
    <row r="12" spans="1:17" x14ac:dyDescent="0.2">
      <c r="B12" s="155"/>
      <c r="C12" s="155"/>
      <c r="D12" s="155"/>
      <c r="E12" s="155"/>
      <c r="F12" s="155"/>
    </row>
    <row r="15" spans="1:17" x14ac:dyDescent="0.2">
      <c r="A15" s="145"/>
      <c r="B15" s="145"/>
      <c r="C15" s="145"/>
      <c r="D15" s="145"/>
      <c r="E15" s="145"/>
      <c r="F15" s="145"/>
      <c r="G15" s="145"/>
      <c r="H15" s="145"/>
      <c r="I15" s="145"/>
      <c r="J15" s="145"/>
      <c r="K15" s="145"/>
    </row>
    <row r="34" spans="15:15" x14ac:dyDescent="0.2">
      <c r="O34"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W33"/>
  <sheetViews>
    <sheetView workbookViewId="0">
      <pane xSplit="1" topLeftCell="B1" activePane="topRight" state="frozen"/>
      <selection pane="topRight"/>
    </sheetView>
  </sheetViews>
  <sheetFormatPr defaultColWidth="9.140625" defaultRowHeight="12.75" x14ac:dyDescent="0.2"/>
  <cols>
    <col min="1" max="1" width="26.7109375" style="107" customWidth="1"/>
    <col min="2" max="2" width="10.140625" style="107" customWidth="1"/>
    <col min="3" max="13" width="9.140625" style="107" customWidth="1"/>
    <col min="14" max="16384" width="9.140625" style="107"/>
  </cols>
  <sheetData>
    <row r="1" spans="1:49" x14ac:dyDescent="0.2">
      <c r="A1" s="283" t="s">
        <v>345</v>
      </c>
    </row>
    <row r="2" spans="1:49" x14ac:dyDescent="0.2">
      <c r="A2" s="106"/>
    </row>
    <row r="3" spans="1:49" x14ac:dyDescent="0.2">
      <c r="A3" s="108" t="s">
        <v>436</v>
      </c>
      <c r="B3" s="107" t="s">
        <v>58</v>
      </c>
    </row>
    <row r="4" spans="1:49" x14ac:dyDescent="0.2">
      <c r="A4" s="108" t="s">
        <v>143</v>
      </c>
      <c r="B4" s="126">
        <f>HLOOKUP(MAX(B9:AW9),B9:AW13,2,0)</f>
        <v>0.77600000000000002</v>
      </c>
    </row>
    <row r="5" spans="1:49" x14ac:dyDescent="0.2">
      <c r="A5" s="108" t="s">
        <v>118</v>
      </c>
      <c r="B5" s="111">
        <f>MAX(B9:AW9)</f>
        <v>43070</v>
      </c>
    </row>
    <row r="6" spans="1:49" x14ac:dyDescent="0.2">
      <c r="A6" s="108" t="s">
        <v>195</v>
      </c>
      <c r="B6" s="548" t="s">
        <v>175</v>
      </c>
    </row>
    <row r="7" spans="1:49" x14ac:dyDescent="0.2">
      <c r="A7" s="108" t="s">
        <v>438</v>
      </c>
      <c r="B7" s="162" t="s">
        <v>137</v>
      </c>
    </row>
    <row r="8" spans="1:49" x14ac:dyDescent="0.2">
      <c r="A8" s="124"/>
    </row>
    <row r="9" spans="1:49" x14ac:dyDescent="0.2">
      <c r="A9" s="190"/>
      <c r="B9" s="114">
        <v>42095</v>
      </c>
      <c r="C9" s="114">
        <v>42125</v>
      </c>
      <c r="D9" s="114">
        <v>42156</v>
      </c>
      <c r="E9" s="114">
        <v>42186</v>
      </c>
      <c r="F9" s="114">
        <v>42217</v>
      </c>
      <c r="G9" s="114">
        <v>42248</v>
      </c>
      <c r="H9" s="114">
        <v>42278</v>
      </c>
      <c r="I9" s="114">
        <v>42309</v>
      </c>
      <c r="J9" s="114">
        <v>42339</v>
      </c>
      <c r="K9" s="114">
        <v>42370</v>
      </c>
      <c r="L9" s="114">
        <v>42401</v>
      </c>
      <c r="M9" s="114">
        <v>42430</v>
      </c>
      <c r="N9" s="114">
        <v>42461</v>
      </c>
      <c r="O9" s="114">
        <v>42491</v>
      </c>
      <c r="P9" s="114">
        <v>42522</v>
      </c>
      <c r="Q9" s="114">
        <v>42552</v>
      </c>
      <c r="R9" s="114">
        <v>42583</v>
      </c>
      <c r="S9" s="114">
        <v>42614</v>
      </c>
      <c r="T9" s="114">
        <v>42644</v>
      </c>
      <c r="U9" s="114">
        <v>42675</v>
      </c>
      <c r="V9" s="114">
        <v>42705</v>
      </c>
      <c r="W9" s="114">
        <v>42736</v>
      </c>
      <c r="X9" s="114">
        <v>42767</v>
      </c>
      <c r="Y9" s="114">
        <v>42795</v>
      </c>
      <c r="Z9" s="114">
        <v>42826</v>
      </c>
      <c r="AA9" s="114">
        <v>42856</v>
      </c>
      <c r="AB9" s="114">
        <v>42887</v>
      </c>
      <c r="AC9" s="114">
        <v>42917</v>
      </c>
      <c r="AD9" s="114">
        <v>42948</v>
      </c>
      <c r="AE9" s="114">
        <v>42979</v>
      </c>
      <c r="AF9" s="114">
        <v>43009</v>
      </c>
      <c r="AG9" s="114">
        <v>43040</v>
      </c>
      <c r="AH9" s="114">
        <v>43070</v>
      </c>
      <c r="AI9" s="114"/>
      <c r="AJ9" s="114"/>
      <c r="AK9" s="114"/>
      <c r="AL9" s="114"/>
      <c r="AM9" s="114"/>
      <c r="AN9" s="114"/>
      <c r="AO9" s="114"/>
      <c r="AP9" s="114"/>
      <c r="AQ9" s="114"/>
      <c r="AR9" s="114"/>
      <c r="AS9" s="114"/>
      <c r="AT9" s="114"/>
      <c r="AU9" s="114"/>
      <c r="AV9" s="114"/>
      <c r="AW9" s="114"/>
    </row>
    <row r="10" spans="1:49" ht="25.5" x14ac:dyDescent="0.2">
      <c r="A10" s="301" t="s">
        <v>189</v>
      </c>
      <c r="B10" s="55">
        <v>0.86099999999999999</v>
      </c>
      <c r="C10" s="55">
        <v>0.87</v>
      </c>
      <c r="D10" s="55">
        <v>0.8590000000000001</v>
      </c>
      <c r="E10" s="55">
        <v>0.873</v>
      </c>
      <c r="F10" s="55">
        <v>0.85199999999999998</v>
      </c>
      <c r="G10" s="55">
        <v>0.84900000000000009</v>
      </c>
      <c r="H10" s="55">
        <v>0.84</v>
      </c>
      <c r="I10" s="55">
        <v>0.82499999999999996</v>
      </c>
      <c r="J10" s="55">
        <v>0.82799999999999996</v>
      </c>
      <c r="K10" s="55">
        <v>0.83</v>
      </c>
      <c r="L10" s="55">
        <v>0.82400000000000007</v>
      </c>
      <c r="M10" s="55">
        <v>0.82400000000000007</v>
      </c>
      <c r="N10" s="55">
        <v>0.83</v>
      </c>
      <c r="O10" s="55">
        <v>0.82900000000000007</v>
      </c>
      <c r="P10" s="55">
        <v>0.81299999999999994</v>
      </c>
      <c r="Q10" s="55">
        <v>0.83599999999999997</v>
      </c>
      <c r="R10" s="55">
        <v>0.83199999999999996</v>
      </c>
      <c r="S10" s="55">
        <v>0.81</v>
      </c>
      <c r="T10" s="55">
        <v>0.80200000000000005</v>
      </c>
      <c r="U10" s="55">
        <v>0.79900000000000004</v>
      </c>
      <c r="V10" s="55">
        <v>0.79900000000000004</v>
      </c>
      <c r="W10" s="55">
        <v>0.79200000000000004</v>
      </c>
      <c r="X10" s="55">
        <v>0.79300000000000004</v>
      </c>
      <c r="Y10" s="55">
        <v>0.79100000000000004</v>
      </c>
      <c r="Z10" s="55">
        <v>0.78800000000000003</v>
      </c>
      <c r="AA10" s="55">
        <v>0.81</v>
      </c>
      <c r="AB10" s="55">
        <v>0.81100000000000005</v>
      </c>
      <c r="AC10" s="55">
        <v>0.80700000000000005</v>
      </c>
      <c r="AD10" s="55">
        <v>0.79400000000000004</v>
      </c>
      <c r="AE10" s="55">
        <v>0.78600000000000003</v>
      </c>
      <c r="AF10" s="55">
        <v>0.78300000000000003</v>
      </c>
      <c r="AG10" s="55">
        <v>0.76200000000000001</v>
      </c>
      <c r="AH10" s="55">
        <v>0.77600000000000002</v>
      </c>
      <c r="AI10" s="55"/>
      <c r="AJ10" s="55"/>
      <c r="AK10" s="55"/>
      <c r="AL10" s="55"/>
      <c r="AM10" s="55"/>
      <c r="AN10" s="55"/>
      <c r="AO10" s="55"/>
      <c r="AP10" s="55"/>
      <c r="AQ10" s="55"/>
      <c r="AR10" s="55"/>
      <c r="AS10" s="55"/>
      <c r="AT10" s="55"/>
      <c r="AU10" s="55"/>
      <c r="AV10" s="55"/>
      <c r="AW10" s="55"/>
    </row>
    <row r="11" spans="1:49" ht="25.5" x14ac:dyDescent="0.2">
      <c r="A11" s="117" t="s">
        <v>411</v>
      </c>
      <c r="B11" s="119">
        <v>12446</v>
      </c>
      <c r="C11" s="119">
        <v>12417</v>
      </c>
      <c r="D11" s="119">
        <v>13795</v>
      </c>
      <c r="E11" s="119">
        <v>13297</v>
      </c>
      <c r="F11" s="119">
        <v>12631</v>
      </c>
      <c r="G11" s="119">
        <v>13820</v>
      </c>
      <c r="H11" s="119">
        <v>13642</v>
      </c>
      <c r="I11" s="119">
        <v>13000</v>
      </c>
      <c r="J11" s="119">
        <v>13133</v>
      </c>
      <c r="K11" s="119">
        <v>11931</v>
      </c>
      <c r="L11" s="119">
        <v>12396</v>
      </c>
      <c r="M11" s="119">
        <v>12791</v>
      </c>
      <c r="N11" s="119">
        <v>13157</v>
      </c>
      <c r="O11" s="119">
        <v>13067</v>
      </c>
      <c r="P11" s="119">
        <v>13303</v>
      </c>
      <c r="Q11" s="119">
        <v>11213</v>
      </c>
      <c r="R11" s="119">
        <v>13080</v>
      </c>
      <c r="S11" s="119">
        <v>11498</v>
      </c>
      <c r="T11" s="119">
        <v>11307</v>
      </c>
      <c r="U11" s="119">
        <v>12485</v>
      </c>
      <c r="V11" s="119">
        <v>10409</v>
      </c>
      <c r="W11" s="119">
        <v>11030</v>
      </c>
      <c r="X11" s="119">
        <v>10578</v>
      </c>
      <c r="Y11" s="119">
        <v>12279</v>
      </c>
      <c r="Z11" s="119">
        <v>9935</v>
      </c>
      <c r="AA11" s="119">
        <v>12539</v>
      </c>
      <c r="AB11" s="119">
        <v>11942</v>
      </c>
      <c r="AC11" s="119">
        <v>10033</v>
      </c>
      <c r="AD11" s="119">
        <v>11791</v>
      </c>
      <c r="AE11" s="119">
        <v>10058</v>
      </c>
      <c r="AF11" s="119">
        <v>11202</v>
      </c>
      <c r="AG11" s="119">
        <v>11618</v>
      </c>
      <c r="AH11" s="119">
        <v>9243</v>
      </c>
      <c r="AI11" s="119"/>
      <c r="AJ11" s="119"/>
      <c r="AK11" s="119"/>
      <c r="AL11" s="119"/>
      <c r="AM11" s="119"/>
      <c r="AN11" s="119"/>
      <c r="AO11" s="119"/>
      <c r="AP11" s="119"/>
      <c r="AQ11" s="119"/>
      <c r="AR11" s="119"/>
      <c r="AS11" s="119"/>
      <c r="AT11" s="119"/>
      <c r="AU11" s="119"/>
      <c r="AV11" s="119"/>
      <c r="AW11" s="119"/>
    </row>
    <row r="12" spans="1:49" ht="25.5" x14ac:dyDescent="0.2">
      <c r="A12" s="117" t="s">
        <v>412</v>
      </c>
      <c r="B12" s="119">
        <v>2001</v>
      </c>
      <c r="C12" s="119">
        <v>1849</v>
      </c>
      <c r="D12" s="119">
        <v>2265</v>
      </c>
      <c r="E12" s="119">
        <v>1941</v>
      </c>
      <c r="F12" s="119">
        <v>2201</v>
      </c>
      <c r="G12" s="119">
        <v>2449</v>
      </c>
      <c r="H12" s="119">
        <v>2604</v>
      </c>
      <c r="I12" s="119">
        <v>2749</v>
      </c>
      <c r="J12" s="119">
        <v>2720</v>
      </c>
      <c r="K12" s="119">
        <v>2443</v>
      </c>
      <c r="L12" s="119">
        <v>2647</v>
      </c>
      <c r="M12" s="119">
        <v>2736</v>
      </c>
      <c r="N12" s="119">
        <v>2688</v>
      </c>
      <c r="O12" s="119">
        <v>2703</v>
      </c>
      <c r="P12" s="119">
        <v>3061</v>
      </c>
      <c r="Q12" s="119">
        <v>2197</v>
      </c>
      <c r="R12" s="119">
        <v>2632</v>
      </c>
      <c r="S12" s="119">
        <v>2691</v>
      </c>
      <c r="T12" s="119">
        <v>2785</v>
      </c>
      <c r="U12" s="119">
        <v>3146</v>
      </c>
      <c r="V12" s="119">
        <v>2614</v>
      </c>
      <c r="W12" s="119">
        <v>2888</v>
      </c>
      <c r="X12" s="119">
        <v>2763</v>
      </c>
      <c r="Y12" s="119">
        <v>3252</v>
      </c>
      <c r="Z12" s="119">
        <v>2674</v>
      </c>
      <c r="AA12" s="119">
        <v>2935</v>
      </c>
      <c r="AB12" s="119">
        <v>2784</v>
      </c>
      <c r="AC12" s="119">
        <v>2404</v>
      </c>
      <c r="AD12" s="119">
        <v>3058</v>
      </c>
      <c r="AE12" s="119">
        <v>2746</v>
      </c>
      <c r="AF12" s="119">
        <v>3096</v>
      </c>
      <c r="AG12" s="119">
        <v>3629</v>
      </c>
      <c r="AH12" s="119">
        <v>2662</v>
      </c>
      <c r="AI12" s="119"/>
      <c r="AJ12" s="119"/>
      <c r="AK12" s="119"/>
      <c r="AL12" s="119"/>
      <c r="AM12" s="119"/>
      <c r="AN12" s="119"/>
      <c r="AO12" s="119"/>
      <c r="AP12" s="119"/>
      <c r="AQ12" s="119"/>
      <c r="AR12" s="119"/>
      <c r="AS12" s="119"/>
      <c r="AT12" s="119"/>
      <c r="AU12" s="119"/>
      <c r="AV12" s="119"/>
      <c r="AW12" s="119"/>
    </row>
    <row r="13" spans="1:49" ht="25.5" x14ac:dyDescent="0.2">
      <c r="A13" s="117" t="s">
        <v>413</v>
      </c>
      <c r="B13" s="120">
        <v>0.85099999999999998</v>
      </c>
      <c r="C13" s="120">
        <v>0.85699999999999998</v>
      </c>
      <c r="D13" s="120">
        <v>0.86</v>
      </c>
      <c r="E13" s="120">
        <v>0.84799999999999998</v>
      </c>
      <c r="F13" s="120">
        <v>0.84900000000000009</v>
      </c>
      <c r="G13" s="120">
        <v>0.86699999999999999</v>
      </c>
      <c r="H13" s="120">
        <v>0.87400000000000011</v>
      </c>
      <c r="I13" s="120">
        <v>0.86299999999999999</v>
      </c>
      <c r="J13" s="120">
        <v>0.86099999999999999</v>
      </c>
      <c r="K13" s="120">
        <v>0.86799999999999999</v>
      </c>
      <c r="L13" s="120">
        <v>0.87</v>
      </c>
      <c r="M13" s="120">
        <v>0.871</v>
      </c>
      <c r="N13" s="120">
        <v>0.87</v>
      </c>
      <c r="O13" s="120">
        <v>0.87</v>
      </c>
      <c r="P13" s="120">
        <v>0.89300000000000002</v>
      </c>
      <c r="Q13" s="120">
        <v>0.873</v>
      </c>
      <c r="R13" s="120">
        <v>0.876</v>
      </c>
      <c r="S13" s="120">
        <v>0.87</v>
      </c>
      <c r="T13" s="120">
        <v>0.873</v>
      </c>
      <c r="U13" s="120">
        <v>0.872</v>
      </c>
      <c r="V13" s="120">
        <v>0.871</v>
      </c>
      <c r="W13" s="120">
        <v>0.87</v>
      </c>
      <c r="X13" s="120">
        <v>0.86799999999999999</v>
      </c>
      <c r="Y13" s="120">
        <v>0.86499999999999999</v>
      </c>
      <c r="Z13" s="120">
        <v>0.872</v>
      </c>
      <c r="AA13" s="120">
        <v>0.86799999999999999</v>
      </c>
      <c r="AB13" s="120">
        <v>0.623</v>
      </c>
      <c r="AC13" s="120">
        <v>0.86</v>
      </c>
      <c r="AD13" s="120">
        <v>0.86399999999999999</v>
      </c>
      <c r="AE13" s="120">
        <v>0.86599999999999999</v>
      </c>
      <c r="AF13" s="120">
        <v>0.86399999999999999</v>
      </c>
      <c r="AG13" s="120">
        <v>0.86699999999999999</v>
      </c>
      <c r="AH13" s="120">
        <v>0.86399999999999999</v>
      </c>
      <c r="AI13" s="120"/>
      <c r="AJ13" s="120"/>
      <c r="AK13" s="120"/>
      <c r="AL13" s="120"/>
      <c r="AM13" s="120"/>
      <c r="AN13" s="120"/>
      <c r="AO13" s="120"/>
      <c r="AP13" s="120"/>
      <c r="AQ13" s="120"/>
      <c r="AR13" s="120"/>
      <c r="AS13" s="120"/>
      <c r="AT13" s="120"/>
      <c r="AU13" s="120"/>
      <c r="AV13" s="120"/>
      <c r="AW13" s="120"/>
    </row>
    <row r="14" spans="1:49" x14ac:dyDescent="0.2">
      <c r="A14" s="75" t="s">
        <v>15</v>
      </c>
      <c r="B14" s="62">
        <v>0.9</v>
      </c>
      <c r="C14" s="62">
        <v>0.9</v>
      </c>
      <c r="D14" s="62">
        <v>0.9</v>
      </c>
      <c r="E14" s="62">
        <v>0.9</v>
      </c>
      <c r="F14" s="62">
        <v>0.9</v>
      </c>
      <c r="G14" s="62">
        <v>0.9</v>
      </c>
      <c r="H14" s="62">
        <v>0.9</v>
      </c>
      <c r="I14" s="62">
        <v>0.9</v>
      </c>
      <c r="J14" s="62">
        <v>0.9</v>
      </c>
      <c r="K14" s="62">
        <v>0.9</v>
      </c>
      <c r="L14" s="62">
        <v>0.9</v>
      </c>
      <c r="M14" s="62">
        <v>0.9</v>
      </c>
      <c r="N14" s="62">
        <v>0.9</v>
      </c>
      <c r="O14" s="62">
        <v>0.9</v>
      </c>
      <c r="P14" s="62">
        <v>0.9</v>
      </c>
      <c r="Q14" s="62">
        <v>0.9</v>
      </c>
      <c r="R14" s="62">
        <v>0.9</v>
      </c>
      <c r="S14" s="62">
        <v>0.9</v>
      </c>
      <c r="T14" s="62">
        <v>0.9</v>
      </c>
      <c r="U14" s="62">
        <v>0.9</v>
      </c>
      <c r="V14" s="62">
        <v>0.9</v>
      </c>
      <c r="W14" s="62">
        <v>0.9</v>
      </c>
      <c r="X14" s="62">
        <v>0.9</v>
      </c>
      <c r="Y14" s="62">
        <v>0.9</v>
      </c>
      <c r="Z14" s="62">
        <v>0.9</v>
      </c>
      <c r="AA14" s="62">
        <v>0.9</v>
      </c>
      <c r="AB14" s="62">
        <v>0.9</v>
      </c>
      <c r="AC14" s="62">
        <v>0.9</v>
      </c>
      <c r="AD14" s="62">
        <v>0.9</v>
      </c>
      <c r="AE14" s="62">
        <v>0.9</v>
      </c>
      <c r="AF14" s="62">
        <v>0.9</v>
      </c>
      <c r="AG14" s="62">
        <v>0.9</v>
      </c>
      <c r="AH14" s="62">
        <v>0.9</v>
      </c>
      <c r="AI14" s="62">
        <v>0.9</v>
      </c>
      <c r="AJ14" s="62">
        <v>0.9</v>
      </c>
      <c r="AK14" s="62">
        <v>0.9</v>
      </c>
      <c r="AL14" s="62">
        <v>0.9</v>
      </c>
      <c r="AM14" s="62">
        <v>0.9</v>
      </c>
      <c r="AN14" s="62">
        <v>0.9</v>
      </c>
      <c r="AO14" s="62">
        <v>0.9</v>
      </c>
      <c r="AP14" s="62">
        <v>0.9</v>
      </c>
      <c r="AQ14" s="62">
        <v>0.9</v>
      </c>
      <c r="AR14" s="62">
        <v>0.9</v>
      </c>
      <c r="AS14" s="62">
        <v>0.9</v>
      </c>
      <c r="AT14" s="62">
        <v>0.9</v>
      </c>
      <c r="AU14" s="62">
        <v>0.9</v>
      </c>
      <c r="AV14" s="62">
        <v>0.9</v>
      </c>
      <c r="AW14" s="62">
        <v>0.9</v>
      </c>
    </row>
    <row r="15" spans="1:49" x14ac:dyDescent="0.2">
      <c r="A15" s="76"/>
      <c r="B15" s="77"/>
      <c r="C15" s="77"/>
      <c r="D15" s="77"/>
      <c r="E15" s="77"/>
      <c r="F15" s="77"/>
      <c r="G15" s="77"/>
      <c r="H15" s="77"/>
      <c r="I15" s="77"/>
      <c r="J15" s="77"/>
      <c r="K15" s="77"/>
      <c r="L15" s="77"/>
      <c r="M15" s="77"/>
      <c r="N15" s="77"/>
      <c r="O15" s="77"/>
      <c r="P15" s="77"/>
      <c r="Q15" s="77"/>
      <c r="R15" s="77"/>
      <c r="S15" s="77"/>
      <c r="T15" s="77"/>
      <c r="U15" s="77"/>
      <c r="V15" s="77"/>
      <c r="W15" s="77"/>
      <c r="X15" s="77"/>
      <c r="Y15" s="77"/>
    </row>
    <row r="16" spans="1:49" x14ac:dyDescent="0.2">
      <c r="A16" s="127" t="s">
        <v>589</v>
      </c>
      <c r="B16" s="155"/>
      <c r="C16" s="155"/>
      <c r="D16" s="155"/>
      <c r="E16" s="155"/>
      <c r="F16" s="155"/>
      <c r="G16" s="155"/>
      <c r="H16" s="155"/>
      <c r="I16" s="155"/>
      <c r="J16" s="155"/>
      <c r="K16" s="155"/>
      <c r="L16" s="155"/>
      <c r="M16" s="155"/>
      <c r="N16" s="155"/>
      <c r="O16" s="155"/>
      <c r="P16" s="155"/>
      <c r="Q16" s="155"/>
    </row>
    <row r="17" spans="2:17" x14ac:dyDescent="0.2">
      <c r="B17" s="155"/>
      <c r="C17" s="155"/>
      <c r="D17" s="155"/>
      <c r="E17" s="155"/>
      <c r="F17" s="155"/>
      <c r="G17" s="155"/>
      <c r="H17" s="155"/>
      <c r="I17" s="155"/>
      <c r="J17" s="155"/>
      <c r="K17" s="155"/>
      <c r="L17" s="155"/>
      <c r="M17" s="155"/>
      <c r="N17" s="155"/>
      <c r="O17" s="155"/>
      <c r="P17" s="155"/>
      <c r="Q17" s="155"/>
    </row>
    <row r="33" spans="16:16" x14ac:dyDescent="0.2">
      <c r="P33" s="302"/>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70C0"/>
  </sheetPr>
  <dimension ref="A1:AW34"/>
  <sheetViews>
    <sheetView workbookViewId="0">
      <pane xSplit="1" topLeftCell="B1" activePane="topRight" state="frozen"/>
      <selection pane="topRight"/>
    </sheetView>
  </sheetViews>
  <sheetFormatPr defaultColWidth="9.140625" defaultRowHeight="12.75" x14ac:dyDescent="0.2"/>
  <cols>
    <col min="1" max="1" width="29.7109375" style="107" customWidth="1"/>
    <col min="2" max="2" width="9.85546875" style="107" bestFit="1" customWidth="1"/>
    <col min="3" max="16384" width="9.140625" style="107"/>
  </cols>
  <sheetData>
    <row r="1" spans="1:49" x14ac:dyDescent="0.2">
      <c r="A1" s="106" t="s">
        <v>345</v>
      </c>
      <c r="E1" s="599"/>
    </row>
    <row r="2" spans="1:49" x14ac:dyDescent="0.2">
      <c r="A2" s="106"/>
    </row>
    <row r="3" spans="1:49" x14ac:dyDescent="0.2">
      <c r="A3" s="127" t="s">
        <v>710</v>
      </c>
      <c r="B3" s="129" t="str">
        <f>IF(HLOOKUP(MAX(B7:AW7),A7:AW9,3,0)&gt;HLOOKUP(MAX(B7:AW7),A7:AW9,2,0),"Better", "Worse")</f>
        <v>Worse</v>
      </c>
      <c r="C3" s="112" t="b">
        <f>IF(HLOOKUP(MAX(B7:AW7),A7:AW9,3,0)=HLOOKUP(MAX(B7:AW7),A7:AW9,2,0),"Equal")</f>
        <v>0</v>
      </c>
    </row>
    <row r="4" spans="1:49" x14ac:dyDescent="0.2">
      <c r="A4" s="127" t="s">
        <v>144</v>
      </c>
      <c r="B4" s="111">
        <f>MAX(B7:AW7)</f>
        <v>42979</v>
      </c>
    </row>
    <row r="5" spans="1:49" x14ac:dyDescent="0.2">
      <c r="A5" s="127" t="s">
        <v>206</v>
      </c>
      <c r="B5" s="128" t="s">
        <v>224</v>
      </c>
    </row>
    <row r="7" spans="1:49" x14ac:dyDescent="0.2">
      <c r="A7" s="136"/>
      <c r="B7" s="157">
        <v>42095</v>
      </c>
      <c r="C7" s="157">
        <v>42125</v>
      </c>
      <c r="D7" s="157">
        <v>42156</v>
      </c>
      <c r="E7" s="157">
        <v>42186</v>
      </c>
      <c r="F7" s="157">
        <v>42217</v>
      </c>
      <c r="G7" s="157">
        <v>42248</v>
      </c>
      <c r="H7" s="157">
        <v>42278</v>
      </c>
      <c r="I7" s="157">
        <v>42309</v>
      </c>
      <c r="J7" s="157">
        <v>42339</v>
      </c>
      <c r="K7" s="157">
        <v>42370</v>
      </c>
      <c r="L7" s="157">
        <v>42401</v>
      </c>
      <c r="M7" s="157">
        <v>42430</v>
      </c>
      <c r="N7" s="157">
        <v>42461</v>
      </c>
      <c r="O7" s="157">
        <v>42491</v>
      </c>
      <c r="P7" s="157">
        <v>42522</v>
      </c>
      <c r="Q7" s="157">
        <v>42552</v>
      </c>
      <c r="R7" s="157">
        <v>42583</v>
      </c>
      <c r="S7" s="157">
        <v>42614</v>
      </c>
      <c r="T7" s="157">
        <v>42644</v>
      </c>
      <c r="U7" s="157">
        <v>42675</v>
      </c>
      <c r="V7" s="157">
        <v>42705</v>
      </c>
      <c r="W7" s="157">
        <v>42736</v>
      </c>
      <c r="X7" s="157">
        <v>42767</v>
      </c>
      <c r="Y7" s="157">
        <v>42795</v>
      </c>
      <c r="Z7" s="597">
        <v>42826</v>
      </c>
      <c r="AA7" s="597">
        <v>42856</v>
      </c>
      <c r="AB7" s="597">
        <v>42887</v>
      </c>
      <c r="AC7" s="597">
        <v>42917</v>
      </c>
      <c r="AD7" s="597">
        <v>42948</v>
      </c>
      <c r="AE7" s="597">
        <v>42979</v>
      </c>
      <c r="AF7" s="157"/>
      <c r="AG7" s="157"/>
      <c r="AH7" s="157"/>
      <c r="AI7" s="157"/>
      <c r="AJ7" s="157"/>
      <c r="AK7" s="157"/>
      <c r="AL7" s="157"/>
      <c r="AM7" s="157"/>
      <c r="AN7" s="157"/>
      <c r="AO7" s="157"/>
      <c r="AP7" s="157"/>
      <c r="AQ7" s="157"/>
      <c r="AR7" s="157"/>
      <c r="AS7" s="157"/>
      <c r="AT7" s="157"/>
      <c r="AU7" s="157"/>
      <c r="AV7" s="157"/>
      <c r="AW7" s="157"/>
    </row>
    <row r="8" spans="1:49" x14ac:dyDescent="0.2">
      <c r="A8" s="158" t="s">
        <v>369</v>
      </c>
      <c r="B8" s="159">
        <v>0.876</v>
      </c>
      <c r="C8" s="159">
        <v>0.88500000000000001</v>
      </c>
      <c r="D8" s="159">
        <v>0.88300000000000001</v>
      </c>
      <c r="E8" s="160">
        <v>0.88</v>
      </c>
      <c r="F8" s="155">
        <v>0.879</v>
      </c>
      <c r="G8" s="159">
        <v>0.872</v>
      </c>
      <c r="H8" s="159">
        <v>0.86499999999999999</v>
      </c>
      <c r="I8" s="159">
        <v>0.86299999999999999</v>
      </c>
      <c r="J8" s="159">
        <v>0.871</v>
      </c>
      <c r="K8" s="159">
        <v>0.86699999999999999</v>
      </c>
      <c r="L8" s="159">
        <v>0.86199999999999999</v>
      </c>
      <c r="M8" s="159">
        <v>0.86599999999999999</v>
      </c>
      <c r="N8" s="159">
        <v>0.86099999999999999</v>
      </c>
      <c r="O8" s="159">
        <v>0.872</v>
      </c>
      <c r="P8" s="159">
        <v>0.87</v>
      </c>
      <c r="Q8" s="159">
        <v>0.86599999999999999</v>
      </c>
      <c r="R8" s="159">
        <v>0.86</v>
      </c>
      <c r="S8" s="159">
        <v>0.84699999999999998</v>
      </c>
      <c r="T8" s="159">
        <v>0.84199999999999997</v>
      </c>
      <c r="U8" s="159">
        <v>0.83799999999999997</v>
      </c>
      <c r="V8" s="159">
        <v>0.83799999999999997</v>
      </c>
      <c r="W8" s="159">
        <v>0.83199999999999996</v>
      </c>
      <c r="X8" s="159">
        <v>0.83</v>
      </c>
      <c r="Y8" s="159">
        <v>0.83199999999999996</v>
      </c>
      <c r="Z8" s="159">
        <v>0.83499999999999996</v>
      </c>
      <c r="AA8" s="159">
        <v>0.84699999999999998</v>
      </c>
      <c r="AB8" s="159">
        <v>0.84799999999999998</v>
      </c>
      <c r="AC8" s="160">
        <v>0.83199999999999996</v>
      </c>
      <c r="AD8" s="155">
        <v>0.82399999999999995</v>
      </c>
      <c r="AE8" s="159">
        <v>0.81399999999999995</v>
      </c>
      <c r="AF8" s="159"/>
      <c r="AG8" s="159"/>
      <c r="AH8" s="159"/>
      <c r="AI8" s="159"/>
      <c r="AJ8" s="159"/>
      <c r="AK8" s="159"/>
      <c r="AL8" s="159"/>
      <c r="AM8" s="159"/>
      <c r="AN8" s="159"/>
      <c r="AO8" s="159"/>
      <c r="AP8" s="159"/>
      <c r="AQ8" s="159"/>
      <c r="AR8" s="159"/>
      <c r="AS8" s="159"/>
      <c r="AT8" s="159"/>
      <c r="AU8" s="159"/>
      <c r="AV8" s="159"/>
      <c r="AW8" s="159"/>
    </row>
    <row r="9" spans="1:49" x14ac:dyDescent="0.2">
      <c r="A9" s="158" t="s">
        <v>370</v>
      </c>
      <c r="B9" s="159">
        <v>0.86099999999999999</v>
      </c>
      <c r="C9" s="159">
        <v>0.87</v>
      </c>
      <c r="D9" s="159">
        <v>0.85899999999999999</v>
      </c>
      <c r="E9" s="159">
        <v>0.873</v>
      </c>
      <c r="F9" s="159">
        <v>0.85199999999999998</v>
      </c>
      <c r="G9" s="159">
        <v>0.84899999999999998</v>
      </c>
      <c r="H9" s="159">
        <v>0.84</v>
      </c>
      <c r="I9" s="159">
        <v>0.82499999999999996</v>
      </c>
      <c r="J9" s="159">
        <v>0.82799999999999996</v>
      </c>
      <c r="K9" s="159">
        <v>0.83</v>
      </c>
      <c r="L9" s="159">
        <v>0.82399999999999995</v>
      </c>
      <c r="M9" s="159">
        <v>0.83099999999999996</v>
      </c>
      <c r="N9" s="159">
        <v>0.83</v>
      </c>
      <c r="O9" s="159">
        <v>0.82899999999999996</v>
      </c>
      <c r="P9" s="159">
        <v>0.81299999999999994</v>
      </c>
      <c r="Q9" s="159">
        <v>0.83599999999999997</v>
      </c>
      <c r="R9" s="159">
        <v>0.83199999999999996</v>
      </c>
      <c r="S9" s="159">
        <v>0.81</v>
      </c>
      <c r="T9" s="159">
        <v>0.80200000000000005</v>
      </c>
      <c r="U9" s="159">
        <v>0.79900000000000004</v>
      </c>
      <c r="V9" s="159">
        <v>0.79900000000000004</v>
      </c>
      <c r="W9" s="159">
        <v>0.79200000000000004</v>
      </c>
      <c r="X9" s="159">
        <v>0.79300000000000004</v>
      </c>
      <c r="Y9" s="159">
        <v>0.79100000000000004</v>
      </c>
      <c r="Z9" s="159">
        <v>0.78800000000000003</v>
      </c>
      <c r="AA9" s="159">
        <v>0.81</v>
      </c>
      <c r="AB9" s="159">
        <v>0.81100000000000005</v>
      </c>
      <c r="AC9" s="159">
        <v>0.80700000000000005</v>
      </c>
      <c r="AD9" s="159">
        <v>0.79400000000000004</v>
      </c>
      <c r="AE9" s="159">
        <v>0.78600000000000003</v>
      </c>
      <c r="AF9" s="159"/>
      <c r="AG9" s="159"/>
      <c r="AH9" s="159"/>
      <c r="AI9" s="159"/>
      <c r="AJ9" s="159"/>
      <c r="AK9" s="159"/>
      <c r="AL9" s="159"/>
      <c r="AM9" s="159"/>
      <c r="AN9" s="159"/>
      <c r="AO9" s="159"/>
      <c r="AP9" s="159"/>
      <c r="AQ9" s="159"/>
      <c r="AR9" s="159"/>
      <c r="AS9" s="159"/>
      <c r="AT9" s="159"/>
      <c r="AU9" s="159"/>
      <c r="AV9" s="159"/>
      <c r="AW9" s="159"/>
    </row>
    <row r="11" spans="1:49" x14ac:dyDescent="0.2">
      <c r="A11" s="145"/>
      <c r="B11" s="282"/>
      <c r="C11" s="282"/>
      <c r="D11" s="282"/>
      <c r="E11" s="282"/>
      <c r="F11" s="155"/>
      <c r="G11" s="155"/>
      <c r="H11" s="155"/>
      <c r="I11" s="155"/>
      <c r="J11" s="155"/>
      <c r="K11" s="155"/>
      <c r="L11" s="155"/>
      <c r="M11" s="155"/>
      <c r="N11" s="155"/>
      <c r="O11" s="155"/>
      <c r="P11" s="155"/>
    </row>
    <row r="12" spans="1:49" x14ac:dyDescent="0.2">
      <c r="B12" s="155"/>
      <c r="C12" s="155"/>
      <c r="D12" s="155"/>
      <c r="E12" s="155"/>
      <c r="F12" s="155"/>
      <c r="G12" s="155"/>
      <c r="H12" s="155"/>
      <c r="I12" s="155"/>
      <c r="J12" s="155"/>
      <c r="K12" s="155"/>
      <c r="L12" s="155"/>
      <c r="M12" s="155"/>
      <c r="N12" s="155"/>
      <c r="O12" s="155"/>
      <c r="P12" s="155"/>
    </row>
    <row r="15" spans="1:49" x14ac:dyDescent="0.2">
      <c r="A15" s="145"/>
      <c r="B15" s="145"/>
      <c r="C15" s="145"/>
      <c r="D15" s="145"/>
      <c r="E15" s="145"/>
      <c r="F15" s="145"/>
      <c r="G15" s="145"/>
      <c r="H15" s="145"/>
      <c r="I15" s="145"/>
      <c r="J15" s="145"/>
      <c r="K15" s="145"/>
    </row>
    <row r="34" spans="15:15" x14ac:dyDescent="0.2">
      <c r="O34" s="15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1"/>
  <sheetViews>
    <sheetView workbookViewId="0">
      <pane xSplit="1" topLeftCell="B1" activePane="topRight" state="frozen"/>
      <selection pane="topRight"/>
    </sheetView>
  </sheetViews>
  <sheetFormatPr defaultColWidth="9.140625" defaultRowHeight="12.75" x14ac:dyDescent="0.2"/>
  <cols>
    <col min="1" max="1" width="19" style="107" bestFit="1" customWidth="1"/>
    <col min="2" max="2" width="10" style="107" customWidth="1"/>
    <col min="3" max="13" width="9.140625" style="107"/>
    <col min="14" max="14" width="10" style="107" bestFit="1" customWidth="1"/>
    <col min="15" max="16384" width="9.140625" style="107"/>
  </cols>
  <sheetData>
    <row r="1" spans="1:49" x14ac:dyDescent="0.2">
      <c r="A1" s="106" t="s">
        <v>345</v>
      </c>
    </row>
    <row r="2" spans="1:49" x14ac:dyDescent="0.2">
      <c r="A2" s="106"/>
    </row>
    <row r="3" spans="1:49" x14ac:dyDescent="0.2">
      <c r="A3" s="108" t="s">
        <v>436</v>
      </c>
      <c r="B3" s="145" t="s">
        <v>694</v>
      </c>
    </row>
    <row r="4" spans="1:49" x14ac:dyDescent="0.2">
      <c r="A4" s="108" t="s">
        <v>143</v>
      </c>
      <c r="B4" s="305">
        <f>HLOOKUP(MAX(B9:AW9),B9:AW11,2,0)</f>
        <v>5.3499999999999999E-2</v>
      </c>
    </row>
    <row r="5" spans="1:49" x14ac:dyDescent="0.2">
      <c r="A5" s="108" t="s">
        <v>118</v>
      </c>
      <c r="B5" s="128">
        <f>MAX(B9:AW9)</f>
        <v>43040</v>
      </c>
    </row>
    <row r="6" spans="1:49" x14ac:dyDescent="0.2">
      <c r="A6" s="108" t="s">
        <v>195</v>
      </c>
      <c r="B6" s="409" t="s">
        <v>176</v>
      </c>
    </row>
    <row r="7" spans="1:49" x14ac:dyDescent="0.2">
      <c r="A7" s="108" t="s">
        <v>438</v>
      </c>
      <c r="B7" s="162" t="s">
        <v>140</v>
      </c>
    </row>
    <row r="8" spans="1:49" x14ac:dyDescent="0.2">
      <c r="A8" s="124"/>
    </row>
    <row r="9" spans="1:49" x14ac:dyDescent="0.2">
      <c r="A9" s="190"/>
      <c r="B9" s="142">
        <v>42095</v>
      </c>
      <c r="C9" s="142">
        <v>42125</v>
      </c>
      <c r="D9" s="142">
        <v>42156</v>
      </c>
      <c r="E9" s="142">
        <v>42186</v>
      </c>
      <c r="F9" s="142">
        <v>42217</v>
      </c>
      <c r="G9" s="142">
        <v>42248</v>
      </c>
      <c r="H9" s="142">
        <v>42278</v>
      </c>
      <c r="I9" s="142">
        <v>42309</v>
      </c>
      <c r="J9" s="142">
        <v>42339</v>
      </c>
      <c r="K9" s="142">
        <v>42370</v>
      </c>
      <c r="L9" s="142">
        <v>42401</v>
      </c>
      <c r="M9" s="142">
        <v>42430</v>
      </c>
      <c r="N9" s="142">
        <v>42461</v>
      </c>
      <c r="O9" s="142">
        <v>42491</v>
      </c>
      <c r="P9" s="142">
        <v>42522</v>
      </c>
      <c r="Q9" s="142">
        <v>42552</v>
      </c>
      <c r="R9" s="142">
        <v>42583</v>
      </c>
      <c r="S9" s="142">
        <v>42614</v>
      </c>
      <c r="T9" s="142">
        <v>42644</v>
      </c>
      <c r="U9" s="142">
        <v>42675</v>
      </c>
      <c r="V9" s="142">
        <v>42705</v>
      </c>
      <c r="W9" s="142">
        <v>42736</v>
      </c>
      <c r="X9" s="142">
        <v>42767</v>
      </c>
      <c r="Y9" s="142">
        <v>42795</v>
      </c>
      <c r="Z9" s="142">
        <v>42826</v>
      </c>
      <c r="AA9" s="142">
        <v>42856</v>
      </c>
      <c r="AB9" s="142">
        <v>42887</v>
      </c>
      <c r="AC9" s="142">
        <v>42917</v>
      </c>
      <c r="AD9" s="142">
        <v>42948</v>
      </c>
      <c r="AE9" s="142">
        <v>42979</v>
      </c>
      <c r="AF9" s="142">
        <v>43009</v>
      </c>
      <c r="AG9" s="142">
        <v>43040</v>
      </c>
      <c r="AH9" s="142"/>
      <c r="AI9" s="142"/>
      <c r="AJ9" s="142"/>
      <c r="AK9" s="142"/>
      <c r="AL9" s="142"/>
      <c r="AM9" s="142"/>
      <c r="AN9" s="142"/>
      <c r="AO9" s="142"/>
      <c r="AP9" s="142"/>
      <c r="AQ9" s="142"/>
      <c r="AR9" s="142"/>
      <c r="AS9" s="142"/>
      <c r="AT9" s="142"/>
      <c r="AU9" s="142"/>
      <c r="AV9" s="142"/>
      <c r="AW9" s="142"/>
    </row>
    <row r="10" spans="1:49" x14ac:dyDescent="0.2">
      <c r="A10" s="244" t="s">
        <v>370</v>
      </c>
      <c r="B10" s="303">
        <v>4.7699999999999992E-2</v>
      </c>
      <c r="C10" s="303">
        <v>4.6699999999999998E-2</v>
      </c>
      <c r="D10" s="303">
        <v>4.8099999999999997E-2</v>
      </c>
      <c r="E10" s="303">
        <v>4.9299999999999997E-2</v>
      </c>
      <c r="F10" s="303">
        <v>4.58E-2</v>
      </c>
      <c r="G10" s="303">
        <v>4.82E-2</v>
      </c>
      <c r="H10" s="303">
        <v>4.9800000000000004E-2</v>
      </c>
      <c r="I10" s="303">
        <v>5.1200000000000002E-2</v>
      </c>
      <c r="J10" s="303">
        <v>5.1799999999999999E-2</v>
      </c>
      <c r="K10" s="303">
        <v>5.4100000000000002E-2</v>
      </c>
      <c r="L10" s="303">
        <v>5.1399999999999994E-2</v>
      </c>
      <c r="M10" s="303">
        <v>5.1200000000000002E-2</v>
      </c>
      <c r="N10" s="303">
        <v>4.5700000000000005E-2</v>
      </c>
      <c r="O10" s="303">
        <v>4.5400000000000003E-2</v>
      </c>
      <c r="P10" s="304">
        <v>4.5100000000000001E-2</v>
      </c>
      <c r="Q10" s="304">
        <v>4.4999999999999998E-2</v>
      </c>
      <c r="R10" s="304">
        <v>4.87E-2</v>
      </c>
      <c r="S10" s="304">
        <v>4.8599999999999997E-2</v>
      </c>
      <c r="T10" s="304">
        <v>4.9700000000000001E-2</v>
      </c>
      <c r="U10" s="304">
        <v>5.1999999999999998E-2</v>
      </c>
      <c r="V10" s="304">
        <v>5.2999999999999999E-2</v>
      </c>
      <c r="W10" s="304">
        <v>5.45E-2</v>
      </c>
      <c r="X10" s="304">
        <v>4.7800000000000002E-2</v>
      </c>
      <c r="Y10" s="304">
        <v>5.0999999999999997E-2</v>
      </c>
      <c r="Z10" s="303">
        <v>4.3900000000000002E-2</v>
      </c>
      <c r="AA10" s="303">
        <v>5.0799999999999998E-2</v>
      </c>
      <c r="AB10" s="303">
        <v>4.9099999999999998E-2</v>
      </c>
      <c r="AC10" s="303">
        <v>4.7100000000000003E-2</v>
      </c>
      <c r="AD10" s="303">
        <v>4.8800000000000003E-2</v>
      </c>
      <c r="AE10" s="303">
        <v>4.6300000000000001E-2</v>
      </c>
      <c r="AF10" s="303">
        <v>5.16E-2</v>
      </c>
      <c r="AG10" s="303">
        <v>5.3499999999999999E-2</v>
      </c>
      <c r="AH10" s="303"/>
      <c r="AI10" s="303"/>
      <c r="AJ10" s="303"/>
      <c r="AK10" s="303"/>
      <c r="AL10" s="303"/>
      <c r="AM10" s="303"/>
      <c r="AN10" s="304"/>
      <c r="AO10" s="304"/>
      <c r="AP10" s="304"/>
      <c r="AQ10" s="304"/>
      <c r="AR10" s="304"/>
      <c r="AS10" s="304"/>
      <c r="AT10" s="304"/>
      <c r="AU10" s="304"/>
      <c r="AV10" s="304"/>
      <c r="AW10" s="304"/>
    </row>
    <row r="11" spans="1:49" s="186" customFormat="1" x14ac:dyDescent="0.2">
      <c r="A11" s="245" t="s">
        <v>16</v>
      </c>
      <c r="B11" s="306">
        <v>0.04</v>
      </c>
      <c r="C11" s="306">
        <v>0.04</v>
      </c>
      <c r="D11" s="306">
        <v>0.04</v>
      </c>
      <c r="E11" s="306">
        <v>0.04</v>
      </c>
      <c r="F11" s="306">
        <v>0.04</v>
      </c>
      <c r="G11" s="306">
        <v>0.04</v>
      </c>
      <c r="H11" s="306">
        <v>0.04</v>
      </c>
      <c r="I11" s="306">
        <v>0.04</v>
      </c>
      <c r="J11" s="306">
        <v>0.04</v>
      </c>
      <c r="K11" s="306">
        <v>0.04</v>
      </c>
      <c r="L11" s="306">
        <v>0.04</v>
      </c>
      <c r="M11" s="306">
        <v>0.04</v>
      </c>
      <c r="N11" s="306">
        <v>0.04</v>
      </c>
      <c r="O11" s="306">
        <v>0.04</v>
      </c>
      <c r="P11" s="306">
        <v>0.04</v>
      </c>
      <c r="Q11" s="306">
        <v>0.04</v>
      </c>
      <c r="R11" s="306">
        <v>0.04</v>
      </c>
      <c r="S11" s="306">
        <v>0.04</v>
      </c>
      <c r="T11" s="306">
        <v>0.04</v>
      </c>
      <c r="U11" s="306">
        <v>0.04</v>
      </c>
      <c r="V11" s="306">
        <v>0.04</v>
      </c>
      <c r="W11" s="306">
        <v>0.04</v>
      </c>
      <c r="X11" s="306">
        <v>0.04</v>
      </c>
      <c r="Y11" s="306">
        <v>0.04</v>
      </c>
      <c r="Z11" s="306">
        <v>0.04</v>
      </c>
      <c r="AA11" s="306">
        <v>0.04</v>
      </c>
      <c r="AB11" s="306">
        <v>0.04</v>
      </c>
      <c r="AC11" s="306">
        <v>0.04</v>
      </c>
      <c r="AD11" s="306">
        <v>0.04</v>
      </c>
      <c r="AE11" s="306">
        <v>0.04</v>
      </c>
      <c r="AF11" s="306">
        <v>0.04</v>
      </c>
      <c r="AG11" s="306">
        <v>0.04</v>
      </c>
      <c r="AH11" s="306">
        <v>0.04</v>
      </c>
      <c r="AI11" s="306">
        <v>0.04</v>
      </c>
      <c r="AJ11" s="306">
        <v>0.04</v>
      </c>
      <c r="AK11" s="306">
        <v>0.04</v>
      </c>
      <c r="AL11" s="306">
        <v>0.04</v>
      </c>
      <c r="AM11" s="306">
        <v>0.04</v>
      </c>
      <c r="AN11" s="306">
        <v>0.04</v>
      </c>
      <c r="AO11" s="306">
        <v>0.04</v>
      </c>
      <c r="AP11" s="306">
        <v>0.04</v>
      </c>
      <c r="AQ11" s="306">
        <v>0.04</v>
      </c>
      <c r="AR11" s="306">
        <v>0.04</v>
      </c>
      <c r="AS11" s="306">
        <v>0.04</v>
      </c>
      <c r="AT11" s="306">
        <v>0.04</v>
      </c>
      <c r="AU11" s="306">
        <v>0.04</v>
      </c>
      <c r="AV11" s="306">
        <v>0.04</v>
      </c>
      <c r="AW11" s="306">
        <v>0.04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70C0"/>
  </sheetPr>
  <dimension ref="A1:F16"/>
  <sheetViews>
    <sheetView workbookViewId="0"/>
  </sheetViews>
  <sheetFormatPr defaultColWidth="9.140625" defaultRowHeight="12.75" x14ac:dyDescent="0.2"/>
  <cols>
    <col min="1" max="1" width="19" style="107" bestFit="1" customWidth="1"/>
    <col min="2" max="16384" width="9.140625" style="107"/>
  </cols>
  <sheetData>
    <row r="1" spans="1:6" x14ac:dyDescent="0.2">
      <c r="A1" s="106" t="s">
        <v>345</v>
      </c>
    </row>
    <row r="2" spans="1:6" x14ac:dyDescent="0.2">
      <c r="A2" s="106"/>
    </row>
    <row r="3" spans="1:6" x14ac:dyDescent="0.2">
      <c r="A3" s="127" t="s">
        <v>710</v>
      </c>
      <c r="B3" s="129" t="s">
        <v>82</v>
      </c>
      <c r="C3" s="112"/>
    </row>
    <row r="4" spans="1:6" x14ac:dyDescent="0.2">
      <c r="A4" s="127" t="s">
        <v>144</v>
      </c>
      <c r="B4" s="409" t="s">
        <v>222</v>
      </c>
    </row>
    <row r="5" spans="1:6" x14ac:dyDescent="0.2">
      <c r="A5" s="127" t="s">
        <v>206</v>
      </c>
      <c r="B5" s="128" t="s">
        <v>228</v>
      </c>
    </row>
    <row r="6" spans="1:6" x14ac:dyDescent="0.2">
      <c r="A6" s="124"/>
    </row>
    <row r="7" spans="1:6" x14ac:dyDescent="0.2">
      <c r="A7" s="130"/>
      <c r="B7" s="150" t="s">
        <v>128</v>
      </c>
      <c r="C7" s="150" t="s">
        <v>68</v>
      </c>
      <c r="D7" s="150" t="s">
        <v>222</v>
      </c>
      <c r="E7" s="150" t="s">
        <v>450</v>
      </c>
      <c r="F7" s="150" t="s">
        <v>451</v>
      </c>
    </row>
    <row r="8" spans="1:6" x14ac:dyDescent="0.2">
      <c r="A8" s="134" t="s">
        <v>369</v>
      </c>
      <c r="B8" s="307">
        <v>5.04E-2</v>
      </c>
      <c r="C8" s="307">
        <v>5.16E-2</v>
      </c>
      <c r="D8" s="307">
        <v>5.1999999999999998E-2</v>
      </c>
      <c r="E8" s="307"/>
      <c r="F8" s="307"/>
    </row>
    <row r="9" spans="1:6" x14ac:dyDescent="0.2">
      <c r="A9" s="134" t="s">
        <v>370</v>
      </c>
      <c r="B9" s="307">
        <v>4.7100000000000003E-2</v>
      </c>
      <c r="C9" s="307">
        <v>5.0200000000000002E-2</v>
      </c>
      <c r="D9" s="307">
        <v>4.9700000000000001E-2</v>
      </c>
      <c r="E9" s="307"/>
      <c r="F9" s="307"/>
    </row>
    <row r="16" spans="1:6" x14ac:dyDescent="0.2">
      <c r="B16" s="15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U75"/>
  <sheetViews>
    <sheetView workbookViewId="0"/>
  </sheetViews>
  <sheetFormatPr defaultColWidth="9.140625" defaultRowHeight="12.75" x14ac:dyDescent="0.2"/>
  <cols>
    <col min="1" max="1" width="36.85546875" style="107" customWidth="1"/>
    <col min="2" max="3" width="11.140625" style="107" customWidth="1"/>
    <col min="4" max="4" width="11.42578125" style="107" customWidth="1"/>
    <col min="5" max="5" width="11.28515625" style="107" customWidth="1"/>
    <col min="6" max="6" width="11.42578125" style="107" customWidth="1"/>
    <col min="7" max="7" width="11.85546875" style="107" customWidth="1"/>
    <col min="8" max="10" width="11.28515625" style="107" customWidth="1"/>
    <col min="11" max="21" width="11.5703125" style="107" customWidth="1"/>
    <col min="22" max="16384" width="9.140625" style="107"/>
  </cols>
  <sheetData>
    <row r="1" spans="1:21" x14ac:dyDescent="0.2">
      <c r="A1" s="106" t="s">
        <v>345</v>
      </c>
      <c r="B1" s="145" t="s">
        <v>368</v>
      </c>
    </row>
    <row r="3" spans="1:21" x14ac:dyDescent="0.2">
      <c r="A3" s="108" t="s">
        <v>436</v>
      </c>
      <c r="B3" s="107" t="s">
        <v>59</v>
      </c>
    </row>
    <row r="4" spans="1:21" x14ac:dyDescent="0.2">
      <c r="A4" s="108" t="s">
        <v>143</v>
      </c>
      <c r="B4" s="311">
        <f>HLOOKUP(MAX(B9:U9),B9:U18,3,0)</f>
        <v>233</v>
      </c>
    </row>
    <row r="5" spans="1:21" x14ac:dyDescent="0.2">
      <c r="A5" s="108" t="s">
        <v>118</v>
      </c>
      <c r="B5" s="312">
        <f>MAX(G9:U9)</f>
        <v>42887</v>
      </c>
      <c r="N5" s="442"/>
      <c r="R5" s="107" t="s">
        <v>368</v>
      </c>
    </row>
    <row r="6" spans="1:21" x14ac:dyDescent="0.2">
      <c r="A6" s="108" t="s">
        <v>195</v>
      </c>
      <c r="B6" s="128" t="s">
        <v>176</v>
      </c>
      <c r="R6" s="107" t="s">
        <v>368</v>
      </c>
    </row>
    <row r="7" spans="1:21" x14ac:dyDescent="0.2">
      <c r="A7" s="108" t="s">
        <v>438</v>
      </c>
      <c r="B7" s="112" t="s">
        <v>141</v>
      </c>
    </row>
    <row r="8" spans="1:21" x14ac:dyDescent="0.2">
      <c r="A8" s="654"/>
    </row>
    <row r="9" spans="1:21" x14ac:dyDescent="0.2">
      <c r="A9" s="134" t="s">
        <v>62</v>
      </c>
      <c r="B9" s="142">
        <v>41791</v>
      </c>
      <c r="C9" s="142">
        <v>41883</v>
      </c>
      <c r="D9" s="142">
        <v>41974</v>
      </c>
      <c r="E9" s="142">
        <v>42064</v>
      </c>
      <c r="F9" s="114">
        <v>42156</v>
      </c>
      <c r="G9" s="114">
        <v>42248</v>
      </c>
      <c r="H9" s="114">
        <v>42339</v>
      </c>
      <c r="I9" s="114">
        <v>42430</v>
      </c>
      <c r="J9" s="114">
        <v>42522</v>
      </c>
      <c r="K9" s="114">
        <v>42614</v>
      </c>
      <c r="L9" s="114">
        <v>42705</v>
      </c>
      <c r="M9" s="114">
        <v>42795</v>
      </c>
      <c r="N9" s="114">
        <v>42887</v>
      </c>
      <c r="O9" s="114"/>
      <c r="P9" s="114"/>
      <c r="Q9" s="114"/>
      <c r="R9" s="114"/>
      <c r="S9" s="114"/>
      <c r="T9" s="114"/>
      <c r="U9" s="114"/>
    </row>
    <row r="10" spans="1:21" ht="25.5" x14ac:dyDescent="0.2">
      <c r="A10" s="664" t="s">
        <v>458</v>
      </c>
      <c r="B10" s="438">
        <v>442</v>
      </c>
      <c r="C10" s="438">
        <v>441</v>
      </c>
      <c r="D10" s="438">
        <v>441</v>
      </c>
      <c r="E10" s="438">
        <v>441</v>
      </c>
      <c r="F10" s="78">
        <v>293</v>
      </c>
      <c r="G10" s="78">
        <v>293</v>
      </c>
      <c r="H10" s="78">
        <v>293</v>
      </c>
      <c r="I10" s="78">
        <v>293</v>
      </c>
      <c r="J10" s="79">
        <v>367</v>
      </c>
      <c r="K10" s="79">
        <v>294</v>
      </c>
      <c r="L10" s="79">
        <v>404</v>
      </c>
      <c r="M10" s="79">
        <v>404</v>
      </c>
      <c r="N10" s="79">
        <v>367</v>
      </c>
      <c r="O10" s="78"/>
      <c r="P10" s="78"/>
      <c r="Q10" s="78"/>
      <c r="R10" s="79"/>
      <c r="S10" s="79"/>
      <c r="T10" s="79"/>
      <c r="U10" s="79"/>
    </row>
    <row r="11" spans="1:21" x14ac:dyDescent="0.2">
      <c r="A11" s="115" t="s">
        <v>162</v>
      </c>
      <c r="B11" s="308">
        <v>251</v>
      </c>
      <c r="C11" s="665">
        <v>244</v>
      </c>
      <c r="D11" s="308">
        <v>276</v>
      </c>
      <c r="E11" s="308">
        <v>368</v>
      </c>
      <c r="F11" s="309">
        <v>304</v>
      </c>
      <c r="G11" s="309">
        <v>315</v>
      </c>
      <c r="H11" s="309">
        <v>234</v>
      </c>
      <c r="I11" s="309">
        <v>314</v>
      </c>
      <c r="J11" s="309">
        <v>222</v>
      </c>
      <c r="K11" s="309">
        <v>239</v>
      </c>
      <c r="L11" s="309">
        <v>211</v>
      </c>
      <c r="M11" s="309">
        <v>303</v>
      </c>
      <c r="N11" s="309">
        <v>233</v>
      </c>
      <c r="O11" s="309"/>
      <c r="P11" s="309"/>
      <c r="Q11" s="309"/>
      <c r="R11" s="309"/>
      <c r="S11" s="309"/>
      <c r="T11" s="309"/>
      <c r="U11" s="309"/>
    </row>
    <row r="12" spans="1:21" x14ac:dyDescent="0.2">
      <c r="A12" s="672" t="s">
        <v>130</v>
      </c>
      <c r="B12" s="673">
        <f>MEDIAN($B$11:$M$11)</f>
        <v>263.5</v>
      </c>
      <c r="C12" s="673">
        <f t="shared" ref="C12:N13" si="0">MEDIAN($B$11:$M$11)</f>
        <v>263.5</v>
      </c>
      <c r="D12" s="673">
        <f t="shared" si="0"/>
        <v>263.5</v>
      </c>
      <c r="E12" s="673">
        <f t="shared" si="0"/>
        <v>263.5</v>
      </c>
      <c r="F12" s="673">
        <f t="shared" si="0"/>
        <v>263.5</v>
      </c>
      <c r="G12" s="673">
        <f t="shared" si="0"/>
        <v>263.5</v>
      </c>
      <c r="H12" s="673">
        <f t="shared" si="0"/>
        <v>263.5</v>
      </c>
      <c r="I12" s="673">
        <f t="shared" si="0"/>
        <v>263.5</v>
      </c>
      <c r="J12" s="673">
        <f t="shared" si="0"/>
        <v>263.5</v>
      </c>
      <c r="K12" s="673">
        <f t="shared" si="0"/>
        <v>263.5</v>
      </c>
      <c r="L12" s="673">
        <f t="shared" si="0"/>
        <v>263.5</v>
      </c>
      <c r="M12" s="673">
        <f t="shared" si="0"/>
        <v>263.5</v>
      </c>
      <c r="N12" s="673"/>
      <c r="O12" s="309"/>
      <c r="P12" s="309"/>
      <c r="Q12" s="309"/>
      <c r="R12" s="309"/>
      <c r="S12" s="309"/>
      <c r="T12" s="309"/>
      <c r="U12" s="309"/>
    </row>
    <row r="13" spans="1:21" x14ac:dyDescent="0.2">
      <c r="A13" s="672" t="s">
        <v>178</v>
      </c>
      <c r="B13" s="673"/>
      <c r="C13" s="673"/>
      <c r="D13" s="673"/>
      <c r="E13" s="673"/>
      <c r="F13" s="673"/>
      <c r="G13" s="673"/>
      <c r="H13" s="673"/>
      <c r="I13" s="673"/>
      <c r="J13" s="673"/>
      <c r="K13" s="673"/>
      <c r="L13" s="673"/>
      <c r="M13" s="673">
        <f>MEDIAN($B$11:$M$11)</f>
        <v>263.5</v>
      </c>
      <c r="N13" s="673">
        <f t="shared" si="0"/>
        <v>263.5</v>
      </c>
      <c r="O13" s="309"/>
      <c r="P13" s="309"/>
      <c r="Q13" s="309"/>
      <c r="R13" s="309"/>
      <c r="S13" s="309"/>
      <c r="T13" s="309"/>
      <c r="U13" s="309"/>
    </row>
    <row r="14" spans="1:21" ht="51" x14ac:dyDescent="0.2">
      <c r="A14" s="666" t="s">
        <v>457</v>
      </c>
      <c r="B14" s="667">
        <v>221</v>
      </c>
      <c r="C14" s="667">
        <v>221</v>
      </c>
      <c r="D14" s="667">
        <v>221</v>
      </c>
      <c r="E14" s="667">
        <v>221</v>
      </c>
      <c r="F14" s="668">
        <v>147</v>
      </c>
      <c r="G14" s="668">
        <v>147</v>
      </c>
      <c r="H14" s="668">
        <v>147</v>
      </c>
      <c r="I14" s="668">
        <v>147</v>
      </c>
      <c r="J14" s="439">
        <f>SUM(J10/2)</f>
        <v>183.5</v>
      </c>
      <c r="K14" s="439">
        <f>SUM(K10/2)</f>
        <v>147</v>
      </c>
      <c r="L14" s="439">
        <f>SUM(L10/2)</f>
        <v>202</v>
      </c>
      <c r="M14" s="439">
        <f>SUM(M10/2)</f>
        <v>202</v>
      </c>
      <c r="N14" s="439">
        <f>SUM(N10/2)</f>
        <v>183.5</v>
      </c>
      <c r="O14" s="669"/>
      <c r="P14" s="669"/>
      <c r="Q14" s="669"/>
      <c r="R14" s="95"/>
      <c r="S14" s="95"/>
      <c r="T14" s="95"/>
      <c r="U14" s="95"/>
    </row>
    <row r="15" spans="1:21" ht="25.5" x14ac:dyDescent="0.2">
      <c r="A15" s="670" t="s">
        <v>250</v>
      </c>
      <c r="B15" s="310">
        <f>SUM(B11-B18)</f>
        <v>224</v>
      </c>
      <c r="C15" s="310">
        <f t="shared" ref="C15:M15" si="1">SUM(C11-C18)</f>
        <v>189</v>
      </c>
      <c r="D15" s="310">
        <f t="shared" si="1"/>
        <v>195</v>
      </c>
      <c r="E15" s="310">
        <f t="shared" si="1"/>
        <v>229</v>
      </c>
      <c r="F15" s="310">
        <f t="shared" si="1"/>
        <v>210</v>
      </c>
      <c r="G15" s="310">
        <f t="shared" si="1"/>
        <v>229</v>
      </c>
      <c r="H15" s="310">
        <f t="shared" si="1"/>
        <v>155</v>
      </c>
      <c r="I15" s="310">
        <f t="shared" si="1"/>
        <v>193</v>
      </c>
      <c r="J15" s="310">
        <f t="shared" si="1"/>
        <v>159</v>
      </c>
      <c r="K15" s="310">
        <f t="shared" si="1"/>
        <v>175</v>
      </c>
      <c r="L15" s="310">
        <f t="shared" si="1"/>
        <v>170</v>
      </c>
      <c r="M15" s="310">
        <f t="shared" si="1"/>
        <v>196</v>
      </c>
      <c r="N15" s="310">
        <f t="shared" ref="N15" si="2">SUM(N11-N18)</f>
        <v>154</v>
      </c>
      <c r="O15" s="310" t="s">
        <v>368</v>
      </c>
      <c r="P15" s="310" t="s">
        <v>368</v>
      </c>
      <c r="Q15" s="310"/>
      <c r="R15" s="310"/>
      <c r="S15" s="310"/>
      <c r="T15" s="310"/>
      <c r="U15" s="310"/>
    </row>
    <row r="16" spans="1:21" x14ac:dyDescent="0.2">
      <c r="A16" s="674" t="s">
        <v>130</v>
      </c>
      <c r="B16" s="675">
        <f>MEDIAN($B$15:$M$15)</f>
        <v>194</v>
      </c>
      <c r="C16" s="675">
        <f t="shared" ref="C16:N17" si="3">MEDIAN($B$15:$M$15)</f>
        <v>194</v>
      </c>
      <c r="D16" s="675">
        <f t="shared" si="3"/>
        <v>194</v>
      </c>
      <c r="E16" s="675">
        <f t="shared" si="3"/>
        <v>194</v>
      </c>
      <c r="F16" s="675">
        <f t="shared" si="3"/>
        <v>194</v>
      </c>
      <c r="G16" s="675">
        <f t="shared" si="3"/>
        <v>194</v>
      </c>
      <c r="H16" s="675">
        <f t="shared" si="3"/>
        <v>194</v>
      </c>
      <c r="I16" s="675">
        <f t="shared" si="3"/>
        <v>194</v>
      </c>
      <c r="J16" s="675">
        <f t="shared" si="3"/>
        <v>194</v>
      </c>
      <c r="K16" s="675">
        <f t="shared" si="3"/>
        <v>194</v>
      </c>
      <c r="L16" s="675">
        <f t="shared" si="3"/>
        <v>194</v>
      </c>
      <c r="M16" s="675">
        <f t="shared" si="3"/>
        <v>194</v>
      </c>
      <c r="N16" s="675"/>
      <c r="O16" s="310"/>
      <c r="P16" s="310"/>
      <c r="Q16" s="310"/>
      <c r="R16" s="310"/>
      <c r="S16" s="310"/>
      <c r="T16" s="310"/>
      <c r="U16" s="310"/>
    </row>
    <row r="17" spans="1:21" x14ac:dyDescent="0.2">
      <c r="A17" s="672" t="s">
        <v>178</v>
      </c>
      <c r="B17" s="310"/>
      <c r="C17" s="310"/>
      <c r="D17" s="310"/>
      <c r="E17" s="310"/>
      <c r="F17" s="310"/>
      <c r="G17" s="310"/>
      <c r="H17" s="310"/>
      <c r="I17" s="310"/>
      <c r="J17" s="310"/>
      <c r="K17" s="310"/>
      <c r="L17" s="310"/>
      <c r="M17" s="675">
        <f t="shared" si="3"/>
        <v>194</v>
      </c>
      <c r="N17" s="675">
        <f t="shared" si="3"/>
        <v>194</v>
      </c>
      <c r="O17" s="310"/>
      <c r="P17" s="310"/>
      <c r="Q17" s="310"/>
      <c r="R17" s="310"/>
      <c r="S17" s="310"/>
      <c r="T17" s="310"/>
      <c r="U17" s="310"/>
    </row>
    <row r="18" spans="1:21" ht="25.5" x14ac:dyDescent="0.2">
      <c r="A18" s="670" t="s">
        <v>63</v>
      </c>
      <c r="B18" s="671">
        <v>27</v>
      </c>
      <c r="C18" s="671">
        <v>55</v>
      </c>
      <c r="D18" s="671">
        <v>81</v>
      </c>
      <c r="E18" s="671">
        <v>139</v>
      </c>
      <c r="F18" s="505">
        <v>94</v>
      </c>
      <c r="G18" s="505">
        <v>86</v>
      </c>
      <c r="H18" s="505">
        <v>79</v>
      </c>
      <c r="I18" s="505">
        <v>121</v>
      </c>
      <c r="J18" s="505">
        <v>63</v>
      </c>
      <c r="K18" s="505">
        <v>64</v>
      </c>
      <c r="L18" s="505">
        <v>41</v>
      </c>
      <c r="M18" s="505">
        <v>107</v>
      </c>
      <c r="N18" s="505">
        <v>79</v>
      </c>
      <c r="O18" s="505" t="s">
        <v>368</v>
      </c>
      <c r="P18" s="505" t="s">
        <v>368</v>
      </c>
      <c r="Q18" s="505"/>
      <c r="R18" s="505"/>
      <c r="S18" s="505"/>
      <c r="T18" s="505"/>
      <c r="U18" s="505"/>
    </row>
    <row r="19" spans="1:21" x14ac:dyDescent="0.2">
      <c r="A19" s="672" t="s">
        <v>130</v>
      </c>
      <c r="B19" s="676">
        <f>MEDIAN($B$18:$M$18)</f>
        <v>80</v>
      </c>
      <c r="C19" s="676">
        <f t="shared" ref="C19:N20" si="4">MEDIAN($B$18:$M$18)</f>
        <v>80</v>
      </c>
      <c r="D19" s="676">
        <f t="shared" si="4"/>
        <v>80</v>
      </c>
      <c r="E19" s="676">
        <f t="shared" si="4"/>
        <v>80</v>
      </c>
      <c r="F19" s="676">
        <f t="shared" si="4"/>
        <v>80</v>
      </c>
      <c r="G19" s="676">
        <f t="shared" si="4"/>
        <v>80</v>
      </c>
      <c r="H19" s="676">
        <f t="shared" si="4"/>
        <v>80</v>
      </c>
      <c r="I19" s="676">
        <f t="shared" si="4"/>
        <v>80</v>
      </c>
      <c r="J19" s="676">
        <f t="shared" si="4"/>
        <v>80</v>
      </c>
      <c r="K19" s="676">
        <f t="shared" si="4"/>
        <v>80</v>
      </c>
      <c r="L19" s="676">
        <f t="shared" si="4"/>
        <v>80</v>
      </c>
      <c r="M19" s="676">
        <f t="shared" si="4"/>
        <v>80</v>
      </c>
      <c r="N19" s="676"/>
      <c r="O19" s="505"/>
      <c r="P19" s="505"/>
      <c r="Q19" s="505"/>
      <c r="R19" s="505"/>
      <c r="S19" s="505"/>
      <c r="T19" s="505"/>
      <c r="U19" s="505"/>
    </row>
    <row r="20" spans="1:21" x14ac:dyDescent="0.2">
      <c r="A20" s="672" t="s">
        <v>178</v>
      </c>
      <c r="B20" s="671"/>
      <c r="C20" s="671"/>
      <c r="D20" s="671"/>
      <c r="E20" s="671"/>
      <c r="F20" s="505"/>
      <c r="G20" s="505"/>
      <c r="H20" s="505"/>
      <c r="I20" s="505"/>
      <c r="J20" s="505"/>
      <c r="K20" s="505"/>
      <c r="L20" s="505"/>
      <c r="M20" s="676">
        <f t="shared" si="4"/>
        <v>80</v>
      </c>
      <c r="N20" s="676">
        <f t="shared" si="4"/>
        <v>80</v>
      </c>
      <c r="O20" s="505"/>
      <c r="P20" s="505"/>
      <c r="Q20" s="505"/>
      <c r="R20" s="505"/>
      <c r="S20" s="505"/>
      <c r="T20" s="505"/>
      <c r="U20" s="505"/>
    </row>
    <row r="21" spans="1:21" ht="25.5" x14ac:dyDescent="0.2">
      <c r="A21" s="677" t="s">
        <v>251</v>
      </c>
      <c r="B21" s="678">
        <v>218</v>
      </c>
      <c r="C21" s="678">
        <v>185</v>
      </c>
      <c r="D21" s="678">
        <v>187</v>
      </c>
      <c r="E21" s="678">
        <v>217</v>
      </c>
      <c r="F21" s="678">
        <v>195</v>
      </c>
      <c r="G21" s="678">
        <v>222</v>
      </c>
      <c r="H21" s="678">
        <v>142</v>
      </c>
      <c r="I21" s="678">
        <v>183</v>
      </c>
      <c r="J21" s="679">
        <v>147</v>
      </c>
      <c r="K21" s="679">
        <v>162</v>
      </c>
      <c r="L21" s="679">
        <v>159</v>
      </c>
      <c r="M21" s="679">
        <v>185</v>
      </c>
      <c r="N21" s="678">
        <v>141</v>
      </c>
      <c r="O21" s="678"/>
      <c r="P21" s="678"/>
      <c r="Q21" s="678"/>
      <c r="R21" s="678"/>
      <c r="S21" s="678"/>
      <c r="T21" s="678"/>
      <c r="U21" s="678"/>
    </row>
    <row r="22" spans="1:21" x14ac:dyDescent="0.2">
      <c r="A22" s="677" t="s">
        <v>249</v>
      </c>
      <c r="B22" s="678">
        <v>6</v>
      </c>
      <c r="C22" s="678">
        <v>4</v>
      </c>
      <c r="D22" s="678">
        <v>8</v>
      </c>
      <c r="E22" s="678">
        <v>12</v>
      </c>
      <c r="F22" s="678">
        <v>15</v>
      </c>
      <c r="G22" s="678">
        <v>7</v>
      </c>
      <c r="H22" s="678">
        <v>13</v>
      </c>
      <c r="I22" s="678">
        <v>10</v>
      </c>
      <c r="J22" s="678">
        <v>12</v>
      </c>
      <c r="K22" s="678">
        <v>13</v>
      </c>
      <c r="L22" s="678">
        <v>11</v>
      </c>
      <c r="M22" s="678">
        <v>11</v>
      </c>
      <c r="N22" s="678">
        <v>13</v>
      </c>
      <c r="O22" s="678"/>
      <c r="P22" s="678"/>
      <c r="Q22" s="678"/>
      <c r="R22" s="678"/>
      <c r="S22" s="678"/>
      <c r="T22" s="678"/>
      <c r="U22" s="678"/>
    </row>
    <row r="23" spans="1:21" x14ac:dyDescent="0.2">
      <c r="A23" s="315"/>
      <c r="B23" s="399"/>
      <c r="C23" s="399"/>
      <c r="D23" s="399"/>
      <c r="E23" s="314"/>
      <c r="F23" s="314"/>
      <c r="G23" s="314"/>
      <c r="H23" s="314"/>
      <c r="I23" s="314"/>
      <c r="J23" s="314"/>
      <c r="K23" s="314"/>
      <c r="L23" s="314"/>
      <c r="M23" s="314"/>
      <c r="T23" s="243"/>
    </row>
    <row r="24" spans="1:21" ht="29.25" customHeight="1" x14ac:dyDescent="0.2">
      <c r="A24" s="1080" t="s">
        <v>591</v>
      </c>
      <c r="B24" s="1080"/>
      <c r="C24" s="1080"/>
      <c r="D24" s="1080"/>
      <c r="E24" s="1080"/>
      <c r="F24" s="1080"/>
      <c r="G24" s="1080"/>
      <c r="H24" s="1080"/>
      <c r="I24" s="1080"/>
      <c r="J24" s="652"/>
      <c r="K24" s="1081" t="s">
        <v>594</v>
      </c>
      <c r="L24" s="1082"/>
      <c r="M24" s="1082"/>
      <c r="N24" s="1082"/>
      <c r="O24" s="1082"/>
      <c r="P24" s="1082"/>
      <c r="Q24" s="1082"/>
      <c r="R24" s="1082"/>
      <c r="S24" s="1082"/>
      <c r="T24" s="1082"/>
      <c r="U24" s="1082"/>
    </row>
    <row r="25" spans="1:21" x14ac:dyDescent="0.2">
      <c r="K25" s="400"/>
    </row>
    <row r="28" spans="1:21" x14ac:dyDescent="0.2">
      <c r="P28" s="107" t="s">
        <v>368</v>
      </c>
    </row>
    <row r="29" spans="1:21" x14ac:dyDescent="0.2">
      <c r="P29" s="107" t="s">
        <v>368</v>
      </c>
    </row>
    <row r="30" spans="1:21" x14ac:dyDescent="0.2">
      <c r="P30" s="107" t="s">
        <v>368</v>
      </c>
    </row>
    <row r="35" spans="17:17" x14ac:dyDescent="0.2">
      <c r="Q35" s="107" t="s">
        <v>368</v>
      </c>
    </row>
    <row r="36" spans="17:17" x14ac:dyDescent="0.2">
      <c r="Q36" s="107" t="s">
        <v>368</v>
      </c>
    </row>
    <row r="49" spans="1:21" ht="27" customHeight="1" x14ac:dyDescent="0.2">
      <c r="A49" s="1081" t="s">
        <v>592</v>
      </c>
      <c r="B49" s="1082"/>
      <c r="C49" s="1082"/>
      <c r="D49" s="1082"/>
      <c r="E49" s="1082"/>
      <c r="F49" s="1082"/>
      <c r="G49" s="1082"/>
      <c r="H49" s="1082"/>
      <c r="I49" s="1082"/>
      <c r="K49" s="1083" t="s">
        <v>593</v>
      </c>
      <c r="L49" s="1083"/>
      <c r="M49" s="1083"/>
      <c r="N49" s="1083"/>
      <c r="O49" s="1083"/>
      <c r="P49" s="1083"/>
      <c r="Q49" s="1083"/>
      <c r="R49" s="1083"/>
      <c r="S49" s="1083"/>
      <c r="T49" s="1083"/>
      <c r="U49" s="1083"/>
    </row>
    <row r="50" spans="1:21" x14ac:dyDescent="0.2">
      <c r="A50" s="653"/>
      <c r="K50" s="653"/>
    </row>
    <row r="75" spans="1:12" x14ac:dyDescent="0.2">
      <c r="A75" s="186"/>
      <c r="L75" s="186"/>
    </row>
  </sheetData>
  <mergeCells count="4">
    <mergeCell ref="A24:I24"/>
    <mergeCell ref="K24:U24"/>
    <mergeCell ref="A49:I49"/>
    <mergeCell ref="K49:U49"/>
  </mergeCells>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30" orientation="landscape" copies="20" r:id="rId1"/>
  <ignoredErrors>
    <ignoredError sqref="B5"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70C0"/>
  </sheetPr>
  <dimension ref="A1:F20"/>
  <sheetViews>
    <sheetView workbookViewId="0"/>
  </sheetViews>
  <sheetFormatPr defaultColWidth="9.140625" defaultRowHeight="12.75" x14ac:dyDescent="0.2"/>
  <cols>
    <col min="1" max="1" width="19" style="107" bestFit="1" customWidth="1"/>
    <col min="2" max="16384" width="9.140625" style="107"/>
  </cols>
  <sheetData>
    <row r="1" spans="1:6" x14ac:dyDescent="0.2">
      <c r="A1" s="106" t="s">
        <v>345</v>
      </c>
    </row>
    <row r="2" spans="1:6" x14ac:dyDescent="0.2">
      <c r="A2" s="106"/>
    </row>
    <row r="3" spans="1:6" x14ac:dyDescent="0.2">
      <c r="A3" s="127" t="s">
        <v>710</v>
      </c>
      <c r="B3" s="428" t="s">
        <v>81</v>
      </c>
    </row>
    <row r="4" spans="1:6" x14ac:dyDescent="0.2">
      <c r="A4" s="127" t="s">
        <v>144</v>
      </c>
      <c r="B4" s="128" t="s">
        <v>222</v>
      </c>
    </row>
    <row r="5" spans="1:6" x14ac:dyDescent="0.2">
      <c r="A5" s="127" t="s">
        <v>206</v>
      </c>
      <c r="B5" s="128" t="s">
        <v>218</v>
      </c>
    </row>
    <row r="6" spans="1:6" x14ac:dyDescent="0.2">
      <c r="A6" s="124"/>
    </row>
    <row r="7" spans="1:6" x14ac:dyDescent="0.2">
      <c r="A7" s="130"/>
      <c r="B7" s="150" t="s">
        <v>128</v>
      </c>
      <c r="C7" s="150" t="s">
        <v>68</v>
      </c>
      <c r="D7" s="150" t="s">
        <v>222</v>
      </c>
      <c r="E7" s="150" t="s">
        <v>450</v>
      </c>
      <c r="F7" s="150" t="s">
        <v>451</v>
      </c>
    </row>
    <row r="8" spans="1:6" x14ac:dyDescent="0.2">
      <c r="A8" s="134" t="s">
        <v>369</v>
      </c>
      <c r="B8" s="151">
        <v>7248</v>
      </c>
      <c r="C8" s="151">
        <v>7984</v>
      </c>
      <c r="D8" s="151">
        <v>7842</v>
      </c>
      <c r="E8" s="151"/>
      <c r="F8" s="151"/>
    </row>
    <row r="9" spans="1:6" x14ac:dyDescent="0.2">
      <c r="A9" s="134" t="s">
        <v>221</v>
      </c>
      <c r="B9" s="151">
        <f>(B8/100)*14.5</f>
        <v>1050.96</v>
      </c>
      <c r="C9" s="151">
        <f>(C8/100)*14.5</f>
        <v>1157.68</v>
      </c>
      <c r="D9" s="417">
        <f>(D8/100)*14.66</f>
        <v>1149.6372000000001</v>
      </c>
      <c r="E9" s="416">
        <f>(E8/100)*14.76</f>
        <v>0</v>
      </c>
      <c r="F9" s="151"/>
    </row>
    <row r="10" spans="1:6" x14ac:dyDescent="0.2">
      <c r="A10" s="134" t="s">
        <v>370</v>
      </c>
      <c r="B10" s="151">
        <v>1139</v>
      </c>
      <c r="C10" s="151">
        <v>1177</v>
      </c>
      <c r="D10" s="151">
        <v>974</v>
      </c>
      <c r="E10" s="151"/>
      <c r="F10" s="151"/>
    </row>
    <row r="11" spans="1:6" x14ac:dyDescent="0.2">
      <c r="A11" s="134" t="s">
        <v>231</v>
      </c>
      <c r="B11" s="151">
        <v>1765</v>
      </c>
      <c r="C11" s="151">
        <v>1170</v>
      </c>
      <c r="D11" s="151">
        <v>1469</v>
      </c>
      <c r="E11" s="151"/>
      <c r="F11" s="151"/>
    </row>
    <row r="13" spans="1:6" x14ac:dyDescent="0.2">
      <c r="A13" s="140" t="s">
        <v>273</v>
      </c>
    </row>
    <row r="14" spans="1:6" x14ac:dyDescent="0.2">
      <c r="A14" s="413" t="s">
        <v>453</v>
      </c>
    </row>
    <row r="16" spans="1:6" x14ac:dyDescent="0.2">
      <c r="A16" s="127" t="s">
        <v>590</v>
      </c>
    </row>
    <row r="20" spans="2:2" x14ac:dyDescent="0.2">
      <c r="B20" s="156"/>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X430"/>
  <sheetViews>
    <sheetView workbookViewId="0">
      <pane xSplit="1" topLeftCell="B1" activePane="topRight" state="frozen"/>
      <selection pane="topRight"/>
    </sheetView>
  </sheetViews>
  <sheetFormatPr defaultColWidth="9.140625" defaultRowHeight="12.75" x14ac:dyDescent="0.2"/>
  <cols>
    <col min="1" max="1" width="31.28515625" style="107" customWidth="1"/>
    <col min="2" max="2" width="9.5703125" style="107" customWidth="1"/>
    <col min="3" max="25" width="9.140625" style="107"/>
    <col min="26" max="26" width="9.140625" style="107" customWidth="1"/>
    <col min="27" max="49" width="9.140625" style="107"/>
    <col min="50" max="50" width="12" style="107" bestFit="1" customWidth="1"/>
    <col min="51" max="16384" width="9.140625" style="107"/>
  </cols>
  <sheetData>
    <row r="1" spans="1:50" x14ac:dyDescent="0.2">
      <c r="A1" s="283" t="s">
        <v>345</v>
      </c>
      <c r="B1" s="106"/>
      <c r="C1" s="106"/>
      <c r="D1" s="600"/>
      <c r="E1" s="600"/>
      <c r="F1" s="600"/>
      <c r="G1" s="600"/>
      <c r="H1" s="600"/>
      <c r="I1" s="600"/>
      <c r="J1" s="600"/>
      <c r="K1" s="600"/>
      <c r="L1" s="600"/>
      <c r="M1" s="600"/>
      <c r="N1" s="600"/>
      <c r="O1" s="600"/>
      <c r="P1" s="600"/>
      <c r="Q1" s="600"/>
      <c r="R1" s="600"/>
      <c r="S1" s="600"/>
      <c r="T1" s="600"/>
      <c r="U1" s="600"/>
      <c r="V1" s="600"/>
      <c r="W1" s="600"/>
      <c r="X1" s="600"/>
      <c r="Y1" s="600"/>
      <c r="Z1" s="600"/>
      <c r="AA1" s="600"/>
    </row>
    <row r="2" spans="1:50" x14ac:dyDescent="0.2">
      <c r="A2" s="106"/>
      <c r="B2" s="106"/>
      <c r="C2" s="106"/>
      <c r="D2" s="600"/>
      <c r="E2" s="600"/>
      <c r="F2" s="600"/>
      <c r="G2" s="600"/>
      <c r="H2" s="600"/>
      <c r="I2" s="600"/>
      <c r="J2" s="600"/>
      <c r="K2" s="600"/>
      <c r="L2" s="600"/>
      <c r="M2" s="600"/>
      <c r="N2" s="600"/>
      <c r="O2" s="600"/>
      <c r="P2" s="600"/>
      <c r="Q2" s="600"/>
      <c r="R2" s="600"/>
      <c r="S2" s="600"/>
      <c r="T2" s="600"/>
      <c r="U2" s="600"/>
      <c r="V2" s="600"/>
      <c r="W2" s="600"/>
      <c r="X2" s="600"/>
      <c r="Y2" s="600"/>
      <c r="Z2" s="600"/>
      <c r="AA2" s="600"/>
    </row>
    <row r="3" spans="1:50" x14ac:dyDescent="0.2">
      <c r="A3" s="108" t="s">
        <v>436</v>
      </c>
      <c r="B3" s="262" t="s">
        <v>60</v>
      </c>
      <c r="C3" s="106"/>
      <c r="D3" s="106"/>
    </row>
    <row r="4" spans="1:50" x14ac:dyDescent="0.2">
      <c r="A4" s="108"/>
      <c r="B4" s="656" t="s">
        <v>595</v>
      </c>
      <c r="C4" s="106"/>
      <c r="D4" s="106"/>
    </row>
    <row r="5" spans="1:50" x14ac:dyDescent="0.2">
      <c r="A5" s="108"/>
      <c r="C5" s="658" t="s">
        <v>596</v>
      </c>
      <c r="D5" s="106"/>
    </row>
    <row r="6" spans="1:50" x14ac:dyDescent="0.2">
      <c r="A6" s="108"/>
      <c r="C6" s="656" t="s">
        <v>597</v>
      </c>
      <c r="D6" s="106"/>
    </row>
    <row r="7" spans="1:50" x14ac:dyDescent="0.2">
      <c r="A7" s="108"/>
      <c r="C7" s="656" t="s">
        <v>598</v>
      </c>
      <c r="D7" s="106"/>
    </row>
    <row r="8" spans="1:50" x14ac:dyDescent="0.2">
      <c r="A8" s="108"/>
      <c r="C8" s="657" t="s">
        <v>599</v>
      </c>
      <c r="D8" s="106"/>
    </row>
    <row r="9" spans="1:50" x14ac:dyDescent="0.2">
      <c r="A9" s="108" t="s">
        <v>143</v>
      </c>
      <c r="B9" s="319">
        <f>HLOOKUP(MAX(B16:AW16),B16:AW21,2,0)</f>
        <v>0.70731707317073178</v>
      </c>
      <c r="C9" s="106"/>
      <c r="D9" s="106"/>
    </row>
    <row r="10" spans="1:50" x14ac:dyDescent="0.2">
      <c r="A10" s="108" t="s">
        <v>118</v>
      </c>
      <c r="B10" s="128">
        <f>MAX(B16:AW16)</f>
        <v>43009</v>
      </c>
      <c r="C10" s="106"/>
      <c r="D10" s="106"/>
    </row>
    <row r="11" spans="1:50" x14ac:dyDescent="0.2">
      <c r="A11" s="108" t="s">
        <v>195</v>
      </c>
      <c r="B11" s="409" t="s">
        <v>176</v>
      </c>
      <c r="C11" s="106"/>
      <c r="D11" s="106"/>
    </row>
    <row r="12" spans="1:50" x14ac:dyDescent="0.2">
      <c r="A12" s="108" t="s">
        <v>438</v>
      </c>
      <c r="B12" s="550" t="s">
        <v>744</v>
      </c>
      <c r="C12" s="106"/>
      <c r="D12" s="106"/>
    </row>
    <row r="13" spans="1:50" x14ac:dyDescent="0.2">
      <c r="A13" s="127" t="s">
        <v>710</v>
      </c>
      <c r="B13" s="129" t="s">
        <v>77</v>
      </c>
      <c r="C13" s="106"/>
      <c r="D13" s="106"/>
    </row>
    <row r="14" spans="1:50" x14ac:dyDescent="0.2">
      <c r="A14" s="127" t="s">
        <v>144</v>
      </c>
      <c r="B14" s="129" t="s">
        <v>77</v>
      </c>
      <c r="C14" s="106"/>
      <c r="D14" s="106"/>
      <c r="Z14" s="196"/>
    </row>
    <row r="15" spans="1:50" x14ac:dyDescent="0.2">
      <c r="M15" s="243"/>
      <c r="V15" s="186"/>
      <c r="W15" s="186"/>
      <c r="X15" s="441"/>
      <c r="Z15" s="243"/>
    </row>
    <row r="16" spans="1:50" x14ac:dyDescent="0.2">
      <c r="A16" s="190" t="s">
        <v>368</v>
      </c>
      <c r="B16" s="114">
        <v>42095</v>
      </c>
      <c r="C16" s="114">
        <v>42125</v>
      </c>
      <c r="D16" s="114">
        <v>42156</v>
      </c>
      <c r="E16" s="114">
        <v>42186</v>
      </c>
      <c r="F16" s="114">
        <v>42217</v>
      </c>
      <c r="G16" s="114">
        <v>42248</v>
      </c>
      <c r="H16" s="114">
        <v>42278</v>
      </c>
      <c r="I16" s="114">
        <v>42309</v>
      </c>
      <c r="J16" s="114">
        <v>42339</v>
      </c>
      <c r="K16" s="114">
        <v>42370</v>
      </c>
      <c r="L16" s="114">
        <v>42401</v>
      </c>
      <c r="M16" s="114">
        <v>42430</v>
      </c>
      <c r="N16" s="114">
        <v>42461</v>
      </c>
      <c r="O16" s="114">
        <v>42491</v>
      </c>
      <c r="P16" s="114">
        <v>42522</v>
      </c>
      <c r="Q16" s="114">
        <v>42552</v>
      </c>
      <c r="R16" s="114">
        <v>42583</v>
      </c>
      <c r="S16" s="114">
        <v>42614</v>
      </c>
      <c r="T16" s="142">
        <v>42644</v>
      </c>
      <c r="U16" s="114">
        <v>42675</v>
      </c>
      <c r="V16" s="142">
        <v>42705</v>
      </c>
      <c r="W16" s="114">
        <v>42736</v>
      </c>
      <c r="X16" s="114">
        <v>42767</v>
      </c>
      <c r="Y16" s="114">
        <v>42795</v>
      </c>
      <c r="Z16" s="114">
        <v>42826</v>
      </c>
      <c r="AA16" s="114">
        <v>42856</v>
      </c>
      <c r="AB16" s="114">
        <v>42887</v>
      </c>
      <c r="AC16" s="114">
        <v>42917</v>
      </c>
      <c r="AD16" s="114">
        <v>42948</v>
      </c>
      <c r="AE16" s="114">
        <v>42979</v>
      </c>
      <c r="AF16" s="114">
        <v>43009</v>
      </c>
      <c r="AG16" s="136"/>
      <c r="AH16" s="136"/>
      <c r="AI16" s="136"/>
      <c r="AJ16" s="136"/>
      <c r="AK16" s="136"/>
      <c r="AL16" s="136"/>
      <c r="AM16" s="136"/>
      <c r="AN16" s="136"/>
      <c r="AO16" s="136"/>
      <c r="AP16" s="136"/>
      <c r="AQ16" s="136"/>
      <c r="AR16" s="136"/>
      <c r="AS16" s="136"/>
      <c r="AT16" s="136"/>
      <c r="AU16" s="136"/>
      <c r="AV16" s="136"/>
      <c r="AW16" s="136"/>
      <c r="AX16" s="125" t="s">
        <v>15</v>
      </c>
    </row>
    <row r="17" spans="1:50" x14ac:dyDescent="0.2">
      <c r="A17" s="117" t="s">
        <v>414</v>
      </c>
      <c r="B17" s="116">
        <v>0.66972477064220182</v>
      </c>
      <c r="C17" s="116">
        <v>0.58730158730158732</v>
      </c>
      <c r="D17" s="116">
        <v>0.57731958762886593</v>
      </c>
      <c r="E17" s="116">
        <v>0.51546391752577314</v>
      </c>
      <c r="F17" s="116">
        <v>0.64705882352941169</v>
      </c>
      <c r="G17" s="116">
        <v>0.66346153846153844</v>
      </c>
      <c r="H17" s="116">
        <v>0.7899159663865547</v>
      </c>
      <c r="I17" s="116">
        <v>0.65116279069767447</v>
      </c>
      <c r="J17" s="116">
        <v>0.65048543689320393</v>
      </c>
      <c r="K17" s="116">
        <v>0.71311475409836067</v>
      </c>
      <c r="L17" s="116">
        <v>0.66101694915254239</v>
      </c>
      <c r="M17" s="116">
        <v>0.6767676767676768</v>
      </c>
      <c r="N17" s="116">
        <v>0.57099999999999995</v>
      </c>
      <c r="O17" s="116">
        <v>0.54400000000000004</v>
      </c>
      <c r="P17" s="116">
        <v>0.72</v>
      </c>
      <c r="Q17" s="116">
        <v>0.69299999999999995</v>
      </c>
      <c r="R17" s="116">
        <v>0.72727272727272729</v>
      </c>
      <c r="S17" s="116">
        <v>0.6717557251908397</v>
      </c>
      <c r="T17" s="116">
        <v>0.6428571428571429</v>
      </c>
      <c r="U17" s="116">
        <v>0.7289719626168224</v>
      </c>
      <c r="V17" s="116">
        <v>0.60992907801418439</v>
      </c>
      <c r="W17" s="116">
        <v>0.70338983050847459</v>
      </c>
      <c r="X17" s="116">
        <v>0.72549019607843135</v>
      </c>
      <c r="Y17" s="116">
        <v>0.77941176470588236</v>
      </c>
      <c r="Z17" s="116">
        <v>0.63779527559055116</v>
      </c>
      <c r="AA17" s="116">
        <v>0.73571428571428588</v>
      </c>
      <c r="AB17" s="116">
        <v>0.73722627737226276</v>
      </c>
      <c r="AC17" s="116">
        <v>0.69918699186991873</v>
      </c>
      <c r="AD17" s="116">
        <v>0.79166666666666652</v>
      </c>
      <c r="AE17" s="116">
        <v>0.69902912621359226</v>
      </c>
      <c r="AF17" s="116">
        <v>0.70731707317073178</v>
      </c>
      <c r="AG17" s="116"/>
      <c r="AH17" s="116"/>
      <c r="AI17" s="116"/>
      <c r="AJ17" s="116"/>
      <c r="AK17" s="116"/>
      <c r="AL17" s="116"/>
      <c r="AM17" s="116"/>
      <c r="AN17" s="116"/>
      <c r="AO17" s="116"/>
      <c r="AP17" s="116"/>
      <c r="AQ17" s="116"/>
      <c r="AR17" s="116"/>
      <c r="AS17" s="116"/>
      <c r="AT17" s="116"/>
      <c r="AU17" s="116"/>
      <c r="AV17" s="116"/>
      <c r="AW17" s="116"/>
      <c r="AX17" s="120">
        <v>0.8</v>
      </c>
    </row>
    <row r="18" spans="1:50" ht="25.5" x14ac:dyDescent="0.2">
      <c r="A18" s="117" t="s">
        <v>600</v>
      </c>
      <c r="B18" s="120">
        <v>0.74698795180722888</v>
      </c>
      <c r="C18" s="120">
        <v>0.66346153846153844</v>
      </c>
      <c r="D18" s="120">
        <v>0.66249999999999998</v>
      </c>
      <c r="E18" s="120">
        <v>0.48484848484848486</v>
      </c>
      <c r="F18" s="120">
        <v>0.6875</v>
      </c>
      <c r="G18" s="120">
        <v>0.71052631578947367</v>
      </c>
      <c r="H18" s="120">
        <v>0.82954545454545459</v>
      </c>
      <c r="I18" s="120">
        <v>0.7578947368421054</v>
      </c>
      <c r="J18" s="120">
        <v>0.67100000000000004</v>
      </c>
      <c r="K18" s="120">
        <v>0.77272727272727271</v>
      </c>
      <c r="L18" s="120">
        <v>0.65</v>
      </c>
      <c r="M18" s="120">
        <v>0.71250000000000002</v>
      </c>
      <c r="N18" s="120">
        <v>0.72289156626506024</v>
      </c>
      <c r="O18" s="120">
        <v>0.64130434782608692</v>
      </c>
      <c r="P18" s="120">
        <v>0.83333333333333348</v>
      </c>
      <c r="Q18" s="120">
        <v>0.7857142857142857</v>
      </c>
      <c r="R18" s="120">
        <v>0.83561643835616439</v>
      </c>
      <c r="S18" s="120">
        <v>0.82417582417582413</v>
      </c>
      <c r="T18" s="120">
        <v>0.68831168831168843</v>
      </c>
      <c r="U18" s="120">
        <v>0.85526315789473684</v>
      </c>
      <c r="V18" s="120">
        <v>0.68269230769230771</v>
      </c>
      <c r="W18" s="120">
        <v>0.77215189873417733</v>
      </c>
      <c r="X18" s="120">
        <v>0.80597014925373134</v>
      </c>
      <c r="Y18" s="120">
        <v>0.86813186813186816</v>
      </c>
      <c r="Z18" s="120">
        <v>0.68604651162790697</v>
      </c>
      <c r="AA18" s="120">
        <v>0.79207920792079212</v>
      </c>
      <c r="AB18" s="120">
        <v>0.80851063829787218</v>
      </c>
      <c r="AC18" s="120">
        <v>0.81176470588235294</v>
      </c>
      <c r="AD18" s="120">
        <v>0.7777777777777779</v>
      </c>
      <c r="AE18" s="120">
        <v>0.80882352941176483</v>
      </c>
      <c r="AF18" s="120">
        <v>0.77906976744186052</v>
      </c>
      <c r="AG18" s="120"/>
      <c r="AH18" s="120"/>
      <c r="AI18" s="120"/>
      <c r="AJ18" s="120"/>
      <c r="AK18" s="120"/>
      <c r="AL18" s="120"/>
      <c r="AM18" s="120"/>
      <c r="AN18" s="120"/>
      <c r="AO18" s="120"/>
      <c r="AP18" s="120"/>
      <c r="AQ18" s="120"/>
      <c r="AR18" s="120"/>
      <c r="AS18" s="120"/>
      <c r="AT18" s="120"/>
      <c r="AU18" s="120"/>
      <c r="AV18" s="120"/>
      <c r="AW18" s="120"/>
      <c r="AX18" s="120">
        <v>0.9</v>
      </c>
    </row>
    <row r="19" spans="1:50" s="186" customFormat="1" ht="25.5" x14ac:dyDescent="0.2">
      <c r="A19" s="298" t="s">
        <v>601</v>
      </c>
      <c r="B19" s="601">
        <v>0.8165137614678899</v>
      </c>
      <c r="C19" s="601">
        <v>0.83333333333333348</v>
      </c>
      <c r="D19" s="601">
        <v>0.82474226804123707</v>
      </c>
      <c r="E19" s="601">
        <v>0.80412371134020622</v>
      </c>
      <c r="F19" s="601">
        <v>0.86274509803921573</v>
      </c>
      <c r="G19" s="601">
        <v>0.90384615384615385</v>
      </c>
      <c r="H19" s="601">
        <v>0.89075630252100846</v>
      </c>
      <c r="I19" s="601">
        <v>0.8294573643410853</v>
      </c>
      <c r="J19" s="601">
        <v>0.83495145631067957</v>
      </c>
      <c r="K19" s="601">
        <v>0.86885245901639341</v>
      </c>
      <c r="L19" s="601">
        <v>0.84745762711864403</v>
      </c>
      <c r="M19" s="601">
        <v>0.87878787878787878</v>
      </c>
      <c r="N19" s="247">
        <v>0.77900000000000003</v>
      </c>
      <c r="O19" s="247">
        <v>0.75</v>
      </c>
      <c r="P19" s="247">
        <v>0.84399999999999997</v>
      </c>
      <c r="Q19" s="247">
        <v>0.82399999999999995</v>
      </c>
      <c r="R19" s="247">
        <v>0.82758620689655171</v>
      </c>
      <c r="S19" s="247">
        <v>0.78461538461538471</v>
      </c>
      <c r="T19" s="247">
        <v>0.83333333333333348</v>
      </c>
      <c r="U19" s="247">
        <v>0.80188679245283023</v>
      </c>
      <c r="V19" s="247">
        <v>0.82978723404255317</v>
      </c>
      <c r="W19" s="247">
        <v>0.87068965517241381</v>
      </c>
      <c r="X19" s="247">
        <v>0.8</v>
      </c>
      <c r="Y19" s="247">
        <v>0.91111111111111109</v>
      </c>
      <c r="Z19" s="169">
        <v>0.80314960629921262</v>
      </c>
      <c r="AA19" s="169">
        <v>0.87769784172661869</v>
      </c>
      <c r="AB19" s="169">
        <v>0.86861313868613133</v>
      </c>
      <c r="AC19" s="169">
        <v>0.79508196721311475</v>
      </c>
      <c r="AD19" s="169">
        <v>0.94067796610169496</v>
      </c>
      <c r="AE19" s="169">
        <v>0.79411764705882348</v>
      </c>
      <c r="AF19" s="169">
        <v>0.86885245901639341</v>
      </c>
      <c r="AG19" s="169"/>
      <c r="AH19" s="169"/>
      <c r="AI19" s="169"/>
      <c r="AJ19" s="169"/>
      <c r="AK19" s="169"/>
      <c r="AL19" s="169"/>
      <c r="AM19" s="169"/>
      <c r="AN19" s="169"/>
      <c r="AO19" s="169"/>
      <c r="AP19" s="169"/>
      <c r="AQ19" s="169"/>
      <c r="AR19" s="169"/>
      <c r="AS19" s="169"/>
      <c r="AT19" s="169"/>
      <c r="AU19" s="169"/>
      <c r="AV19" s="169"/>
      <c r="AW19" s="169"/>
      <c r="AX19" s="247">
        <v>1</v>
      </c>
    </row>
    <row r="20" spans="1:50" ht="25.5" x14ac:dyDescent="0.2">
      <c r="A20" s="117" t="s">
        <v>602</v>
      </c>
      <c r="B20" s="120">
        <v>0.95412844036697253</v>
      </c>
      <c r="C20" s="120">
        <v>0.95238095238095222</v>
      </c>
      <c r="D20" s="120">
        <v>0.95876288659793818</v>
      </c>
      <c r="E20" s="120">
        <v>0.97938144329896903</v>
      </c>
      <c r="F20" s="120">
        <v>0.94117647058823517</v>
      </c>
      <c r="G20" s="120">
        <v>0.96153846153846156</v>
      </c>
      <c r="H20" s="120">
        <v>0.97478991596638653</v>
      </c>
      <c r="I20" s="120">
        <v>0.98461538461538467</v>
      </c>
      <c r="J20" s="120">
        <v>0.95199999999999996</v>
      </c>
      <c r="K20" s="120">
        <v>0.97699999999999998</v>
      </c>
      <c r="L20" s="120">
        <v>0.97599999999999998</v>
      </c>
      <c r="M20" s="120">
        <v>0.94495412844036697</v>
      </c>
      <c r="N20" s="120">
        <v>0.96212121212121215</v>
      </c>
      <c r="O20" s="120">
        <v>0.96799999999999997</v>
      </c>
      <c r="P20" s="120">
        <v>0.93600000000000005</v>
      </c>
      <c r="Q20" s="120">
        <v>0.95299999999999996</v>
      </c>
      <c r="R20" s="120">
        <v>0.98347107438016534</v>
      </c>
      <c r="S20" s="120">
        <v>0.96946564885496178</v>
      </c>
      <c r="T20" s="120">
        <v>0.94444444444444442</v>
      </c>
      <c r="U20" s="120">
        <v>0.9719626168224299</v>
      </c>
      <c r="V20" s="120">
        <v>0.9858156028368793</v>
      </c>
      <c r="W20" s="120">
        <v>0.92372881355932213</v>
      </c>
      <c r="X20" s="120">
        <v>0.98039215686274506</v>
      </c>
      <c r="Y20" s="120">
        <v>0.97058823529411764</v>
      </c>
      <c r="Z20" s="120">
        <v>0.96062992125984248</v>
      </c>
      <c r="AA20" s="120">
        <v>0.9642857142857143</v>
      </c>
      <c r="AB20" s="120">
        <v>0.94890510948905105</v>
      </c>
      <c r="AC20" s="120">
        <v>0.97560975609756095</v>
      </c>
      <c r="AD20" s="120">
        <v>0.9916666666666667</v>
      </c>
      <c r="AE20" s="120">
        <v>0.970873786407767</v>
      </c>
      <c r="AF20" s="120">
        <v>0.95934959349593496</v>
      </c>
      <c r="AG20" s="120"/>
      <c r="AH20" s="120"/>
      <c r="AI20" s="120"/>
      <c r="AJ20" s="120"/>
      <c r="AK20" s="120"/>
      <c r="AL20" s="120"/>
      <c r="AM20" s="120"/>
      <c r="AN20" s="120"/>
      <c r="AO20" s="120"/>
      <c r="AP20" s="120"/>
      <c r="AQ20" s="120"/>
      <c r="AR20" s="120"/>
      <c r="AS20" s="120"/>
      <c r="AT20" s="120"/>
      <c r="AU20" s="120"/>
      <c r="AV20" s="120"/>
      <c r="AW20" s="120"/>
      <c r="AX20" s="120">
        <v>0.95</v>
      </c>
    </row>
    <row r="21" spans="1:50" s="186" customFormat="1" ht="25.5" x14ac:dyDescent="0.2">
      <c r="A21" s="298" t="s">
        <v>481</v>
      </c>
      <c r="B21" s="247">
        <v>0.92753623188405798</v>
      </c>
      <c r="C21" s="247">
        <v>0.90909090909090906</v>
      </c>
      <c r="D21" s="247">
        <v>0.95081967213114749</v>
      </c>
      <c r="E21" s="247">
        <v>0.8771929824561403</v>
      </c>
      <c r="F21" s="247">
        <v>0.94915254237288138</v>
      </c>
      <c r="G21" s="247">
        <v>0.92063492063492058</v>
      </c>
      <c r="H21" s="247">
        <v>0.9552238805970148</v>
      </c>
      <c r="I21" s="247">
        <v>0.93827160493827155</v>
      </c>
      <c r="J21" s="247">
        <v>0.9</v>
      </c>
      <c r="K21" s="247">
        <v>0.93333333333333324</v>
      </c>
      <c r="L21" s="247">
        <v>0.92300000000000004</v>
      </c>
      <c r="M21" s="247">
        <v>0.81666666666666676</v>
      </c>
      <c r="N21" s="247">
        <v>0.90700000000000003</v>
      </c>
      <c r="O21" s="247">
        <v>0.93421052631578949</v>
      </c>
      <c r="P21" s="247">
        <v>0.92400000000000004</v>
      </c>
      <c r="Q21" s="247">
        <v>0.92200000000000004</v>
      </c>
      <c r="R21" s="247">
        <v>0.9285714285714286</v>
      </c>
      <c r="S21" s="247">
        <v>0.90476190476190477</v>
      </c>
      <c r="T21" s="247">
        <v>0.88461538461538458</v>
      </c>
      <c r="U21" s="247">
        <v>0.8771929824561403</v>
      </c>
      <c r="V21" s="247">
        <v>0.88749999999999996</v>
      </c>
      <c r="W21" s="247">
        <v>0.9152542372881356</v>
      </c>
      <c r="X21" s="247">
        <v>0.96226415094339623</v>
      </c>
      <c r="Y21" s="247">
        <v>0.94736842105263153</v>
      </c>
      <c r="Z21" s="247">
        <v>0.93055555555555558</v>
      </c>
      <c r="AA21" s="247">
        <v>0.90588235294117647</v>
      </c>
      <c r="AB21" s="247">
        <v>0.95454545454545459</v>
      </c>
      <c r="AC21" s="247">
        <v>0.89393939393939392</v>
      </c>
      <c r="AD21" s="247">
        <v>0.93103448275862066</v>
      </c>
      <c r="AE21" s="247">
        <v>0.93333333333333324</v>
      </c>
      <c r="AF21" s="247">
        <v>0.875</v>
      </c>
      <c r="AG21" s="247"/>
      <c r="AH21" s="247"/>
      <c r="AI21" s="247"/>
      <c r="AJ21" s="247"/>
      <c r="AK21" s="247"/>
      <c r="AL21" s="247"/>
      <c r="AM21" s="247"/>
      <c r="AN21" s="247"/>
      <c r="AO21" s="247"/>
      <c r="AP21" s="247"/>
      <c r="AQ21" s="247"/>
      <c r="AR21" s="247"/>
      <c r="AS21" s="247"/>
      <c r="AT21" s="247"/>
      <c r="AU21" s="247"/>
      <c r="AV21" s="247"/>
      <c r="AW21" s="247"/>
      <c r="AX21" s="247">
        <v>0.95</v>
      </c>
    </row>
    <row r="22" spans="1:50" x14ac:dyDescent="0.2">
      <c r="A22" s="431" t="s">
        <v>463</v>
      </c>
      <c r="B22" s="432">
        <v>0.7</v>
      </c>
      <c r="C22" s="432">
        <v>0.7</v>
      </c>
      <c r="D22" s="432">
        <v>0.7</v>
      </c>
      <c r="E22" s="432">
        <v>0.7</v>
      </c>
      <c r="F22" s="432">
        <v>0.7</v>
      </c>
      <c r="G22" s="432">
        <v>0.7</v>
      </c>
      <c r="H22" s="432">
        <v>0.7</v>
      </c>
      <c r="I22" s="432">
        <v>0.7</v>
      </c>
      <c r="J22" s="432">
        <v>0.7</v>
      </c>
      <c r="K22" s="432">
        <v>0.7</v>
      </c>
      <c r="L22" s="432">
        <v>0.7</v>
      </c>
      <c r="M22" s="432">
        <v>0.7</v>
      </c>
      <c r="N22" s="432">
        <v>0.8</v>
      </c>
      <c r="O22" s="432">
        <v>0.8</v>
      </c>
      <c r="P22" s="432">
        <v>0.8</v>
      </c>
      <c r="Q22" s="432">
        <v>0.8</v>
      </c>
      <c r="R22" s="432">
        <v>0.8</v>
      </c>
      <c r="S22" s="432">
        <v>0.8</v>
      </c>
      <c r="T22" s="432">
        <v>0.8</v>
      </c>
      <c r="U22" s="432">
        <v>0.8</v>
      </c>
      <c r="V22" s="432">
        <v>0.8</v>
      </c>
      <c r="W22" s="432">
        <v>0.75</v>
      </c>
      <c r="X22" s="432">
        <v>0.75</v>
      </c>
      <c r="Y22" s="432">
        <v>0.75</v>
      </c>
      <c r="Z22" s="432">
        <v>0.8</v>
      </c>
      <c r="AA22" s="432">
        <v>0.8</v>
      </c>
      <c r="AB22" s="432">
        <v>0.8</v>
      </c>
      <c r="AC22" s="432">
        <v>0.8</v>
      </c>
      <c r="AD22" s="432">
        <v>0.8</v>
      </c>
      <c r="AE22" s="432">
        <v>0.8</v>
      </c>
      <c r="AF22" s="432">
        <v>0.8</v>
      </c>
      <c r="AG22" s="432">
        <v>0.8</v>
      </c>
      <c r="AH22" s="432">
        <v>0.8</v>
      </c>
      <c r="AI22" s="432">
        <v>0.8</v>
      </c>
      <c r="AJ22" s="432">
        <v>0.8</v>
      </c>
      <c r="AK22" s="432">
        <v>0.8</v>
      </c>
      <c r="AL22" s="432">
        <v>0.8</v>
      </c>
      <c r="AM22" s="432">
        <v>0.8</v>
      </c>
      <c r="AN22" s="432">
        <v>0.8</v>
      </c>
      <c r="AO22" s="432">
        <v>0.8</v>
      </c>
      <c r="AP22" s="432">
        <v>0.8</v>
      </c>
      <c r="AQ22" s="432">
        <v>0.8</v>
      </c>
      <c r="AR22" s="432">
        <v>0.8</v>
      </c>
      <c r="AS22" s="432">
        <v>0.8</v>
      </c>
      <c r="AT22" s="432">
        <v>0.8</v>
      </c>
      <c r="AU22" s="432">
        <v>0.8</v>
      </c>
      <c r="AV22" s="432">
        <v>0.8</v>
      </c>
      <c r="AW22" s="432">
        <v>0.8</v>
      </c>
      <c r="AX22" s="190"/>
    </row>
    <row r="23" spans="1:50" x14ac:dyDescent="0.2">
      <c r="A23" s="433" t="s">
        <v>130</v>
      </c>
      <c r="B23" s="320"/>
      <c r="C23" s="320"/>
      <c r="D23" s="320"/>
      <c r="E23" s="320"/>
      <c r="F23" s="320"/>
      <c r="G23" s="320"/>
      <c r="H23" s="320"/>
      <c r="I23" s="320"/>
      <c r="J23" s="320"/>
      <c r="K23" s="320"/>
      <c r="L23" s="320"/>
      <c r="M23" s="320"/>
      <c r="N23" s="320">
        <f>MEDIAN($N$17:$Y$17)</f>
        <v>0.69819491525423727</v>
      </c>
      <c r="O23" s="320">
        <f t="shared" ref="O23:X23" si="0">MEDIAN($N$17:$Y$17)</f>
        <v>0.69819491525423727</v>
      </c>
      <c r="P23" s="320">
        <f t="shared" si="0"/>
        <v>0.69819491525423727</v>
      </c>
      <c r="Q23" s="320">
        <f t="shared" si="0"/>
        <v>0.69819491525423727</v>
      </c>
      <c r="R23" s="320">
        <f t="shared" si="0"/>
        <v>0.69819491525423727</v>
      </c>
      <c r="S23" s="320">
        <f t="shared" si="0"/>
        <v>0.69819491525423727</v>
      </c>
      <c r="T23" s="320">
        <f t="shared" si="0"/>
        <v>0.69819491525423727</v>
      </c>
      <c r="U23" s="320">
        <f t="shared" si="0"/>
        <v>0.69819491525423727</v>
      </c>
      <c r="V23" s="320">
        <f t="shared" si="0"/>
        <v>0.69819491525423727</v>
      </c>
      <c r="W23" s="320">
        <f t="shared" si="0"/>
        <v>0.69819491525423727</v>
      </c>
      <c r="X23" s="320">
        <f t="shared" si="0"/>
        <v>0.69819491525423727</v>
      </c>
      <c r="Y23" s="320">
        <f>MEDIAN($N$17:$Y$17)</f>
        <v>0.69819491525423727</v>
      </c>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190"/>
    </row>
    <row r="24" spans="1:50" x14ac:dyDescent="0.2">
      <c r="A24" s="433" t="s">
        <v>178</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f>MEDIAN($N$17:$Y$17)</f>
        <v>0.69819491525423727</v>
      </c>
      <c r="Z24" s="320">
        <f>MEDIAN($N$17:$Y$17)</f>
        <v>0.69819491525423727</v>
      </c>
      <c r="AA24" s="320">
        <f t="shared" ref="AA24:AW24" si="1">MEDIAN($N$17:$Y$17)</f>
        <v>0.69819491525423727</v>
      </c>
      <c r="AB24" s="320">
        <f t="shared" si="1"/>
        <v>0.69819491525423727</v>
      </c>
      <c r="AC24" s="320">
        <f t="shared" si="1"/>
        <v>0.69819491525423727</v>
      </c>
      <c r="AD24" s="320">
        <f t="shared" si="1"/>
        <v>0.69819491525423727</v>
      </c>
      <c r="AE24" s="320">
        <f t="shared" si="1"/>
        <v>0.69819491525423727</v>
      </c>
      <c r="AF24" s="320">
        <f t="shared" si="1"/>
        <v>0.69819491525423727</v>
      </c>
      <c r="AG24" s="320">
        <f t="shared" si="1"/>
        <v>0.69819491525423727</v>
      </c>
      <c r="AH24" s="320">
        <f t="shared" si="1"/>
        <v>0.69819491525423727</v>
      </c>
      <c r="AI24" s="320">
        <f t="shared" si="1"/>
        <v>0.69819491525423727</v>
      </c>
      <c r="AJ24" s="320">
        <f t="shared" si="1"/>
        <v>0.69819491525423727</v>
      </c>
      <c r="AK24" s="320">
        <f t="shared" si="1"/>
        <v>0.69819491525423727</v>
      </c>
      <c r="AL24" s="320">
        <f t="shared" si="1"/>
        <v>0.69819491525423727</v>
      </c>
      <c r="AM24" s="320">
        <f t="shared" si="1"/>
        <v>0.69819491525423727</v>
      </c>
      <c r="AN24" s="320">
        <f t="shared" si="1"/>
        <v>0.69819491525423727</v>
      </c>
      <c r="AO24" s="320">
        <f t="shared" si="1"/>
        <v>0.69819491525423727</v>
      </c>
      <c r="AP24" s="320">
        <f t="shared" si="1"/>
        <v>0.69819491525423727</v>
      </c>
      <c r="AQ24" s="320">
        <f t="shared" si="1"/>
        <v>0.69819491525423727</v>
      </c>
      <c r="AR24" s="320">
        <f t="shared" si="1"/>
        <v>0.69819491525423727</v>
      </c>
      <c r="AS24" s="320">
        <f t="shared" si="1"/>
        <v>0.69819491525423727</v>
      </c>
      <c r="AT24" s="320">
        <f t="shared" si="1"/>
        <v>0.69819491525423727</v>
      </c>
      <c r="AU24" s="320">
        <f t="shared" si="1"/>
        <v>0.69819491525423727</v>
      </c>
      <c r="AV24" s="320">
        <f t="shared" si="1"/>
        <v>0.69819491525423727</v>
      </c>
      <c r="AW24" s="320">
        <f t="shared" si="1"/>
        <v>0.69819491525423727</v>
      </c>
      <c r="AX24" s="190"/>
    </row>
    <row r="25" spans="1:50" x14ac:dyDescent="0.2">
      <c r="A25" s="316" t="s">
        <v>368</v>
      </c>
      <c r="B25" s="317" t="s">
        <v>368</v>
      </c>
      <c r="C25" s="317" t="s">
        <v>368</v>
      </c>
      <c r="D25" s="317" t="s">
        <v>368</v>
      </c>
      <c r="E25" s="317" t="s">
        <v>368</v>
      </c>
      <c r="F25" s="317" t="s">
        <v>368</v>
      </c>
      <c r="G25" s="317" t="s">
        <v>368</v>
      </c>
      <c r="H25" s="317" t="s">
        <v>368</v>
      </c>
      <c r="I25" s="317" t="s">
        <v>368</v>
      </c>
      <c r="J25" s="317" t="s">
        <v>368</v>
      </c>
      <c r="K25" s="317" t="s">
        <v>368</v>
      </c>
      <c r="L25" s="317" t="s">
        <v>368</v>
      </c>
      <c r="M25" s="317" t="s">
        <v>368</v>
      </c>
      <c r="N25" s="145"/>
      <c r="O25" s="282"/>
      <c r="P25" s="145"/>
      <c r="Q25" s="145"/>
      <c r="R25" s="145"/>
      <c r="S25" s="145"/>
      <c r="T25" s="145"/>
      <c r="U25" s="145"/>
      <c r="V25" s="145"/>
      <c r="W25" s="145"/>
      <c r="X25" s="145"/>
      <c r="Y25" s="145"/>
      <c r="Z25" s="145"/>
    </row>
    <row r="26" spans="1:50" s="124" customFormat="1" x14ac:dyDescent="0.2">
      <c r="A26" s="655" t="s">
        <v>603</v>
      </c>
      <c r="B26" s="100"/>
      <c r="C26" s="100"/>
      <c r="D26" s="100"/>
      <c r="E26" s="100"/>
      <c r="F26" s="100"/>
      <c r="G26" s="100"/>
      <c r="H26" s="100"/>
      <c r="I26" s="100"/>
      <c r="J26" s="100"/>
      <c r="K26" s="100"/>
      <c r="L26" s="100"/>
      <c r="M26" s="100"/>
      <c r="N26" s="318"/>
      <c r="O26" s="318"/>
      <c r="P26" s="318"/>
      <c r="Q26" s="318"/>
      <c r="R26" s="318"/>
      <c r="S26" s="318"/>
      <c r="T26" s="318"/>
      <c r="U26" s="318"/>
      <c r="V26" s="318"/>
      <c r="W26" s="318"/>
      <c r="X26" s="318"/>
      <c r="Y26" s="318"/>
      <c r="Z26" s="318"/>
    </row>
    <row r="27" spans="1:50" x14ac:dyDescent="0.2">
      <c r="A27" s="316" t="s">
        <v>604</v>
      </c>
      <c r="B27" s="316"/>
      <c r="C27" s="316"/>
      <c r="D27" s="316"/>
      <c r="E27" s="145"/>
      <c r="F27" s="145"/>
      <c r="G27" s="145"/>
      <c r="H27" s="145"/>
      <c r="I27" s="145"/>
      <c r="J27" s="145"/>
      <c r="K27" s="145"/>
      <c r="L27" s="145"/>
      <c r="M27" s="145"/>
      <c r="N27" s="145"/>
      <c r="O27" s="145"/>
      <c r="P27" s="145"/>
      <c r="Q27" s="441"/>
      <c r="R27" s="441"/>
      <c r="S27" s="441"/>
      <c r="T27" s="441"/>
      <c r="U27" s="820"/>
      <c r="V27" s="441"/>
      <c r="W27" s="441"/>
      <c r="X27" s="441"/>
      <c r="Y27" s="186"/>
      <c r="Z27" s="186"/>
      <c r="AA27" s="186"/>
      <c r="AB27" s="186"/>
      <c r="AC27" s="186"/>
    </row>
    <row r="28" spans="1:50" x14ac:dyDescent="0.2">
      <c r="A28" s="316" t="s">
        <v>760</v>
      </c>
      <c r="B28" s="316"/>
      <c r="C28" s="316"/>
      <c r="D28" s="316"/>
      <c r="E28" s="145"/>
      <c r="F28" s="145"/>
      <c r="G28" s="145"/>
      <c r="H28" s="145"/>
      <c r="I28" s="145"/>
      <c r="J28" s="145"/>
      <c r="K28" s="145"/>
      <c r="L28" s="145"/>
      <c r="M28" s="145"/>
      <c r="N28" s="145"/>
      <c r="P28" s="145"/>
      <c r="Q28" s="819"/>
      <c r="R28" s="819"/>
      <c r="S28" s="819"/>
      <c r="T28" s="819"/>
      <c r="U28" s="819"/>
      <c r="V28" s="819"/>
      <c r="W28" s="819"/>
      <c r="X28" s="819"/>
      <c r="Y28" s="819"/>
      <c r="Z28" s="819"/>
      <c r="AA28" s="819"/>
      <c r="AB28" s="819"/>
      <c r="AC28" s="186"/>
    </row>
    <row r="29" spans="1:50" x14ac:dyDescent="0.2">
      <c r="A29" s="316"/>
      <c r="B29" s="316"/>
      <c r="C29" s="316"/>
      <c r="D29" s="316"/>
      <c r="E29" s="145"/>
      <c r="F29" s="145"/>
      <c r="G29" s="145"/>
      <c r="H29" s="145"/>
      <c r="I29" s="145"/>
      <c r="J29" s="145"/>
      <c r="K29" s="145"/>
      <c r="L29" s="145"/>
      <c r="M29" s="145"/>
      <c r="N29" s="145"/>
      <c r="P29" s="145"/>
      <c r="Q29" s="819"/>
      <c r="R29" s="819"/>
      <c r="S29" s="819"/>
      <c r="T29" s="819"/>
      <c r="U29" s="819"/>
      <c r="V29" s="819"/>
      <c r="W29" s="819"/>
      <c r="X29" s="819"/>
      <c r="Y29" s="819"/>
      <c r="Z29" s="819"/>
      <c r="AA29" s="819"/>
      <c r="AB29" s="819"/>
      <c r="AC29" s="186"/>
    </row>
    <row r="30" spans="1:50" x14ac:dyDescent="0.2">
      <c r="A30" s="661" t="s">
        <v>414</v>
      </c>
      <c r="B30" s="322"/>
      <c r="C30" s="322"/>
      <c r="D30" s="322"/>
      <c r="M30" s="442"/>
      <c r="Q30" s="819"/>
      <c r="R30" s="819"/>
      <c r="S30" s="819"/>
      <c r="T30" s="819"/>
      <c r="U30" s="819"/>
      <c r="V30" s="819"/>
      <c r="W30" s="819"/>
      <c r="X30" s="819"/>
      <c r="Y30" s="819"/>
      <c r="Z30" s="819"/>
      <c r="AA30" s="819"/>
      <c r="AB30" s="819"/>
      <c r="AC30" s="186"/>
    </row>
    <row r="31" spans="1:50" x14ac:dyDescent="0.2">
      <c r="A31" s="322"/>
      <c r="B31" s="322"/>
      <c r="C31" s="322"/>
      <c r="D31" s="322"/>
      <c r="Q31" s="819"/>
      <c r="R31" s="819"/>
      <c r="S31" s="819"/>
      <c r="T31" s="819"/>
      <c r="U31" s="819"/>
      <c r="V31" s="819"/>
      <c r="W31" s="819"/>
      <c r="X31" s="819"/>
      <c r="Y31" s="819"/>
      <c r="Z31" s="819"/>
      <c r="AA31" s="819"/>
      <c r="AB31" s="819"/>
      <c r="AC31" s="186"/>
    </row>
    <row r="32" spans="1:50" x14ac:dyDescent="0.2">
      <c r="Q32" s="186"/>
      <c r="R32" s="186"/>
      <c r="S32" s="186"/>
      <c r="T32" s="186"/>
      <c r="U32" s="821"/>
      <c r="V32" s="186"/>
      <c r="W32" s="186"/>
      <c r="X32" s="186"/>
      <c r="Y32" s="186"/>
      <c r="Z32" s="186"/>
      <c r="AA32" s="186"/>
      <c r="AB32" s="186"/>
      <c r="AC32" s="186"/>
    </row>
    <row r="33" spans="17:29" x14ac:dyDescent="0.2">
      <c r="Q33" s="818"/>
      <c r="R33" s="818"/>
      <c r="S33" s="818"/>
      <c r="T33" s="818"/>
      <c r="U33" s="818"/>
      <c r="V33" s="818"/>
      <c r="W33" s="818"/>
      <c r="X33" s="818"/>
      <c r="Y33" s="818"/>
      <c r="Z33" s="818"/>
      <c r="AA33" s="818"/>
      <c r="AB33" s="818"/>
      <c r="AC33" s="186"/>
    </row>
    <row r="34" spans="17:29" x14ac:dyDescent="0.2">
      <c r="Q34" s="186"/>
      <c r="R34" s="186"/>
      <c r="S34" s="186"/>
      <c r="T34" s="186"/>
      <c r="U34" s="186"/>
      <c r="V34" s="186"/>
      <c r="W34" s="186"/>
      <c r="X34" s="186"/>
      <c r="Y34" s="186"/>
      <c r="Z34" s="186"/>
      <c r="AA34" s="186"/>
      <c r="AB34" s="186"/>
      <c r="AC34" s="186"/>
    </row>
    <row r="55" spans="1:28" ht="15.75" x14ac:dyDescent="0.25">
      <c r="A55" s="292" t="s">
        <v>614</v>
      </c>
      <c r="P55" s="145" t="s">
        <v>368</v>
      </c>
      <c r="AB55" s="442"/>
    </row>
    <row r="56" spans="1:28" x14ac:dyDescent="0.2">
      <c r="A56" s="127" t="s">
        <v>343</v>
      </c>
      <c r="M56" s="127" t="s">
        <v>415</v>
      </c>
      <c r="AB56" s="442"/>
    </row>
    <row r="57" spans="1:28" x14ac:dyDescent="0.2">
      <c r="AB57" s="442"/>
    </row>
    <row r="58" spans="1:28" x14ac:dyDescent="0.2">
      <c r="AB58" s="442"/>
    </row>
    <row r="59" spans="1:28" x14ac:dyDescent="0.2">
      <c r="AB59" s="442"/>
    </row>
    <row r="81" spans="1:13" x14ac:dyDescent="0.2">
      <c r="A81" s="127" t="s">
        <v>416</v>
      </c>
      <c r="M81" s="127" t="s">
        <v>417</v>
      </c>
    </row>
    <row r="106" spans="1:1" x14ac:dyDescent="0.2">
      <c r="A106" s="127" t="s">
        <v>418</v>
      </c>
    </row>
    <row r="131" spans="1:13" x14ac:dyDescent="0.2">
      <c r="A131" s="127" t="s">
        <v>605</v>
      </c>
      <c r="M131" s="127" t="s">
        <v>606</v>
      </c>
    </row>
    <row r="156" spans="1:28" ht="15.75" x14ac:dyDescent="0.25">
      <c r="A156" s="292" t="s">
        <v>608</v>
      </c>
    </row>
    <row r="157" spans="1:28" x14ac:dyDescent="0.2">
      <c r="A157" s="127" t="s">
        <v>343</v>
      </c>
      <c r="M157" s="127" t="s">
        <v>415</v>
      </c>
      <c r="AB157" s="446"/>
    </row>
    <row r="182" spans="1:13" x14ac:dyDescent="0.2">
      <c r="A182" s="127" t="s">
        <v>416</v>
      </c>
      <c r="M182" s="127" t="s">
        <v>417</v>
      </c>
    </row>
    <row r="207" spans="1:1" x14ac:dyDescent="0.2">
      <c r="A207" s="127" t="s">
        <v>418</v>
      </c>
    </row>
    <row r="232" spans="1:28" ht="15.75" x14ac:dyDescent="0.25">
      <c r="A232" s="660" t="s">
        <v>607</v>
      </c>
    </row>
    <row r="233" spans="1:28" x14ac:dyDescent="0.2">
      <c r="A233" s="127" t="s">
        <v>343</v>
      </c>
      <c r="M233" s="127" t="s">
        <v>415</v>
      </c>
      <c r="AB233" s="442"/>
    </row>
    <row r="240" spans="1:28" s="458" customFormat="1" x14ac:dyDescent="0.2"/>
    <row r="258" spans="1:13" x14ac:dyDescent="0.2">
      <c r="A258" s="127" t="s">
        <v>416</v>
      </c>
      <c r="M258" s="127" t="s">
        <v>417</v>
      </c>
    </row>
    <row r="267" spans="1:13" s="458" customFormat="1" x14ac:dyDescent="0.2">
      <c r="B267" s="458" t="s">
        <v>368</v>
      </c>
    </row>
    <row r="283" spans="1:27" x14ac:dyDescent="0.2">
      <c r="A283" s="127" t="s">
        <v>418</v>
      </c>
    </row>
    <row r="288" spans="1:27" x14ac:dyDescent="0.2">
      <c r="P288" s="216"/>
      <c r="Q288" s="216"/>
      <c r="R288" s="216"/>
      <c r="S288" s="216"/>
      <c r="T288" s="216"/>
      <c r="U288" s="216"/>
      <c r="V288" s="216"/>
      <c r="W288" s="216"/>
      <c r="X288" s="216"/>
      <c r="Y288" s="216"/>
      <c r="Z288" s="216"/>
      <c r="AA288" s="216"/>
    </row>
    <row r="289" spans="16:27" x14ac:dyDescent="0.2">
      <c r="P289" s="216"/>
      <c r="Q289" s="216"/>
      <c r="R289" s="216"/>
      <c r="S289" s="216"/>
      <c r="T289" s="216"/>
      <c r="U289" s="216"/>
      <c r="V289" s="216"/>
      <c r="W289" s="216"/>
      <c r="X289" s="216"/>
      <c r="Y289" s="216"/>
      <c r="Z289" s="216"/>
      <c r="AA289" s="216"/>
    </row>
    <row r="290" spans="16:27" x14ac:dyDescent="0.2">
      <c r="P290" s="216"/>
      <c r="Q290" s="823"/>
      <c r="R290" s="216"/>
      <c r="S290" s="823"/>
      <c r="T290" s="216"/>
      <c r="U290" s="823"/>
      <c r="V290" s="216"/>
      <c r="W290" s="216"/>
      <c r="X290" s="216"/>
      <c r="Y290" s="216"/>
      <c r="Z290" s="216"/>
      <c r="AA290" s="216"/>
    </row>
    <row r="291" spans="16:27" x14ac:dyDescent="0.2">
      <c r="P291" s="216"/>
      <c r="Q291" s="823"/>
      <c r="R291" s="216"/>
      <c r="S291" s="823"/>
      <c r="T291" s="216"/>
      <c r="U291" s="823"/>
      <c r="V291" s="216"/>
      <c r="W291" s="216"/>
      <c r="X291" s="216"/>
      <c r="Y291" s="216"/>
      <c r="Z291" s="216"/>
      <c r="AA291" s="216"/>
    </row>
    <row r="292" spans="16:27" x14ac:dyDescent="0.2">
      <c r="P292" s="216"/>
      <c r="Q292" s="823"/>
      <c r="R292" s="216"/>
      <c r="S292" s="823"/>
      <c r="T292" s="216"/>
      <c r="U292" s="823"/>
      <c r="V292" s="216"/>
      <c r="W292" s="216"/>
      <c r="X292" s="216"/>
      <c r="Y292" s="216"/>
      <c r="Z292" s="216"/>
      <c r="AA292" s="216"/>
    </row>
    <row r="293" spans="16:27" x14ac:dyDescent="0.2">
      <c r="P293" s="216"/>
      <c r="Q293" s="823"/>
      <c r="R293" s="216"/>
      <c r="S293" s="823"/>
      <c r="T293" s="216"/>
      <c r="U293" s="823"/>
      <c r="V293" s="216"/>
      <c r="W293" s="216"/>
      <c r="X293" s="216"/>
      <c r="Y293" s="216"/>
      <c r="Z293" s="216"/>
      <c r="AA293" s="216"/>
    </row>
    <row r="294" spans="16:27" x14ac:dyDescent="0.2">
      <c r="P294" s="216"/>
      <c r="Q294" s="823"/>
      <c r="R294" s="216"/>
      <c r="S294" s="823"/>
      <c r="T294" s="216"/>
      <c r="U294" s="823"/>
      <c r="V294" s="216"/>
      <c r="W294" s="216"/>
      <c r="X294" s="823"/>
      <c r="Y294" s="216"/>
      <c r="Z294" s="216"/>
      <c r="AA294" s="216"/>
    </row>
    <row r="295" spans="16:27" x14ac:dyDescent="0.2">
      <c r="P295" s="216"/>
      <c r="Q295" s="823"/>
      <c r="R295" s="216"/>
      <c r="S295" s="823"/>
      <c r="T295" s="216"/>
      <c r="U295" s="823"/>
      <c r="V295" s="216"/>
      <c r="W295" s="216"/>
      <c r="X295" s="823"/>
      <c r="Y295" s="216"/>
      <c r="Z295" s="216"/>
      <c r="AA295" s="216"/>
    </row>
    <row r="296" spans="16:27" x14ac:dyDescent="0.2">
      <c r="P296" s="216"/>
      <c r="Q296" s="823"/>
      <c r="R296" s="216"/>
      <c r="S296" s="823"/>
      <c r="T296" s="216"/>
      <c r="U296" s="823"/>
      <c r="V296" s="216"/>
      <c r="W296" s="216"/>
      <c r="X296" s="823"/>
      <c r="Y296" s="216"/>
      <c r="Z296" s="216"/>
      <c r="AA296" s="216"/>
    </row>
    <row r="297" spans="16:27" x14ac:dyDescent="0.2">
      <c r="P297" s="216"/>
      <c r="Q297" s="823"/>
      <c r="R297" s="216"/>
      <c r="S297" s="823"/>
      <c r="T297" s="216"/>
      <c r="U297" s="823"/>
      <c r="V297" s="216"/>
      <c r="W297" s="216"/>
      <c r="X297" s="823"/>
      <c r="Y297" s="216"/>
      <c r="Z297" s="216"/>
      <c r="AA297" s="216"/>
    </row>
    <row r="298" spans="16:27" x14ac:dyDescent="0.2">
      <c r="P298" s="216"/>
      <c r="Q298" s="823"/>
      <c r="R298" s="216"/>
      <c r="S298" s="823"/>
      <c r="T298" s="216"/>
      <c r="U298" s="823"/>
      <c r="V298" s="216"/>
      <c r="W298" s="216"/>
      <c r="X298" s="823"/>
      <c r="Y298" s="216"/>
      <c r="Z298" s="216"/>
      <c r="AA298" s="216"/>
    </row>
    <row r="299" spans="16:27" x14ac:dyDescent="0.2">
      <c r="P299" s="216"/>
      <c r="Q299" s="823"/>
      <c r="R299" s="216"/>
      <c r="S299" s="823"/>
      <c r="T299" s="216"/>
      <c r="U299" s="823"/>
      <c r="V299" s="216"/>
      <c r="W299" s="216"/>
      <c r="X299" s="823"/>
      <c r="Y299" s="216"/>
      <c r="Z299" s="216"/>
      <c r="AA299" s="216"/>
    </row>
    <row r="300" spans="16:27" x14ac:dyDescent="0.2">
      <c r="P300" s="216"/>
      <c r="Q300" s="823"/>
      <c r="R300" s="216"/>
      <c r="S300" s="823"/>
      <c r="T300" s="216"/>
      <c r="U300" s="823"/>
      <c r="V300" s="216"/>
      <c r="W300" s="216"/>
      <c r="X300" s="823"/>
      <c r="Y300" s="216"/>
      <c r="Z300" s="216"/>
      <c r="AA300" s="216"/>
    </row>
    <row r="301" spans="16:27" x14ac:dyDescent="0.2">
      <c r="P301" s="216"/>
      <c r="Q301" s="823"/>
      <c r="R301" s="216"/>
      <c r="S301" s="823"/>
      <c r="T301" s="216"/>
      <c r="U301" s="823"/>
      <c r="V301" s="216"/>
      <c r="W301" s="216"/>
      <c r="X301" s="823"/>
      <c r="Y301" s="216"/>
      <c r="Z301" s="216"/>
      <c r="AA301" s="216"/>
    </row>
    <row r="302" spans="16:27" x14ac:dyDescent="0.2">
      <c r="P302" s="216"/>
      <c r="Q302" s="216"/>
      <c r="R302" s="216"/>
      <c r="S302" s="216"/>
      <c r="T302" s="216"/>
      <c r="U302" s="216"/>
      <c r="V302" s="216"/>
      <c r="W302" s="216"/>
      <c r="X302" s="823"/>
      <c r="Y302" s="216"/>
      <c r="Z302" s="216"/>
      <c r="AA302" s="216"/>
    </row>
    <row r="303" spans="16:27" x14ac:dyDescent="0.2">
      <c r="P303" s="216"/>
      <c r="Q303" s="216"/>
      <c r="R303" s="216"/>
      <c r="S303" s="216"/>
      <c r="T303" s="216"/>
      <c r="U303" s="216"/>
      <c r="V303" s="216"/>
      <c r="W303" s="216"/>
      <c r="X303" s="823"/>
      <c r="Y303" s="216"/>
      <c r="Z303" s="216"/>
      <c r="AA303" s="216"/>
    </row>
    <row r="304" spans="16:27" x14ac:dyDescent="0.2">
      <c r="P304" s="216"/>
      <c r="Q304" s="216"/>
      <c r="R304" s="216"/>
      <c r="S304" s="216"/>
      <c r="T304" s="216"/>
      <c r="U304" s="216"/>
      <c r="V304" s="216"/>
      <c r="W304" s="216"/>
      <c r="X304" s="823"/>
      <c r="Y304" s="216"/>
      <c r="Z304" s="216"/>
      <c r="AA304" s="216"/>
    </row>
    <row r="305" spans="1:49" x14ac:dyDescent="0.2">
      <c r="P305" s="216"/>
      <c r="Q305" s="216"/>
      <c r="R305" s="216"/>
      <c r="S305" s="216"/>
      <c r="T305" s="216"/>
      <c r="U305" s="216"/>
      <c r="V305" s="216"/>
      <c r="W305" s="216"/>
      <c r="X305" s="823"/>
      <c r="Y305" s="216"/>
      <c r="Z305" s="216"/>
      <c r="AA305" s="216"/>
    </row>
    <row r="306" spans="1:49" x14ac:dyDescent="0.2">
      <c r="P306" s="216"/>
      <c r="Q306" s="216"/>
      <c r="R306" s="216"/>
      <c r="S306" s="216"/>
      <c r="T306" s="216"/>
      <c r="U306" s="216"/>
      <c r="V306" s="216"/>
      <c r="W306" s="216"/>
      <c r="X306" s="216"/>
      <c r="Y306" s="216"/>
      <c r="Z306" s="216"/>
      <c r="AA306" s="216"/>
    </row>
    <row r="308" spans="1:49" ht="15.75" x14ac:dyDescent="0.25">
      <c r="A308" s="292" t="s">
        <v>736</v>
      </c>
    </row>
    <row r="310" spans="1:49" ht="25.5" x14ac:dyDescent="0.2">
      <c r="A310" s="659" t="s">
        <v>479</v>
      </c>
      <c r="B310" s="751">
        <v>42095</v>
      </c>
      <c r="C310" s="751">
        <v>42125</v>
      </c>
      <c r="D310" s="751">
        <v>42156</v>
      </c>
      <c r="E310" s="751">
        <v>42186</v>
      </c>
      <c r="F310" s="751">
        <v>42217</v>
      </c>
      <c r="G310" s="751">
        <v>42248</v>
      </c>
      <c r="H310" s="751">
        <v>42278</v>
      </c>
      <c r="I310" s="751">
        <v>42309</v>
      </c>
      <c r="J310" s="751">
        <v>42339</v>
      </c>
      <c r="K310" s="751">
        <v>42370</v>
      </c>
      <c r="L310" s="751">
        <v>42401</v>
      </c>
      <c r="M310" s="751">
        <v>42430</v>
      </c>
      <c r="N310" s="751">
        <v>42461</v>
      </c>
      <c r="O310" s="751">
        <v>42491</v>
      </c>
      <c r="P310" s="751">
        <v>42522</v>
      </c>
      <c r="Q310" s="751">
        <v>42552</v>
      </c>
      <c r="R310" s="751">
        <v>42583</v>
      </c>
      <c r="S310" s="751">
        <v>42614</v>
      </c>
      <c r="T310" s="752">
        <v>42644</v>
      </c>
      <c r="U310" s="751">
        <v>42675</v>
      </c>
      <c r="V310" s="752">
        <v>42705</v>
      </c>
      <c r="W310" s="751">
        <v>42736</v>
      </c>
      <c r="X310" s="751">
        <v>42767</v>
      </c>
      <c r="Y310" s="751">
        <v>42795</v>
      </c>
      <c r="Z310" s="751">
        <v>42826</v>
      </c>
      <c r="AA310" s="751">
        <v>42856</v>
      </c>
      <c r="AB310" s="751">
        <v>42887</v>
      </c>
      <c r="AC310" s="751">
        <v>42917</v>
      </c>
      <c r="AD310" s="751">
        <v>42948</v>
      </c>
      <c r="AE310" s="751">
        <v>42979</v>
      </c>
      <c r="AF310" s="751">
        <v>43009</v>
      </c>
      <c r="AG310" s="751"/>
      <c r="AH310" s="751"/>
      <c r="AI310" s="751"/>
      <c r="AJ310" s="751"/>
      <c r="AK310" s="751"/>
      <c r="AL310" s="751"/>
      <c r="AM310" s="751"/>
      <c r="AN310" s="751"/>
      <c r="AO310" s="751"/>
      <c r="AP310" s="751"/>
      <c r="AQ310" s="751"/>
      <c r="AR310" s="751"/>
      <c r="AS310" s="751"/>
      <c r="AT310" s="751"/>
      <c r="AU310" s="751"/>
      <c r="AV310" s="751"/>
      <c r="AW310" s="751"/>
    </row>
    <row r="311" spans="1:49" x14ac:dyDescent="0.2">
      <c r="A311" s="766" t="s">
        <v>414</v>
      </c>
      <c r="B311" s="397">
        <f>B17</f>
        <v>0.66972477064220182</v>
      </c>
      <c r="C311" s="397">
        <f>C17</f>
        <v>0.58730158730158732</v>
      </c>
      <c r="D311" s="397">
        <f>D17</f>
        <v>0.57731958762886593</v>
      </c>
      <c r="E311" s="397">
        <f>E17</f>
        <v>0.51546391752577314</v>
      </c>
      <c r="F311" s="397">
        <f>F17</f>
        <v>0.64705882352941169</v>
      </c>
      <c r="G311" s="397">
        <f>G17</f>
        <v>0.66346153846153844</v>
      </c>
      <c r="H311" s="397">
        <f>H17</f>
        <v>0.7899159663865547</v>
      </c>
      <c r="I311" s="397">
        <f>I17</f>
        <v>0.65116279069767447</v>
      </c>
      <c r="J311" s="397">
        <f>J17</f>
        <v>0.65048543689320393</v>
      </c>
      <c r="K311" s="397">
        <f>K17</f>
        <v>0.71311475409836067</v>
      </c>
      <c r="L311" s="397">
        <f>L17</f>
        <v>0.66101694915254239</v>
      </c>
      <c r="M311" s="397">
        <f>M17</f>
        <v>0.6767676767676768</v>
      </c>
      <c r="N311" s="397">
        <f>N17</f>
        <v>0.57099999999999995</v>
      </c>
      <c r="O311" s="397">
        <f>O17</f>
        <v>0.54400000000000004</v>
      </c>
      <c r="P311" s="397">
        <f>P17</f>
        <v>0.72</v>
      </c>
      <c r="Q311" s="397">
        <f>Q17</f>
        <v>0.69299999999999995</v>
      </c>
      <c r="R311" s="397">
        <f>R17</f>
        <v>0.72727272727272729</v>
      </c>
      <c r="S311" s="397">
        <f>S17</f>
        <v>0.6717557251908397</v>
      </c>
      <c r="T311" s="397">
        <f>T17</f>
        <v>0.6428571428571429</v>
      </c>
      <c r="U311" s="397">
        <f>U17</f>
        <v>0.7289719626168224</v>
      </c>
      <c r="V311" s="397">
        <f>V17</f>
        <v>0.60992907801418439</v>
      </c>
      <c r="W311" s="397">
        <f>W17</f>
        <v>0.70338983050847459</v>
      </c>
      <c r="X311" s="397">
        <f>X17</f>
        <v>0.72549019607843135</v>
      </c>
      <c r="Y311" s="397">
        <f>Y17</f>
        <v>0.77941176470588236</v>
      </c>
      <c r="Z311" s="397">
        <f>Z17</f>
        <v>0.63779527559055116</v>
      </c>
      <c r="AA311" s="397">
        <f>AA17</f>
        <v>0.73571428571428588</v>
      </c>
      <c r="AB311" s="397">
        <f>AB17</f>
        <v>0.73722627737226276</v>
      </c>
      <c r="AC311" s="397">
        <f>AC17</f>
        <v>0.69918699186991873</v>
      </c>
      <c r="AD311" s="397">
        <f>AD17</f>
        <v>0.79166666666666652</v>
      </c>
      <c r="AE311" s="397">
        <f>AE17</f>
        <v>0.69902912621359226</v>
      </c>
      <c r="AF311" s="397">
        <f>AF17</f>
        <v>0.70731707317073178</v>
      </c>
      <c r="AG311" s="397"/>
      <c r="AH311" s="397"/>
      <c r="AI311" s="397"/>
      <c r="AJ311" s="397"/>
      <c r="AK311" s="397"/>
      <c r="AL311" s="397"/>
      <c r="AM311" s="397"/>
      <c r="AN311" s="397"/>
      <c r="AO311" s="397"/>
      <c r="AP311" s="397"/>
      <c r="AQ311" s="397"/>
      <c r="AR311" s="397"/>
      <c r="AS311" s="397"/>
      <c r="AT311" s="397"/>
      <c r="AU311" s="397"/>
      <c r="AV311" s="397"/>
      <c r="AW311" s="397"/>
    </row>
    <row r="312" spans="1:49" x14ac:dyDescent="0.2">
      <c r="A312" s="738"/>
      <c r="B312" s="738"/>
      <c r="C312" s="738"/>
      <c r="D312" s="738"/>
      <c r="E312" s="738"/>
      <c r="F312" s="738"/>
      <c r="G312" s="738"/>
      <c r="H312" s="738"/>
      <c r="I312" s="738"/>
      <c r="J312" s="738"/>
      <c r="K312" s="738"/>
      <c r="L312" s="738"/>
      <c r="M312" s="738"/>
      <c r="N312" s="738"/>
      <c r="O312" s="738"/>
      <c r="P312" s="738"/>
      <c r="Q312" s="738"/>
      <c r="R312" s="738"/>
      <c r="S312" s="738"/>
      <c r="T312" s="738"/>
      <c r="U312" s="738"/>
      <c r="V312" s="738"/>
      <c r="W312" s="738"/>
      <c r="X312" s="738"/>
      <c r="Y312" s="738"/>
      <c r="Z312" s="738"/>
      <c r="AA312" s="738"/>
      <c r="AB312" s="738"/>
      <c r="AC312" s="738"/>
      <c r="AD312" s="738"/>
      <c r="AE312" s="738"/>
      <c r="AF312" s="738"/>
      <c r="AG312" s="738"/>
      <c r="AH312" s="738"/>
      <c r="AI312" s="738"/>
      <c r="AJ312" s="738"/>
      <c r="AK312" s="738"/>
      <c r="AL312" s="738"/>
      <c r="AM312" s="738"/>
      <c r="AN312" s="738"/>
      <c r="AO312" s="738"/>
      <c r="AP312" s="738"/>
      <c r="AQ312" s="738"/>
      <c r="AR312" s="738"/>
      <c r="AS312" s="738"/>
      <c r="AT312" s="738"/>
      <c r="AU312" s="738"/>
      <c r="AV312" s="738"/>
      <c r="AW312" s="738"/>
    </row>
    <row r="313" spans="1:49" s="454" customFormat="1" x14ac:dyDescent="0.2">
      <c r="A313" s="765" t="s">
        <v>466</v>
      </c>
      <c r="B313" s="169"/>
      <c r="C313" s="169">
        <f>(C311-B311)*-1</f>
        <v>8.2423183340614492E-2</v>
      </c>
      <c r="D313" s="169">
        <f>(D311-C311)*-1</f>
        <v>9.9819996727213978E-3</v>
      </c>
      <c r="E313" s="169">
        <f>(E311-D311)*-1</f>
        <v>6.1855670103092786E-2</v>
      </c>
      <c r="F313" s="169">
        <f t="shared" ref="F313:R313" si="2">F311-E311</f>
        <v>0.13159490600363855</v>
      </c>
      <c r="G313" s="169">
        <f t="shared" si="2"/>
        <v>1.640271493212675E-2</v>
      </c>
      <c r="H313" s="169">
        <f t="shared" si="2"/>
        <v>0.12645442792501627</v>
      </c>
      <c r="I313" s="169">
        <f>(I311-H311)*-1</f>
        <v>0.13875317568888024</v>
      </c>
      <c r="J313" s="169">
        <f>(J311-I311)*-1</f>
        <v>6.7735380447053739E-4</v>
      </c>
      <c r="K313" s="169">
        <f t="shared" si="2"/>
        <v>6.2629317205156743E-2</v>
      </c>
      <c r="L313" s="169">
        <f>(L311-K311)*-1</f>
        <v>5.2097804945818282E-2</v>
      </c>
      <c r="M313" s="169">
        <f t="shared" si="2"/>
        <v>1.5750727615134408E-2</v>
      </c>
      <c r="N313" s="169">
        <f>(N311-M311)*-1</f>
        <v>0.10576767676767684</v>
      </c>
      <c r="O313" s="169">
        <f>(O311-N311)*-1</f>
        <v>2.6999999999999913E-2</v>
      </c>
      <c r="P313" s="169">
        <f t="shared" si="2"/>
        <v>0.17599999999999993</v>
      </c>
      <c r="Q313" s="169">
        <f>(Q311-P311)*-1</f>
        <v>2.7000000000000024E-2</v>
      </c>
      <c r="R313" s="169">
        <f t="shared" si="2"/>
        <v>3.4272727272727344E-2</v>
      </c>
      <c r="S313" s="169">
        <f>(S311-R311)*-1</f>
        <v>5.551700208188759E-2</v>
      </c>
      <c r="T313" s="169">
        <f>(T311-S311)*-1</f>
        <v>2.8898582333696798E-2</v>
      </c>
      <c r="U313" s="169">
        <f>U311-T311</f>
        <v>8.6114819759679495E-2</v>
      </c>
      <c r="V313" s="169">
        <f>(V311-U311)*-1</f>
        <v>0.11904288460263801</v>
      </c>
      <c r="W313" s="169">
        <f>W311-V311</f>
        <v>9.34607524942902E-2</v>
      </c>
      <c r="X313" s="169">
        <f>(X311-W311)</f>
        <v>2.2100365569956759E-2</v>
      </c>
      <c r="Y313" s="169">
        <f>Y311-X311</f>
        <v>5.3921568627451011E-2</v>
      </c>
      <c r="Z313" s="169">
        <f>(Z311-Y311)*-1</f>
        <v>0.1416164891153312</v>
      </c>
      <c r="AA313" s="169">
        <f>(AA311-Z311)</f>
        <v>9.7919010123734718E-2</v>
      </c>
      <c r="AB313" s="169">
        <f>(AB311-AA311)</f>
        <v>1.5119916579768855E-3</v>
      </c>
      <c r="AC313" s="169">
        <f>(AC311-AB311)*-1</f>
        <v>3.8039285502344033E-2</v>
      </c>
      <c r="AD313" s="169">
        <f>(AD311-AC311)</f>
        <v>9.2479674796747791E-2</v>
      </c>
      <c r="AE313" s="169">
        <f>(AE311-AD311)*-1</f>
        <v>9.2637540453074263E-2</v>
      </c>
      <c r="AF313" s="169">
        <f>(AF311-AE311)</f>
        <v>8.2879469571395248E-3</v>
      </c>
      <c r="AG313" s="753"/>
      <c r="AH313" s="753"/>
      <c r="AI313" s="753"/>
      <c r="AJ313" s="753"/>
      <c r="AK313" s="753"/>
      <c r="AL313" s="753"/>
      <c r="AM313" s="753"/>
      <c r="AN313" s="753"/>
      <c r="AO313" s="753"/>
      <c r="AP313" s="753"/>
      <c r="AQ313" s="753"/>
      <c r="AR313" s="753"/>
      <c r="AS313" s="753"/>
      <c r="AT313" s="753"/>
      <c r="AU313" s="753"/>
      <c r="AV313" s="753"/>
      <c r="AW313" s="753"/>
    </row>
    <row r="314" spans="1:49" s="454" customFormat="1" ht="21.75" x14ac:dyDescent="0.2">
      <c r="A314" s="768" t="s">
        <v>469</v>
      </c>
      <c r="B314" s="169"/>
      <c r="C314" s="169"/>
      <c r="D314" s="169"/>
      <c r="E314" s="169"/>
      <c r="F314" s="169"/>
      <c r="G314" s="169"/>
      <c r="H314" s="169"/>
      <c r="I314" s="169"/>
      <c r="J314" s="169"/>
      <c r="K314" s="169"/>
      <c r="L314" s="169"/>
      <c r="M314" s="169"/>
      <c r="N314" s="753"/>
      <c r="O314" s="753"/>
      <c r="P314" s="753"/>
      <c r="Q314" s="753"/>
      <c r="R314" s="753"/>
      <c r="S314" s="753"/>
      <c r="T314" s="753"/>
      <c r="U314" s="753"/>
      <c r="V314" s="753"/>
      <c r="W314" s="753"/>
      <c r="X314" s="753"/>
      <c r="Y314" s="753"/>
      <c r="Z314" s="753"/>
      <c r="AA314" s="753"/>
      <c r="AB314" s="753"/>
      <c r="AC314" s="753"/>
      <c r="AD314" s="753"/>
      <c r="AE314" s="753"/>
      <c r="AF314" s="753"/>
      <c r="AG314" s="753"/>
      <c r="AH314" s="753"/>
      <c r="AI314" s="753"/>
      <c r="AJ314" s="753"/>
      <c r="AK314" s="753"/>
      <c r="AL314" s="753"/>
      <c r="AM314" s="753"/>
      <c r="AN314" s="753"/>
      <c r="AO314" s="753"/>
      <c r="AP314" s="753"/>
      <c r="AQ314" s="753"/>
      <c r="AR314" s="753"/>
      <c r="AS314" s="753"/>
      <c r="AT314" s="753"/>
      <c r="AU314" s="753"/>
      <c r="AV314" s="753"/>
      <c r="AW314" s="753"/>
    </row>
    <row r="315" spans="1:49" s="454" customFormat="1" x14ac:dyDescent="0.2">
      <c r="A315" s="780" t="s">
        <v>468</v>
      </c>
      <c r="B315" s="169">
        <f t="shared" ref="B315:AW315" si="3">AVERAGE($B$311:$AW$311)</f>
        <v>0.67509057815896467</v>
      </c>
      <c r="C315" s="169">
        <f t="shared" si="3"/>
        <v>0.67509057815896467</v>
      </c>
      <c r="D315" s="169">
        <f t="shared" si="3"/>
        <v>0.67509057815896467</v>
      </c>
      <c r="E315" s="169">
        <f t="shared" si="3"/>
        <v>0.67509057815896467</v>
      </c>
      <c r="F315" s="169">
        <f t="shared" si="3"/>
        <v>0.67509057815896467</v>
      </c>
      <c r="G315" s="169">
        <f t="shared" si="3"/>
        <v>0.67509057815896467</v>
      </c>
      <c r="H315" s="169">
        <f t="shared" si="3"/>
        <v>0.67509057815896467</v>
      </c>
      <c r="I315" s="169">
        <f t="shared" si="3"/>
        <v>0.67509057815896467</v>
      </c>
      <c r="J315" s="169">
        <f t="shared" si="3"/>
        <v>0.67509057815896467</v>
      </c>
      <c r="K315" s="169">
        <f t="shared" si="3"/>
        <v>0.67509057815896467</v>
      </c>
      <c r="L315" s="169">
        <f t="shared" si="3"/>
        <v>0.67509057815896467</v>
      </c>
      <c r="M315" s="169">
        <f t="shared" si="3"/>
        <v>0.67509057815896467</v>
      </c>
      <c r="N315" s="169">
        <f t="shared" si="3"/>
        <v>0.67509057815896467</v>
      </c>
      <c r="O315" s="169">
        <f t="shared" si="3"/>
        <v>0.67509057815896467</v>
      </c>
      <c r="P315" s="169">
        <f t="shared" si="3"/>
        <v>0.67509057815896467</v>
      </c>
      <c r="Q315" s="169">
        <f t="shared" si="3"/>
        <v>0.67509057815896467</v>
      </c>
      <c r="R315" s="169">
        <f t="shared" si="3"/>
        <v>0.67509057815896467</v>
      </c>
      <c r="S315" s="169">
        <f t="shared" si="3"/>
        <v>0.67509057815896467</v>
      </c>
      <c r="T315" s="169">
        <f t="shared" si="3"/>
        <v>0.67509057815896467</v>
      </c>
      <c r="U315" s="169">
        <f t="shared" si="3"/>
        <v>0.67509057815896467</v>
      </c>
      <c r="V315" s="169">
        <f t="shared" si="3"/>
        <v>0.67509057815896467</v>
      </c>
      <c r="W315" s="169">
        <f t="shared" si="3"/>
        <v>0.67509057815896467</v>
      </c>
      <c r="X315" s="169">
        <f t="shared" si="3"/>
        <v>0.67509057815896467</v>
      </c>
      <c r="Y315" s="169">
        <f t="shared" si="3"/>
        <v>0.67509057815896467</v>
      </c>
      <c r="Z315" s="169">
        <f t="shared" si="3"/>
        <v>0.67509057815896467</v>
      </c>
      <c r="AA315" s="169">
        <f t="shared" si="3"/>
        <v>0.67509057815896467</v>
      </c>
      <c r="AB315" s="169">
        <f t="shared" si="3"/>
        <v>0.67509057815896467</v>
      </c>
      <c r="AC315" s="169">
        <f t="shared" si="3"/>
        <v>0.67509057815896467</v>
      </c>
      <c r="AD315" s="169">
        <f t="shared" si="3"/>
        <v>0.67509057815896467</v>
      </c>
      <c r="AE315" s="169">
        <f>AVERAGE($B$311:$AW$311)</f>
        <v>0.67509057815896467</v>
      </c>
      <c r="AF315" s="169">
        <f t="shared" si="3"/>
        <v>0.67509057815896467</v>
      </c>
      <c r="AG315" s="169">
        <f t="shared" si="3"/>
        <v>0.67509057815896467</v>
      </c>
      <c r="AH315" s="169">
        <f t="shared" si="3"/>
        <v>0.67509057815896467</v>
      </c>
      <c r="AI315" s="169">
        <f t="shared" si="3"/>
        <v>0.67509057815896467</v>
      </c>
      <c r="AJ315" s="169">
        <f t="shared" si="3"/>
        <v>0.67509057815896467</v>
      </c>
      <c r="AK315" s="169">
        <f t="shared" si="3"/>
        <v>0.67509057815896467</v>
      </c>
      <c r="AL315" s="169">
        <f t="shared" si="3"/>
        <v>0.67509057815896467</v>
      </c>
      <c r="AM315" s="169">
        <f t="shared" si="3"/>
        <v>0.67509057815896467</v>
      </c>
      <c r="AN315" s="169">
        <f t="shared" si="3"/>
        <v>0.67509057815896467</v>
      </c>
      <c r="AO315" s="169">
        <f t="shared" si="3"/>
        <v>0.67509057815896467</v>
      </c>
      <c r="AP315" s="169">
        <f t="shared" si="3"/>
        <v>0.67509057815896467</v>
      </c>
      <c r="AQ315" s="169">
        <f t="shared" si="3"/>
        <v>0.67509057815896467</v>
      </c>
      <c r="AR315" s="169">
        <f t="shared" si="3"/>
        <v>0.67509057815896467</v>
      </c>
      <c r="AS315" s="169">
        <f t="shared" si="3"/>
        <v>0.67509057815896467</v>
      </c>
      <c r="AT315" s="169">
        <f t="shared" si="3"/>
        <v>0.67509057815896467</v>
      </c>
      <c r="AU315" s="169">
        <f t="shared" si="3"/>
        <v>0.67509057815896467</v>
      </c>
      <c r="AV315" s="169">
        <f t="shared" si="3"/>
        <v>0.67509057815896467</v>
      </c>
      <c r="AW315" s="169">
        <f t="shared" si="3"/>
        <v>0.67509057815896467</v>
      </c>
    </row>
    <row r="316" spans="1:49" s="454" customFormat="1" x14ac:dyDescent="0.2">
      <c r="A316" s="765" t="s">
        <v>467</v>
      </c>
      <c r="B316" s="169"/>
      <c r="C316" s="169">
        <f t="shared" ref="C316:AW316" si="4">SUM($C$313:$AW$313)/22</f>
        <v>9.0918618152410147E-2</v>
      </c>
      <c r="D316" s="169">
        <f t="shared" si="4"/>
        <v>9.0918618152410147E-2</v>
      </c>
      <c r="E316" s="169">
        <f t="shared" si="4"/>
        <v>9.0918618152410147E-2</v>
      </c>
      <c r="F316" s="169">
        <f t="shared" si="4"/>
        <v>9.0918618152410147E-2</v>
      </c>
      <c r="G316" s="169">
        <f t="shared" si="4"/>
        <v>9.0918618152410147E-2</v>
      </c>
      <c r="H316" s="169">
        <f t="shared" si="4"/>
        <v>9.0918618152410147E-2</v>
      </c>
      <c r="I316" s="169">
        <f t="shared" si="4"/>
        <v>9.0918618152410147E-2</v>
      </c>
      <c r="J316" s="169">
        <f t="shared" si="4"/>
        <v>9.0918618152410147E-2</v>
      </c>
      <c r="K316" s="169">
        <f t="shared" si="4"/>
        <v>9.0918618152410147E-2</v>
      </c>
      <c r="L316" s="169">
        <f t="shared" si="4"/>
        <v>9.0918618152410147E-2</v>
      </c>
      <c r="M316" s="169">
        <f t="shared" si="4"/>
        <v>9.0918618152410147E-2</v>
      </c>
      <c r="N316" s="169">
        <f t="shared" si="4"/>
        <v>9.0918618152410147E-2</v>
      </c>
      <c r="O316" s="169">
        <f t="shared" si="4"/>
        <v>9.0918618152410147E-2</v>
      </c>
      <c r="P316" s="169">
        <f t="shared" si="4"/>
        <v>9.0918618152410147E-2</v>
      </c>
      <c r="Q316" s="169">
        <f t="shared" si="4"/>
        <v>9.0918618152410147E-2</v>
      </c>
      <c r="R316" s="169">
        <f t="shared" si="4"/>
        <v>9.0918618152410147E-2</v>
      </c>
      <c r="S316" s="169">
        <f t="shared" si="4"/>
        <v>9.0918618152410147E-2</v>
      </c>
      <c r="T316" s="169">
        <f t="shared" si="4"/>
        <v>9.0918618152410147E-2</v>
      </c>
      <c r="U316" s="169">
        <f t="shared" si="4"/>
        <v>9.0918618152410147E-2</v>
      </c>
      <c r="V316" s="169">
        <f t="shared" si="4"/>
        <v>9.0918618152410147E-2</v>
      </c>
      <c r="W316" s="169">
        <f t="shared" si="4"/>
        <v>9.0918618152410147E-2</v>
      </c>
      <c r="X316" s="169">
        <f t="shared" si="4"/>
        <v>9.0918618152410147E-2</v>
      </c>
      <c r="Y316" s="169">
        <f t="shared" si="4"/>
        <v>9.0918618152410147E-2</v>
      </c>
      <c r="Z316" s="169">
        <f t="shared" si="4"/>
        <v>9.0918618152410147E-2</v>
      </c>
      <c r="AA316" s="169">
        <f t="shared" si="4"/>
        <v>9.0918618152410147E-2</v>
      </c>
      <c r="AB316" s="169">
        <f t="shared" si="4"/>
        <v>9.0918618152410147E-2</v>
      </c>
      <c r="AC316" s="169">
        <f t="shared" si="4"/>
        <v>9.0918618152410147E-2</v>
      </c>
      <c r="AD316" s="169">
        <f t="shared" si="4"/>
        <v>9.0918618152410147E-2</v>
      </c>
      <c r="AE316" s="169">
        <f t="shared" si="4"/>
        <v>9.0918618152410147E-2</v>
      </c>
      <c r="AF316" s="169">
        <f t="shared" si="4"/>
        <v>9.0918618152410147E-2</v>
      </c>
      <c r="AG316" s="169">
        <f t="shared" si="4"/>
        <v>9.0918618152410147E-2</v>
      </c>
      <c r="AH316" s="169">
        <f t="shared" si="4"/>
        <v>9.0918618152410147E-2</v>
      </c>
      <c r="AI316" s="169">
        <f t="shared" si="4"/>
        <v>9.0918618152410147E-2</v>
      </c>
      <c r="AJ316" s="169">
        <f t="shared" si="4"/>
        <v>9.0918618152410147E-2</v>
      </c>
      <c r="AK316" s="169">
        <f t="shared" si="4"/>
        <v>9.0918618152410147E-2</v>
      </c>
      <c r="AL316" s="169">
        <f t="shared" si="4"/>
        <v>9.0918618152410147E-2</v>
      </c>
      <c r="AM316" s="169">
        <f t="shared" si="4"/>
        <v>9.0918618152410147E-2</v>
      </c>
      <c r="AN316" s="169">
        <f t="shared" si="4"/>
        <v>9.0918618152410147E-2</v>
      </c>
      <c r="AO316" s="169">
        <f t="shared" si="4"/>
        <v>9.0918618152410147E-2</v>
      </c>
      <c r="AP316" s="169">
        <f t="shared" si="4"/>
        <v>9.0918618152410147E-2</v>
      </c>
      <c r="AQ316" s="169">
        <f t="shared" si="4"/>
        <v>9.0918618152410147E-2</v>
      </c>
      <c r="AR316" s="169">
        <f t="shared" si="4"/>
        <v>9.0918618152410147E-2</v>
      </c>
      <c r="AS316" s="169">
        <f t="shared" si="4"/>
        <v>9.0918618152410147E-2</v>
      </c>
      <c r="AT316" s="169">
        <f t="shared" si="4"/>
        <v>9.0918618152410147E-2</v>
      </c>
      <c r="AU316" s="169">
        <f t="shared" si="4"/>
        <v>9.0918618152410147E-2</v>
      </c>
      <c r="AV316" s="169">
        <f t="shared" si="4"/>
        <v>9.0918618152410147E-2</v>
      </c>
      <c r="AW316" s="169">
        <f t="shared" si="4"/>
        <v>9.0918618152410147E-2</v>
      </c>
    </row>
    <row r="317" spans="1:49" s="454" customFormat="1" ht="25.5" x14ac:dyDescent="0.2">
      <c r="A317" s="765" t="s">
        <v>470</v>
      </c>
      <c r="B317" s="169"/>
      <c r="C317" s="169">
        <f t="shared" ref="C317:AW317" si="5">SUM($C$316)/1.128</f>
        <v>8.0601611837243042E-2</v>
      </c>
      <c r="D317" s="169">
        <f t="shared" si="5"/>
        <v>8.0601611837243042E-2</v>
      </c>
      <c r="E317" s="169">
        <f t="shared" si="5"/>
        <v>8.0601611837243042E-2</v>
      </c>
      <c r="F317" s="169">
        <f t="shared" si="5"/>
        <v>8.0601611837243042E-2</v>
      </c>
      <c r="G317" s="169">
        <f t="shared" si="5"/>
        <v>8.0601611837243042E-2</v>
      </c>
      <c r="H317" s="169">
        <f t="shared" si="5"/>
        <v>8.0601611837243042E-2</v>
      </c>
      <c r="I317" s="169">
        <f t="shared" si="5"/>
        <v>8.0601611837243042E-2</v>
      </c>
      <c r="J317" s="169">
        <f t="shared" si="5"/>
        <v>8.0601611837243042E-2</v>
      </c>
      <c r="K317" s="169">
        <f t="shared" si="5"/>
        <v>8.0601611837243042E-2</v>
      </c>
      <c r="L317" s="169">
        <f t="shared" si="5"/>
        <v>8.0601611837243042E-2</v>
      </c>
      <c r="M317" s="169">
        <f t="shared" si="5"/>
        <v>8.0601611837243042E-2</v>
      </c>
      <c r="N317" s="169">
        <f t="shared" si="5"/>
        <v>8.0601611837243042E-2</v>
      </c>
      <c r="O317" s="169">
        <f t="shared" si="5"/>
        <v>8.0601611837243042E-2</v>
      </c>
      <c r="P317" s="169">
        <f t="shared" si="5"/>
        <v>8.0601611837243042E-2</v>
      </c>
      <c r="Q317" s="169">
        <f t="shared" si="5"/>
        <v>8.0601611837243042E-2</v>
      </c>
      <c r="R317" s="169">
        <f t="shared" si="5"/>
        <v>8.0601611837243042E-2</v>
      </c>
      <c r="S317" s="169">
        <f t="shared" si="5"/>
        <v>8.0601611837243042E-2</v>
      </c>
      <c r="T317" s="169">
        <f t="shared" si="5"/>
        <v>8.0601611837243042E-2</v>
      </c>
      <c r="U317" s="169">
        <f t="shared" si="5"/>
        <v>8.0601611837243042E-2</v>
      </c>
      <c r="V317" s="169">
        <f t="shared" si="5"/>
        <v>8.0601611837243042E-2</v>
      </c>
      <c r="W317" s="169">
        <f t="shared" si="5"/>
        <v>8.0601611837243042E-2</v>
      </c>
      <c r="X317" s="169">
        <f t="shared" si="5"/>
        <v>8.0601611837243042E-2</v>
      </c>
      <c r="Y317" s="169">
        <f t="shared" si="5"/>
        <v>8.0601611837243042E-2</v>
      </c>
      <c r="Z317" s="169">
        <f t="shared" si="5"/>
        <v>8.0601611837243042E-2</v>
      </c>
      <c r="AA317" s="169">
        <f t="shared" si="5"/>
        <v>8.0601611837243042E-2</v>
      </c>
      <c r="AB317" s="169">
        <f t="shared" si="5"/>
        <v>8.0601611837243042E-2</v>
      </c>
      <c r="AC317" s="169">
        <f t="shared" si="5"/>
        <v>8.0601611837243042E-2</v>
      </c>
      <c r="AD317" s="169">
        <f t="shared" si="5"/>
        <v>8.0601611837243042E-2</v>
      </c>
      <c r="AE317" s="169">
        <f t="shared" si="5"/>
        <v>8.0601611837243042E-2</v>
      </c>
      <c r="AF317" s="169">
        <f t="shared" si="5"/>
        <v>8.0601611837243042E-2</v>
      </c>
      <c r="AG317" s="169">
        <f t="shared" si="5"/>
        <v>8.0601611837243042E-2</v>
      </c>
      <c r="AH317" s="169">
        <f t="shared" si="5"/>
        <v>8.0601611837243042E-2</v>
      </c>
      <c r="AI317" s="169">
        <f t="shared" si="5"/>
        <v>8.0601611837243042E-2</v>
      </c>
      <c r="AJ317" s="169">
        <f t="shared" si="5"/>
        <v>8.0601611837243042E-2</v>
      </c>
      <c r="AK317" s="169">
        <f t="shared" si="5"/>
        <v>8.0601611837243042E-2</v>
      </c>
      <c r="AL317" s="169">
        <f t="shared" si="5"/>
        <v>8.0601611837243042E-2</v>
      </c>
      <c r="AM317" s="169">
        <f t="shared" si="5"/>
        <v>8.0601611837243042E-2</v>
      </c>
      <c r="AN317" s="169">
        <f t="shared" si="5"/>
        <v>8.0601611837243042E-2</v>
      </c>
      <c r="AO317" s="169">
        <f t="shared" si="5"/>
        <v>8.0601611837243042E-2</v>
      </c>
      <c r="AP317" s="169">
        <f t="shared" si="5"/>
        <v>8.0601611837243042E-2</v>
      </c>
      <c r="AQ317" s="169">
        <f t="shared" si="5"/>
        <v>8.0601611837243042E-2</v>
      </c>
      <c r="AR317" s="169">
        <f t="shared" si="5"/>
        <v>8.0601611837243042E-2</v>
      </c>
      <c r="AS317" s="169">
        <f t="shared" si="5"/>
        <v>8.0601611837243042E-2</v>
      </c>
      <c r="AT317" s="169">
        <f t="shared" si="5"/>
        <v>8.0601611837243042E-2</v>
      </c>
      <c r="AU317" s="169">
        <f t="shared" si="5"/>
        <v>8.0601611837243042E-2</v>
      </c>
      <c r="AV317" s="169">
        <f t="shared" si="5"/>
        <v>8.0601611837243042E-2</v>
      </c>
      <c r="AW317" s="169">
        <f t="shared" si="5"/>
        <v>8.0601611837243042E-2</v>
      </c>
    </row>
    <row r="318" spans="1:49" s="454" customFormat="1" x14ac:dyDescent="0.2">
      <c r="A318" s="765" t="s">
        <v>473</v>
      </c>
      <c r="B318" s="169">
        <f t="shared" ref="B318:AW318" si="6">$C$315+ (3*$C$317)</f>
        <v>0.91689541367069383</v>
      </c>
      <c r="C318" s="169">
        <f t="shared" si="6"/>
        <v>0.91689541367069383</v>
      </c>
      <c r="D318" s="169">
        <f t="shared" si="6"/>
        <v>0.91689541367069383</v>
      </c>
      <c r="E318" s="169">
        <f t="shared" si="6"/>
        <v>0.91689541367069383</v>
      </c>
      <c r="F318" s="169">
        <f t="shared" si="6"/>
        <v>0.91689541367069383</v>
      </c>
      <c r="G318" s="169">
        <f t="shared" si="6"/>
        <v>0.91689541367069383</v>
      </c>
      <c r="H318" s="169">
        <f t="shared" si="6"/>
        <v>0.91689541367069383</v>
      </c>
      <c r="I318" s="169">
        <f t="shared" si="6"/>
        <v>0.91689541367069383</v>
      </c>
      <c r="J318" s="169">
        <f t="shared" si="6"/>
        <v>0.91689541367069383</v>
      </c>
      <c r="K318" s="169">
        <f t="shared" si="6"/>
        <v>0.91689541367069383</v>
      </c>
      <c r="L318" s="169">
        <f t="shared" si="6"/>
        <v>0.91689541367069383</v>
      </c>
      <c r="M318" s="169">
        <f t="shared" si="6"/>
        <v>0.91689541367069383</v>
      </c>
      <c r="N318" s="169">
        <f t="shared" si="6"/>
        <v>0.91689541367069383</v>
      </c>
      <c r="O318" s="169">
        <f t="shared" si="6"/>
        <v>0.91689541367069383</v>
      </c>
      <c r="P318" s="169">
        <f t="shared" si="6"/>
        <v>0.91689541367069383</v>
      </c>
      <c r="Q318" s="169">
        <f t="shared" si="6"/>
        <v>0.91689541367069383</v>
      </c>
      <c r="R318" s="169">
        <f t="shared" si="6"/>
        <v>0.91689541367069383</v>
      </c>
      <c r="S318" s="169">
        <f t="shared" si="6"/>
        <v>0.91689541367069383</v>
      </c>
      <c r="T318" s="169">
        <f t="shared" si="6"/>
        <v>0.91689541367069383</v>
      </c>
      <c r="U318" s="169">
        <f t="shared" si="6"/>
        <v>0.91689541367069383</v>
      </c>
      <c r="V318" s="169">
        <f t="shared" si="6"/>
        <v>0.91689541367069383</v>
      </c>
      <c r="W318" s="169">
        <f t="shared" si="6"/>
        <v>0.91689541367069383</v>
      </c>
      <c r="X318" s="169">
        <f t="shared" si="6"/>
        <v>0.91689541367069383</v>
      </c>
      <c r="Y318" s="169">
        <f t="shared" si="6"/>
        <v>0.91689541367069383</v>
      </c>
      <c r="Z318" s="169">
        <f t="shared" si="6"/>
        <v>0.91689541367069383</v>
      </c>
      <c r="AA318" s="169">
        <f t="shared" si="6"/>
        <v>0.91689541367069383</v>
      </c>
      <c r="AB318" s="169">
        <f t="shared" si="6"/>
        <v>0.91689541367069383</v>
      </c>
      <c r="AC318" s="169">
        <f t="shared" si="6"/>
        <v>0.91689541367069383</v>
      </c>
      <c r="AD318" s="169">
        <f t="shared" si="6"/>
        <v>0.91689541367069383</v>
      </c>
      <c r="AE318" s="169">
        <f t="shared" si="6"/>
        <v>0.91689541367069383</v>
      </c>
      <c r="AF318" s="169">
        <f t="shared" si="6"/>
        <v>0.91689541367069383</v>
      </c>
      <c r="AG318" s="169">
        <f t="shared" si="6"/>
        <v>0.91689541367069383</v>
      </c>
      <c r="AH318" s="169">
        <f t="shared" si="6"/>
        <v>0.91689541367069383</v>
      </c>
      <c r="AI318" s="169">
        <f t="shared" si="6"/>
        <v>0.91689541367069383</v>
      </c>
      <c r="AJ318" s="169">
        <f t="shared" si="6"/>
        <v>0.91689541367069383</v>
      </c>
      <c r="AK318" s="169">
        <f t="shared" si="6"/>
        <v>0.91689541367069383</v>
      </c>
      <c r="AL318" s="169">
        <f t="shared" si="6"/>
        <v>0.91689541367069383</v>
      </c>
      <c r="AM318" s="169">
        <f t="shared" si="6"/>
        <v>0.91689541367069383</v>
      </c>
      <c r="AN318" s="169">
        <f t="shared" si="6"/>
        <v>0.91689541367069383</v>
      </c>
      <c r="AO318" s="169">
        <f t="shared" si="6"/>
        <v>0.91689541367069383</v>
      </c>
      <c r="AP318" s="169">
        <f t="shared" si="6"/>
        <v>0.91689541367069383</v>
      </c>
      <c r="AQ318" s="169">
        <f t="shared" si="6"/>
        <v>0.91689541367069383</v>
      </c>
      <c r="AR318" s="169">
        <f t="shared" si="6"/>
        <v>0.91689541367069383</v>
      </c>
      <c r="AS318" s="169">
        <f t="shared" si="6"/>
        <v>0.91689541367069383</v>
      </c>
      <c r="AT318" s="169">
        <f t="shared" si="6"/>
        <v>0.91689541367069383</v>
      </c>
      <c r="AU318" s="169">
        <f t="shared" si="6"/>
        <v>0.91689541367069383</v>
      </c>
      <c r="AV318" s="169">
        <f t="shared" si="6"/>
        <v>0.91689541367069383</v>
      </c>
      <c r="AW318" s="169">
        <f t="shared" si="6"/>
        <v>0.91689541367069383</v>
      </c>
    </row>
    <row r="319" spans="1:49" s="454" customFormat="1" x14ac:dyDescent="0.2">
      <c r="A319" s="765" t="s">
        <v>474</v>
      </c>
      <c r="B319" s="169">
        <f t="shared" ref="B319:AW319" si="7">$C$315- (3*$C$317)</f>
        <v>0.43328574264723552</v>
      </c>
      <c r="C319" s="169">
        <f t="shared" si="7"/>
        <v>0.43328574264723552</v>
      </c>
      <c r="D319" s="169">
        <f t="shared" si="7"/>
        <v>0.43328574264723552</v>
      </c>
      <c r="E319" s="169">
        <f t="shared" si="7"/>
        <v>0.43328574264723552</v>
      </c>
      <c r="F319" s="169">
        <f t="shared" si="7"/>
        <v>0.43328574264723552</v>
      </c>
      <c r="G319" s="169">
        <f t="shared" si="7"/>
        <v>0.43328574264723552</v>
      </c>
      <c r="H319" s="169">
        <f t="shared" si="7"/>
        <v>0.43328574264723552</v>
      </c>
      <c r="I319" s="169">
        <f t="shared" si="7"/>
        <v>0.43328574264723552</v>
      </c>
      <c r="J319" s="169">
        <f t="shared" si="7"/>
        <v>0.43328574264723552</v>
      </c>
      <c r="K319" s="169">
        <f t="shared" si="7"/>
        <v>0.43328574264723552</v>
      </c>
      <c r="L319" s="169">
        <f t="shared" si="7"/>
        <v>0.43328574264723552</v>
      </c>
      <c r="M319" s="169">
        <f t="shared" si="7"/>
        <v>0.43328574264723552</v>
      </c>
      <c r="N319" s="169">
        <f t="shared" si="7"/>
        <v>0.43328574264723552</v>
      </c>
      <c r="O319" s="169">
        <f t="shared" si="7"/>
        <v>0.43328574264723552</v>
      </c>
      <c r="P319" s="169">
        <f t="shared" si="7"/>
        <v>0.43328574264723552</v>
      </c>
      <c r="Q319" s="169">
        <f t="shared" si="7"/>
        <v>0.43328574264723552</v>
      </c>
      <c r="R319" s="169">
        <f t="shared" si="7"/>
        <v>0.43328574264723552</v>
      </c>
      <c r="S319" s="169">
        <f t="shared" si="7"/>
        <v>0.43328574264723552</v>
      </c>
      <c r="T319" s="169">
        <f t="shared" si="7"/>
        <v>0.43328574264723552</v>
      </c>
      <c r="U319" s="169">
        <f t="shared" si="7"/>
        <v>0.43328574264723552</v>
      </c>
      <c r="V319" s="169">
        <f t="shared" si="7"/>
        <v>0.43328574264723552</v>
      </c>
      <c r="W319" s="169">
        <f t="shared" si="7"/>
        <v>0.43328574264723552</v>
      </c>
      <c r="X319" s="169">
        <f t="shared" si="7"/>
        <v>0.43328574264723552</v>
      </c>
      <c r="Y319" s="169">
        <f t="shared" si="7"/>
        <v>0.43328574264723552</v>
      </c>
      <c r="Z319" s="169">
        <f t="shared" si="7"/>
        <v>0.43328574264723552</v>
      </c>
      <c r="AA319" s="169">
        <f t="shared" si="7"/>
        <v>0.43328574264723552</v>
      </c>
      <c r="AB319" s="169">
        <f t="shared" si="7"/>
        <v>0.43328574264723552</v>
      </c>
      <c r="AC319" s="169">
        <f t="shared" si="7"/>
        <v>0.43328574264723552</v>
      </c>
      <c r="AD319" s="169">
        <f t="shared" si="7"/>
        <v>0.43328574264723552</v>
      </c>
      <c r="AE319" s="169">
        <f t="shared" si="7"/>
        <v>0.43328574264723552</v>
      </c>
      <c r="AF319" s="169">
        <f t="shared" si="7"/>
        <v>0.43328574264723552</v>
      </c>
      <c r="AG319" s="169">
        <f t="shared" si="7"/>
        <v>0.43328574264723552</v>
      </c>
      <c r="AH319" s="169">
        <f t="shared" si="7"/>
        <v>0.43328574264723552</v>
      </c>
      <c r="AI319" s="169">
        <f t="shared" si="7"/>
        <v>0.43328574264723552</v>
      </c>
      <c r="AJ319" s="169">
        <f t="shared" si="7"/>
        <v>0.43328574264723552</v>
      </c>
      <c r="AK319" s="169">
        <f t="shared" si="7"/>
        <v>0.43328574264723552</v>
      </c>
      <c r="AL319" s="169">
        <f t="shared" si="7"/>
        <v>0.43328574264723552</v>
      </c>
      <c r="AM319" s="169">
        <f t="shared" si="7"/>
        <v>0.43328574264723552</v>
      </c>
      <c r="AN319" s="169">
        <f t="shared" si="7"/>
        <v>0.43328574264723552</v>
      </c>
      <c r="AO319" s="169">
        <f t="shared" si="7"/>
        <v>0.43328574264723552</v>
      </c>
      <c r="AP319" s="169">
        <f t="shared" si="7"/>
        <v>0.43328574264723552</v>
      </c>
      <c r="AQ319" s="169">
        <f t="shared" si="7"/>
        <v>0.43328574264723552</v>
      </c>
      <c r="AR319" s="169">
        <f t="shared" si="7"/>
        <v>0.43328574264723552</v>
      </c>
      <c r="AS319" s="169">
        <f t="shared" si="7"/>
        <v>0.43328574264723552</v>
      </c>
      <c r="AT319" s="169">
        <f t="shared" si="7"/>
        <v>0.43328574264723552</v>
      </c>
      <c r="AU319" s="169">
        <f t="shared" si="7"/>
        <v>0.43328574264723552</v>
      </c>
      <c r="AV319" s="169">
        <f t="shared" si="7"/>
        <v>0.43328574264723552</v>
      </c>
      <c r="AW319" s="169">
        <f t="shared" si="7"/>
        <v>0.43328574264723552</v>
      </c>
    </row>
    <row r="320" spans="1:49" s="454" customFormat="1" ht="25.5" x14ac:dyDescent="0.2">
      <c r="A320" s="457" t="s">
        <v>478</v>
      </c>
      <c r="B320" s="754">
        <v>73</v>
      </c>
      <c r="C320" s="754">
        <v>74</v>
      </c>
      <c r="D320" s="754">
        <v>56</v>
      </c>
      <c r="E320" s="754">
        <v>50</v>
      </c>
      <c r="F320" s="754">
        <v>66</v>
      </c>
      <c r="G320" s="754">
        <v>69</v>
      </c>
      <c r="H320" s="754">
        <v>94</v>
      </c>
      <c r="I320" s="754">
        <v>84</v>
      </c>
      <c r="J320" s="754">
        <v>67</v>
      </c>
      <c r="K320" s="754">
        <v>87</v>
      </c>
      <c r="L320" s="754">
        <v>78</v>
      </c>
      <c r="M320" s="754">
        <v>67</v>
      </c>
      <c r="N320" s="754">
        <v>76</v>
      </c>
      <c r="O320" s="754">
        <v>68</v>
      </c>
      <c r="P320" s="754">
        <v>90</v>
      </c>
      <c r="Q320" s="754">
        <v>88</v>
      </c>
      <c r="R320" s="754">
        <v>88</v>
      </c>
      <c r="S320" s="754">
        <v>88</v>
      </c>
      <c r="T320" s="754">
        <v>81</v>
      </c>
      <c r="U320" s="754">
        <v>78</v>
      </c>
      <c r="V320" s="754">
        <v>86</v>
      </c>
      <c r="W320" s="754">
        <v>83</v>
      </c>
      <c r="X320" s="754">
        <v>74</v>
      </c>
      <c r="Y320" s="754">
        <v>106</v>
      </c>
      <c r="Z320" s="754">
        <v>81</v>
      </c>
      <c r="AA320" s="754">
        <v>103</v>
      </c>
      <c r="AB320" s="754">
        <v>101</v>
      </c>
      <c r="AC320" s="754">
        <v>86</v>
      </c>
      <c r="AD320" s="754">
        <v>95</v>
      </c>
      <c r="AE320" s="754">
        <v>72</v>
      </c>
      <c r="AF320" s="754">
        <v>87</v>
      </c>
      <c r="AG320" s="754"/>
      <c r="AH320" s="754"/>
      <c r="AI320" s="754"/>
      <c r="AJ320" s="754"/>
      <c r="AK320" s="754"/>
      <c r="AL320" s="754"/>
      <c r="AM320" s="754"/>
      <c r="AN320" s="754"/>
      <c r="AO320" s="754"/>
      <c r="AP320" s="754"/>
      <c r="AQ320" s="754"/>
      <c r="AR320" s="754"/>
      <c r="AS320" s="754"/>
      <c r="AT320" s="754"/>
      <c r="AU320" s="754"/>
      <c r="AV320" s="754"/>
      <c r="AW320" s="754"/>
    </row>
    <row r="321" spans="1:49" s="454" customFormat="1" x14ac:dyDescent="0.2">
      <c r="A321" s="457" t="s">
        <v>130</v>
      </c>
      <c r="B321" s="754" t="s">
        <v>230</v>
      </c>
      <c r="C321" s="754" t="s">
        <v>230</v>
      </c>
      <c r="D321" s="754" t="s">
        <v>230</v>
      </c>
      <c r="E321" s="754" t="s">
        <v>230</v>
      </c>
      <c r="F321" s="754" t="s">
        <v>230</v>
      </c>
      <c r="G321" s="754" t="s">
        <v>230</v>
      </c>
      <c r="H321" s="754" t="s">
        <v>230</v>
      </c>
      <c r="I321" s="754" t="s">
        <v>230</v>
      </c>
      <c r="J321" s="754" t="s">
        <v>230</v>
      </c>
      <c r="K321" s="754" t="s">
        <v>230</v>
      </c>
      <c r="L321" s="754" t="s">
        <v>230</v>
      </c>
      <c r="M321" s="754" t="s">
        <v>230</v>
      </c>
      <c r="N321" s="754">
        <f t="shared" ref="N321:AW321" si="8">MEDIAN($N$320:$Y$320)</f>
        <v>84.5</v>
      </c>
      <c r="O321" s="754">
        <f t="shared" si="8"/>
        <v>84.5</v>
      </c>
      <c r="P321" s="754">
        <f t="shared" si="8"/>
        <v>84.5</v>
      </c>
      <c r="Q321" s="754">
        <f t="shared" si="8"/>
        <v>84.5</v>
      </c>
      <c r="R321" s="754">
        <f t="shared" si="8"/>
        <v>84.5</v>
      </c>
      <c r="S321" s="754">
        <f t="shared" si="8"/>
        <v>84.5</v>
      </c>
      <c r="T321" s="754">
        <f t="shared" si="8"/>
        <v>84.5</v>
      </c>
      <c r="U321" s="754">
        <f t="shared" si="8"/>
        <v>84.5</v>
      </c>
      <c r="V321" s="754">
        <f t="shared" si="8"/>
        <v>84.5</v>
      </c>
      <c r="W321" s="754">
        <f t="shared" si="8"/>
        <v>84.5</v>
      </c>
      <c r="X321" s="754">
        <f t="shared" si="8"/>
        <v>84.5</v>
      </c>
      <c r="Y321" s="754">
        <f t="shared" si="8"/>
        <v>84.5</v>
      </c>
      <c r="Z321" s="754">
        <f t="shared" si="8"/>
        <v>84.5</v>
      </c>
      <c r="AA321" s="754">
        <f t="shared" si="8"/>
        <v>84.5</v>
      </c>
      <c r="AB321" s="754">
        <f t="shared" si="8"/>
        <v>84.5</v>
      </c>
      <c r="AC321" s="754">
        <f t="shared" si="8"/>
        <v>84.5</v>
      </c>
      <c r="AD321" s="754">
        <f t="shared" si="8"/>
        <v>84.5</v>
      </c>
      <c r="AE321" s="754">
        <f t="shared" si="8"/>
        <v>84.5</v>
      </c>
      <c r="AF321" s="754">
        <f t="shared" si="8"/>
        <v>84.5</v>
      </c>
      <c r="AG321" s="754">
        <f t="shared" si="8"/>
        <v>84.5</v>
      </c>
      <c r="AH321" s="754">
        <f t="shared" si="8"/>
        <v>84.5</v>
      </c>
      <c r="AI321" s="754">
        <f t="shared" si="8"/>
        <v>84.5</v>
      </c>
      <c r="AJ321" s="754">
        <f t="shared" si="8"/>
        <v>84.5</v>
      </c>
      <c r="AK321" s="754">
        <f t="shared" si="8"/>
        <v>84.5</v>
      </c>
      <c r="AL321" s="754">
        <f t="shared" si="8"/>
        <v>84.5</v>
      </c>
      <c r="AM321" s="754">
        <f t="shared" si="8"/>
        <v>84.5</v>
      </c>
      <c r="AN321" s="754">
        <f t="shared" si="8"/>
        <v>84.5</v>
      </c>
      <c r="AO321" s="754">
        <f t="shared" si="8"/>
        <v>84.5</v>
      </c>
      <c r="AP321" s="754">
        <f t="shared" si="8"/>
        <v>84.5</v>
      </c>
      <c r="AQ321" s="754">
        <f t="shared" si="8"/>
        <v>84.5</v>
      </c>
      <c r="AR321" s="754">
        <f t="shared" si="8"/>
        <v>84.5</v>
      </c>
      <c r="AS321" s="754">
        <f t="shared" si="8"/>
        <v>84.5</v>
      </c>
      <c r="AT321" s="754">
        <f t="shared" si="8"/>
        <v>84.5</v>
      </c>
      <c r="AU321" s="754">
        <f t="shared" si="8"/>
        <v>84.5</v>
      </c>
      <c r="AV321" s="754">
        <f t="shared" si="8"/>
        <v>84.5</v>
      </c>
      <c r="AW321" s="754">
        <f t="shared" si="8"/>
        <v>84.5</v>
      </c>
    </row>
    <row r="322" spans="1:49" s="454" customFormat="1" x14ac:dyDescent="0.2">
      <c r="A322" s="457" t="s">
        <v>178</v>
      </c>
      <c r="B322" s="754"/>
      <c r="C322" s="754"/>
      <c r="D322" s="754"/>
      <c r="E322" s="754"/>
      <c r="F322" s="754"/>
      <c r="G322" s="754"/>
      <c r="H322" s="754"/>
      <c r="I322" s="754"/>
      <c r="J322" s="754"/>
      <c r="K322" s="754"/>
      <c r="L322" s="754"/>
      <c r="M322" s="754"/>
      <c r="N322" s="754"/>
      <c r="O322" s="754"/>
      <c r="P322" s="754"/>
      <c r="Q322" s="754"/>
      <c r="R322" s="754"/>
      <c r="S322" s="754"/>
      <c r="T322" s="754"/>
      <c r="U322" s="754"/>
      <c r="V322" s="754"/>
      <c r="W322" s="754"/>
      <c r="X322" s="754"/>
      <c r="Y322" s="754">
        <f t="shared" ref="Y322:AW322" si="9">MEDIAN($N$320:$Y$320)</f>
        <v>84.5</v>
      </c>
      <c r="Z322" s="754">
        <f t="shared" si="9"/>
        <v>84.5</v>
      </c>
      <c r="AA322" s="754">
        <f t="shared" si="9"/>
        <v>84.5</v>
      </c>
      <c r="AB322" s="754">
        <f t="shared" si="9"/>
        <v>84.5</v>
      </c>
      <c r="AC322" s="754">
        <f t="shared" si="9"/>
        <v>84.5</v>
      </c>
      <c r="AD322" s="754">
        <f t="shared" si="9"/>
        <v>84.5</v>
      </c>
      <c r="AE322" s="754">
        <f t="shared" si="9"/>
        <v>84.5</v>
      </c>
      <c r="AF322" s="754">
        <f t="shared" si="9"/>
        <v>84.5</v>
      </c>
      <c r="AG322" s="754">
        <f t="shared" si="9"/>
        <v>84.5</v>
      </c>
      <c r="AH322" s="754">
        <f t="shared" si="9"/>
        <v>84.5</v>
      </c>
      <c r="AI322" s="754">
        <f t="shared" si="9"/>
        <v>84.5</v>
      </c>
      <c r="AJ322" s="754">
        <f t="shared" si="9"/>
        <v>84.5</v>
      </c>
      <c r="AK322" s="754">
        <f t="shared" si="9"/>
        <v>84.5</v>
      </c>
      <c r="AL322" s="754">
        <f t="shared" si="9"/>
        <v>84.5</v>
      </c>
      <c r="AM322" s="754">
        <f t="shared" si="9"/>
        <v>84.5</v>
      </c>
      <c r="AN322" s="754">
        <f t="shared" si="9"/>
        <v>84.5</v>
      </c>
      <c r="AO322" s="754">
        <f t="shared" si="9"/>
        <v>84.5</v>
      </c>
      <c r="AP322" s="754">
        <f t="shared" si="9"/>
        <v>84.5</v>
      </c>
      <c r="AQ322" s="754">
        <f t="shared" si="9"/>
        <v>84.5</v>
      </c>
      <c r="AR322" s="754">
        <f t="shared" si="9"/>
        <v>84.5</v>
      </c>
      <c r="AS322" s="754">
        <f t="shared" si="9"/>
        <v>84.5</v>
      </c>
      <c r="AT322" s="754">
        <f t="shared" si="9"/>
        <v>84.5</v>
      </c>
      <c r="AU322" s="754">
        <f t="shared" si="9"/>
        <v>84.5</v>
      </c>
      <c r="AV322" s="754">
        <f t="shared" si="9"/>
        <v>84.5</v>
      </c>
      <c r="AW322" s="754">
        <f t="shared" si="9"/>
        <v>84.5</v>
      </c>
    </row>
    <row r="323" spans="1:49" s="454" customFormat="1" x14ac:dyDescent="0.2">
      <c r="A323" s="774" t="s">
        <v>466</v>
      </c>
      <c r="B323" s="754"/>
      <c r="C323" s="754">
        <f>SUM(C320-B320)</f>
        <v>1</v>
      </c>
      <c r="D323" s="754">
        <f>SUM(D320-C320)*-1</f>
        <v>18</v>
      </c>
      <c r="E323" s="754">
        <f>SUM(E320-D320)*-1</f>
        <v>6</v>
      </c>
      <c r="F323" s="754">
        <f t="shared" ref="F323:V323" si="10">SUM(F320-E320)</f>
        <v>16</v>
      </c>
      <c r="G323" s="754">
        <f t="shared" si="10"/>
        <v>3</v>
      </c>
      <c r="H323" s="754">
        <f t="shared" si="10"/>
        <v>25</v>
      </c>
      <c r="I323" s="754">
        <f>SUM(I320-H320)*-1</f>
        <v>10</v>
      </c>
      <c r="J323" s="754">
        <f>SUM(J320-I320)*-1</f>
        <v>17</v>
      </c>
      <c r="K323" s="754">
        <f t="shared" si="10"/>
        <v>20</v>
      </c>
      <c r="L323" s="754">
        <f>SUM(L320-K320)*-1</f>
        <v>9</v>
      </c>
      <c r="M323" s="754">
        <f>SUM(M320-L320)*-1</f>
        <v>11</v>
      </c>
      <c r="N323" s="754">
        <f t="shared" si="10"/>
        <v>9</v>
      </c>
      <c r="O323" s="754">
        <f>SUM(O320-N320)*-1</f>
        <v>8</v>
      </c>
      <c r="P323" s="754">
        <f t="shared" si="10"/>
        <v>22</v>
      </c>
      <c r="Q323" s="754">
        <f>SUM(Q320-P320)*-1</f>
        <v>2</v>
      </c>
      <c r="R323" s="754">
        <f t="shared" si="10"/>
        <v>0</v>
      </c>
      <c r="S323" s="754">
        <f t="shared" si="10"/>
        <v>0</v>
      </c>
      <c r="T323" s="754">
        <f>SUM(T320-S320)*-1</f>
        <v>7</v>
      </c>
      <c r="U323" s="754">
        <f>SUM(U320-T320)*-1</f>
        <v>3</v>
      </c>
      <c r="V323" s="754">
        <f t="shared" si="10"/>
        <v>8</v>
      </c>
      <c r="W323" s="754">
        <f>SUM(W320-V320)*-1</f>
        <v>3</v>
      </c>
      <c r="X323" s="754">
        <f>SUM(X320-W320)*-1</f>
        <v>9</v>
      </c>
      <c r="Y323" s="754">
        <f>SUM(Y320-X320)</f>
        <v>32</v>
      </c>
      <c r="Z323" s="754">
        <f>SUM(Z320-Y320)*-1</f>
        <v>25</v>
      </c>
      <c r="AA323" s="754">
        <f>SUM(AA320-Z320)</f>
        <v>22</v>
      </c>
      <c r="AB323" s="754">
        <f>SUM(AB320-AA320)*-1</f>
        <v>2</v>
      </c>
      <c r="AC323" s="754">
        <f>SUM(AC320-AB320)*-1</f>
        <v>15</v>
      </c>
      <c r="AD323" s="754">
        <f>SUM(AD320-AC320)</f>
        <v>9</v>
      </c>
      <c r="AE323" s="754">
        <f>SUM(AE320-AD320)*-1</f>
        <v>23</v>
      </c>
      <c r="AF323" s="754">
        <f>SUM(AF320-AE320)</f>
        <v>15</v>
      </c>
      <c r="AG323" s="754"/>
      <c r="AH323" s="754"/>
      <c r="AI323" s="754"/>
      <c r="AJ323" s="754"/>
      <c r="AK323" s="754"/>
      <c r="AL323" s="754"/>
      <c r="AM323" s="754"/>
      <c r="AN323" s="754"/>
      <c r="AO323" s="754"/>
      <c r="AP323" s="754"/>
      <c r="AQ323" s="754"/>
      <c r="AR323" s="754"/>
      <c r="AS323" s="754"/>
      <c r="AT323" s="754"/>
      <c r="AU323" s="754"/>
      <c r="AV323" s="754"/>
      <c r="AW323" s="754"/>
    </row>
    <row r="324" spans="1:49" s="454" customFormat="1" ht="21.75" x14ac:dyDescent="0.2">
      <c r="A324" s="775" t="s">
        <v>469</v>
      </c>
      <c r="B324" s="754"/>
      <c r="C324" s="754"/>
      <c r="D324" s="754"/>
      <c r="E324" s="754"/>
      <c r="F324" s="754"/>
      <c r="G324" s="754"/>
      <c r="H324" s="754"/>
      <c r="I324" s="754"/>
      <c r="J324" s="754"/>
      <c r="K324" s="754"/>
      <c r="L324" s="754"/>
      <c r="M324" s="754"/>
      <c r="N324" s="754"/>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row>
    <row r="325" spans="1:49" s="454" customFormat="1" x14ac:dyDescent="0.2">
      <c r="A325" s="776" t="s">
        <v>468</v>
      </c>
      <c r="B325" s="754">
        <f t="shared" ref="B325:AW325" si="11">AVERAGE($B$320:$AW$320)</f>
        <v>80.516129032258064</v>
      </c>
      <c r="C325" s="754">
        <f t="shared" si="11"/>
        <v>80.516129032258064</v>
      </c>
      <c r="D325" s="754">
        <f t="shared" si="11"/>
        <v>80.516129032258064</v>
      </c>
      <c r="E325" s="754">
        <f t="shared" si="11"/>
        <v>80.516129032258064</v>
      </c>
      <c r="F325" s="754">
        <f t="shared" si="11"/>
        <v>80.516129032258064</v>
      </c>
      <c r="G325" s="754">
        <f t="shared" si="11"/>
        <v>80.516129032258064</v>
      </c>
      <c r="H325" s="754">
        <f t="shared" si="11"/>
        <v>80.516129032258064</v>
      </c>
      <c r="I325" s="754">
        <f t="shared" si="11"/>
        <v>80.516129032258064</v>
      </c>
      <c r="J325" s="754">
        <f t="shared" si="11"/>
        <v>80.516129032258064</v>
      </c>
      <c r="K325" s="754">
        <f t="shared" si="11"/>
        <v>80.516129032258064</v>
      </c>
      <c r="L325" s="754">
        <f t="shared" si="11"/>
        <v>80.516129032258064</v>
      </c>
      <c r="M325" s="754">
        <f t="shared" si="11"/>
        <v>80.516129032258064</v>
      </c>
      <c r="N325" s="754">
        <f t="shared" si="11"/>
        <v>80.516129032258064</v>
      </c>
      <c r="O325" s="754">
        <f t="shared" si="11"/>
        <v>80.516129032258064</v>
      </c>
      <c r="P325" s="754">
        <f t="shared" si="11"/>
        <v>80.516129032258064</v>
      </c>
      <c r="Q325" s="754">
        <f t="shared" si="11"/>
        <v>80.516129032258064</v>
      </c>
      <c r="R325" s="754">
        <f t="shared" si="11"/>
        <v>80.516129032258064</v>
      </c>
      <c r="S325" s="754">
        <f t="shared" si="11"/>
        <v>80.516129032258064</v>
      </c>
      <c r="T325" s="754">
        <f t="shared" si="11"/>
        <v>80.516129032258064</v>
      </c>
      <c r="U325" s="754">
        <f t="shared" si="11"/>
        <v>80.516129032258064</v>
      </c>
      <c r="V325" s="754">
        <f t="shared" si="11"/>
        <v>80.516129032258064</v>
      </c>
      <c r="W325" s="754">
        <f t="shared" si="11"/>
        <v>80.516129032258064</v>
      </c>
      <c r="X325" s="754">
        <f t="shared" si="11"/>
        <v>80.516129032258064</v>
      </c>
      <c r="Y325" s="754">
        <f t="shared" si="11"/>
        <v>80.516129032258064</v>
      </c>
      <c r="Z325" s="754">
        <f t="shared" si="11"/>
        <v>80.516129032258064</v>
      </c>
      <c r="AA325" s="754">
        <f t="shared" si="11"/>
        <v>80.516129032258064</v>
      </c>
      <c r="AB325" s="754">
        <f t="shared" si="11"/>
        <v>80.516129032258064</v>
      </c>
      <c r="AC325" s="754">
        <f t="shared" si="11"/>
        <v>80.516129032258064</v>
      </c>
      <c r="AD325" s="754">
        <f t="shared" si="11"/>
        <v>80.516129032258064</v>
      </c>
      <c r="AE325" s="754">
        <f t="shared" si="11"/>
        <v>80.516129032258064</v>
      </c>
      <c r="AF325" s="754">
        <f t="shared" si="11"/>
        <v>80.516129032258064</v>
      </c>
      <c r="AG325" s="754">
        <f t="shared" si="11"/>
        <v>80.516129032258064</v>
      </c>
      <c r="AH325" s="754">
        <f t="shared" si="11"/>
        <v>80.516129032258064</v>
      </c>
      <c r="AI325" s="754">
        <f t="shared" si="11"/>
        <v>80.516129032258064</v>
      </c>
      <c r="AJ325" s="754">
        <f t="shared" si="11"/>
        <v>80.516129032258064</v>
      </c>
      <c r="AK325" s="754">
        <f t="shared" si="11"/>
        <v>80.516129032258064</v>
      </c>
      <c r="AL325" s="754">
        <f t="shared" si="11"/>
        <v>80.516129032258064</v>
      </c>
      <c r="AM325" s="754">
        <f t="shared" si="11"/>
        <v>80.516129032258064</v>
      </c>
      <c r="AN325" s="754">
        <f t="shared" si="11"/>
        <v>80.516129032258064</v>
      </c>
      <c r="AO325" s="754">
        <f t="shared" si="11"/>
        <v>80.516129032258064</v>
      </c>
      <c r="AP325" s="754">
        <f t="shared" si="11"/>
        <v>80.516129032258064</v>
      </c>
      <c r="AQ325" s="754">
        <f t="shared" si="11"/>
        <v>80.516129032258064</v>
      </c>
      <c r="AR325" s="754">
        <f t="shared" si="11"/>
        <v>80.516129032258064</v>
      </c>
      <c r="AS325" s="754">
        <f t="shared" si="11"/>
        <v>80.516129032258064</v>
      </c>
      <c r="AT325" s="754">
        <f t="shared" si="11"/>
        <v>80.516129032258064</v>
      </c>
      <c r="AU325" s="754">
        <f t="shared" si="11"/>
        <v>80.516129032258064</v>
      </c>
      <c r="AV325" s="754">
        <f t="shared" si="11"/>
        <v>80.516129032258064</v>
      </c>
      <c r="AW325" s="754">
        <f t="shared" si="11"/>
        <v>80.516129032258064</v>
      </c>
    </row>
    <row r="326" spans="1:49" s="454" customFormat="1" x14ac:dyDescent="0.2">
      <c r="A326" s="777" t="s">
        <v>467</v>
      </c>
      <c r="B326" s="754">
        <f t="shared" ref="B326:AW326" si="12">SUM($C$323:$AW$323)/22</f>
        <v>15.909090909090908</v>
      </c>
      <c r="C326" s="754">
        <f t="shared" si="12"/>
        <v>15.909090909090908</v>
      </c>
      <c r="D326" s="754">
        <f t="shared" si="12"/>
        <v>15.909090909090908</v>
      </c>
      <c r="E326" s="754">
        <f t="shared" si="12"/>
        <v>15.909090909090908</v>
      </c>
      <c r="F326" s="754">
        <f t="shared" si="12"/>
        <v>15.909090909090908</v>
      </c>
      <c r="G326" s="754">
        <f t="shared" si="12"/>
        <v>15.909090909090908</v>
      </c>
      <c r="H326" s="754">
        <f t="shared" si="12"/>
        <v>15.909090909090908</v>
      </c>
      <c r="I326" s="754">
        <f t="shared" si="12"/>
        <v>15.909090909090908</v>
      </c>
      <c r="J326" s="754">
        <f t="shared" si="12"/>
        <v>15.909090909090908</v>
      </c>
      <c r="K326" s="754">
        <f t="shared" si="12"/>
        <v>15.909090909090908</v>
      </c>
      <c r="L326" s="754">
        <f t="shared" si="12"/>
        <v>15.909090909090908</v>
      </c>
      <c r="M326" s="754">
        <f t="shared" si="12"/>
        <v>15.909090909090908</v>
      </c>
      <c r="N326" s="754">
        <f t="shared" si="12"/>
        <v>15.909090909090908</v>
      </c>
      <c r="O326" s="754">
        <f t="shared" si="12"/>
        <v>15.909090909090908</v>
      </c>
      <c r="P326" s="754">
        <f t="shared" si="12"/>
        <v>15.909090909090908</v>
      </c>
      <c r="Q326" s="754">
        <f t="shared" si="12"/>
        <v>15.909090909090908</v>
      </c>
      <c r="R326" s="754">
        <f t="shared" si="12"/>
        <v>15.909090909090908</v>
      </c>
      <c r="S326" s="754">
        <f t="shared" si="12"/>
        <v>15.909090909090908</v>
      </c>
      <c r="T326" s="754">
        <f t="shared" si="12"/>
        <v>15.909090909090908</v>
      </c>
      <c r="U326" s="754">
        <f t="shared" si="12"/>
        <v>15.909090909090908</v>
      </c>
      <c r="V326" s="754">
        <f t="shared" si="12"/>
        <v>15.909090909090908</v>
      </c>
      <c r="W326" s="754">
        <f t="shared" si="12"/>
        <v>15.909090909090908</v>
      </c>
      <c r="X326" s="754">
        <f t="shared" si="12"/>
        <v>15.909090909090908</v>
      </c>
      <c r="Y326" s="754">
        <f t="shared" si="12"/>
        <v>15.909090909090908</v>
      </c>
      <c r="Z326" s="754">
        <f t="shared" si="12"/>
        <v>15.909090909090908</v>
      </c>
      <c r="AA326" s="754">
        <f t="shared" si="12"/>
        <v>15.909090909090908</v>
      </c>
      <c r="AB326" s="754">
        <f t="shared" si="12"/>
        <v>15.909090909090908</v>
      </c>
      <c r="AC326" s="754">
        <f t="shared" si="12"/>
        <v>15.909090909090908</v>
      </c>
      <c r="AD326" s="754">
        <f t="shared" si="12"/>
        <v>15.909090909090908</v>
      </c>
      <c r="AE326" s="754">
        <f t="shared" si="12"/>
        <v>15.909090909090908</v>
      </c>
      <c r="AF326" s="754">
        <f t="shared" si="12"/>
        <v>15.909090909090908</v>
      </c>
      <c r="AG326" s="754">
        <f t="shared" si="12"/>
        <v>15.909090909090908</v>
      </c>
      <c r="AH326" s="754">
        <f t="shared" si="12"/>
        <v>15.909090909090908</v>
      </c>
      <c r="AI326" s="754">
        <f t="shared" si="12"/>
        <v>15.909090909090908</v>
      </c>
      <c r="AJ326" s="754">
        <f t="shared" si="12"/>
        <v>15.909090909090908</v>
      </c>
      <c r="AK326" s="754">
        <f t="shared" si="12"/>
        <v>15.909090909090908</v>
      </c>
      <c r="AL326" s="754">
        <f t="shared" si="12"/>
        <v>15.909090909090908</v>
      </c>
      <c r="AM326" s="754">
        <f t="shared" si="12"/>
        <v>15.909090909090908</v>
      </c>
      <c r="AN326" s="754">
        <f t="shared" si="12"/>
        <v>15.909090909090908</v>
      </c>
      <c r="AO326" s="754">
        <f t="shared" si="12"/>
        <v>15.909090909090908</v>
      </c>
      <c r="AP326" s="754">
        <f t="shared" si="12"/>
        <v>15.909090909090908</v>
      </c>
      <c r="AQ326" s="754">
        <f t="shared" si="12"/>
        <v>15.909090909090908</v>
      </c>
      <c r="AR326" s="754">
        <f t="shared" si="12"/>
        <v>15.909090909090908</v>
      </c>
      <c r="AS326" s="754">
        <f t="shared" si="12"/>
        <v>15.909090909090908</v>
      </c>
      <c r="AT326" s="754">
        <f t="shared" si="12"/>
        <v>15.909090909090908</v>
      </c>
      <c r="AU326" s="754">
        <f t="shared" si="12"/>
        <v>15.909090909090908</v>
      </c>
      <c r="AV326" s="754">
        <f t="shared" si="12"/>
        <v>15.909090909090908</v>
      </c>
      <c r="AW326" s="754">
        <f t="shared" si="12"/>
        <v>15.909090909090908</v>
      </c>
    </row>
    <row r="327" spans="1:49" s="454" customFormat="1" ht="25.5" x14ac:dyDescent="0.2">
      <c r="A327" s="777" t="s">
        <v>470</v>
      </c>
      <c r="B327" s="754">
        <f t="shared" ref="B327:AW327" si="13">$B$326/1.128</f>
        <v>14.10380399742102</v>
      </c>
      <c r="C327" s="754">
        <f t="shared" si="13"/>
        <v>14.10380399742102</v>
      </c>
      <c r="D327" s="754">
        <f t="shared" si="13"/>
        <v>14.10380399742102</v>
      </c>
      <c r="E327" s="754">
        <f t="shared" si="13"/>
        <v>14.10380399742102</v>
      </c>
      <c r="F327" s="754">
        <f t="shared" si="13"/>
        <v>14.10380399742102</v>
      </c>
      <c r="G327" s="754">
        <f t="shared" si="13"/>
        <v>14.10380399742102</v>
      </c>
      <c r="H327" s="754">
        <f t="shared" si="13"/>
        <v>14.10380399742102</v>
      </c>
      <c r="I327" s="754">
        <f t="shared" si="13"/>
        <v>14.10380399742102</v>
      </c>
      <c r="J327" s="754">
        <f t="shared" si="13"/>
        <v>14.10380399742102</v>
      </c>
      <c r="K327" s="754">
        <f t="shared" si="13"/>
        <v>14.10380399742102</v>
      </c>
      <c r="L327" s="754">
        <f t="shared" si="13"/>
        <v>14.10380399742102</v>
      </c>
      <c r="M327" s="754">
        <f t="shared" si="13"/>
        <v>14.10380399742102</v>
      </c>
      <c r="N327" s="754">
        <f t="shared" si="13"/>
        <v>14.10380399742102</v>
      </c>
      <c r="O327" s="754">
        <f t="shared" si="13"/>
        <v>14.10380399742102</v>
      </c>
      <c r="P327" s="754">
        <f t="shared" si="13"/>
        <v>14.10380399742102</v>
      </c>
      <c r="Q327" s="754">
        <f t="shared" si="13"/>
        <v>14.10380399742102</v>
      </c>
      <c r="R327" s="754">
        <f t="shared" si="13"/>
        <v>14.10380399742102</v>
      </c>
      <c r="S327" s="754">
        <f t="shared" si="13"/>
        <v>14.10380399742102</v>
      </c>
      <c r="T327" s="754">
        <f t="shared" si="13"/>
        <v>14.10380399742102</v>
      </c>
      <c r="U327" s="754">
        <f t="shared" si="13"/>
        <v>14.10380399742102</v>
      </c>
      <c r="V327" s="754">
        <f t="shared" si="13"/>
        <v>14.10380399742102</v>
      </c>
      <c r="W327" s="754">
        <f t="shared" si="13"/>
        <v>14.10380399742102</v>
      </c>
      <c r="X327" s="754">
        <f t="shared" si="13"/>
        <v>14.10380399742102</v>
      </c>
      <c r="Y327" s="754">
        <f t="shared" si="13"/>
        <v>14.10380399742102</v>
      </c>
      <c r="Z327" s="754">
        <f t="shared" si="13"/>
        <v>14.10380399742102</v>
      </c>
      <c r="AA327" s="754">
        <f t="shared" si="13"/>
        <v>14.10380399742102</v>
      </c>
      <c r="AB327" s="754">
        <f t="shared" si="13"/>
        <v>14.10380399742102</v>
      </c>
      <c r="AC327" s="754">
        <f t="shared" si="13"/>
        <v>14.10380399742102</v>
      </c>
      <c r="AD327" s="754">
        <f t="shared" si="13"/>
        <v>14.10380399742102</v>
      </c>
      <c r="AE327" s="754">
        <f t="shared" si="13"/>
        <v>14.10380399742102</v>
      </c>
      <c r="AF327" s="754">
        <f t="shared" si="13"/>
        <v>14.10380399742102</v>
      </c>
      <c r="AG327" s="754">
        <f t="shared" si="13"/>
        <v>14.10380399742102</v>
      </c>
      <c r="AH327" s="754">
        <f t="shared" si="13"/>
        <v>14.10380399742102</v>
      </c>
      <c r="AI327" s="754">
        <f t="shared" si="13"/>
        <v>14.10380399742102</v>
      </c>
      <c r="AJ327" s="754">
        <f t="shared" si="13"/>
        <v>14.10380399742102</v>
      </c>
      <c r="AK327" s="754">
        <f t="shared" si="13"/>
        <v>14.10380399742102</v>
      </c>
      <c r="AL327" s="754">
        <f t="shared" si="13"/>
        <v>14.10380399742102</v>
      </c>
      <c r="AM327" s="754">
        <f t="shared" si="13"/>
        <v>14.10380399742102</v>
      </c>
      <c r="AN327" s="754">
        <f t="shared" si="13"/>
        <v>14.10380399742102</v>
      </c>
      <c r="AO327" s="754">
        <f t="shared" si="13"/>
        <v>14.10380399742102</v>
      </c>
      <c r="AP327" s="754">
        <f t="shared" si="13"/>
        <v>14.10380399742102</v>
      </c>
      <c r="AQ327" s="754">
        <f t="shared" si="13"/>
        <v>14.10380399742102</v>
      </c>
      <c r="AR327" s="754">
        <f t="shared" si="13"/>
        <v>14.10380399742102</v>
      </c>
      <c r="AS327" s="754">
        <f t="shared" si="13"/>
        <v>14.10380399742102</v>
      </c>
      <c r="AT327" s="754">
        <f t="shared" si="13"/>
        <v>14.10380399742102</v>
      </c>
      <c r="AU327" s="754">
        <f t="shared" si="13"/>
        <v>14.10380399742102</v>
      </c>
      <c r="AV327" s="754">
        <f t="shared" si="13"/>
        <v>14.10380399742102</v>
      </c>
      <c r="AW327" s="754">
        <f t="shared" si="13"/>
        <v>14.10380399742102</v>
      </c>
    </row>
    <row r="328" spans="1:49" s="454" customFormat="1" x14ac:dyDescent="0.2">
      <c r="A328" s="774" t="s">
        <v>473</v>
      </c>
      <c r="B328" s="754">
        <f t="shared" ref="B328:AW328" si="14">$B$325+(3*$B$327)</f>
        <v>122.82754102452112</v>
      </c>
      <c r="C328" s="754">
        <f t="shared" si="14"/>
        <v>122.82754102452112</v>
      </c>
      <c r="D328" s="754">
        <f t="shared" si="14"/>
        <v>122.82754102452112</v>
      </c>
      <c r="E328" s="754">
        <f t="shared" si="14"/>
        <v>122.82754102452112</v>
      </c>
      <c r="F328" s="754">
        <f t="shared" si="14"/>
        <v>122.82754102452112</v>
      </c>
      <c r="G328" s="754">
        <f t="shared" si="14"/>
        <v>122.82754102452112</v>
      </c>
      <c r="H328" s="754">
        <f t="shared" si="14"/>
        <v>122.82754102452112</v>
      </c>
      <c r="I328" s="754">
        <f t="shared" si="14"/>
        <v>122.82754102452112</v>
      </c>
      <c r="J328" s="754">
        <f t="shared" si="14"/>
        <v>122.82754102452112</v>
      </c>
      <c r="K328" s="754">
        <f t="shared" si="14"/>
        <v>122.82754102452112</v>
      </c>
      <c r="L328" s="754">
        <f t="shared" si="14"/>
        <v>122.82754102452112</v>
      </c>
      <c r="M328" s="754">
        <f t="shared" si="14"/>
        <v>122.82754102452112</v>
      </c>
      <c r="N328" s="754">
        <f t="shared" si="14"/>
        <v>122.82754102452112</v>
      </c>
      <c r="O328" s="754">
        <f t="shared" si="14"/>
        <v>122.82754102452112</v>
      </c>
      <c r="P328" s="754">
        <f t="shared" si="14"/>
        <v>122.82754102452112</v>
      </c>
      <c r="Q328" s="754">
        <f t="shared" si="14"/>
        <v>122.82754102452112</v>
      </c>
      <c r="R328" s="754">
        <f t="shared" si="14"/>
        <v>122.82754102452112</v>
      </c>
      <c r="S328" s="754">
        <f t="shared" si="14"/>
        <v>122.82754102452112</v>
      </c>
      <c r="T328" s="754">
        <f t="shared" si="14"/>
        <v>122.82754102452112</v>
      </c>
      <c r="U328" s="754">
        <f t="shared" si="14"/>
        <v>122.82754102452112</v>
      </c>
      <c r="V328" s="754">
        <f t="shared" si="14"/>
        <v>122.82754102452112</v>
      </c>
      <c r="W328" s="754">
        <f t="shared" si="14"/>
        <v>122.82754102452112</v>
      </c>
      <c r="X328" s="754">
        <f t="shared" si="14"/>
        <v>122.82754102452112</v>
      </c>
      <c r="Y328" s="754">
        <f t="shared" si="14"/>
        <v>122.82754102452112</v>
      </c>
      <c r="Z328" s="754">
        <f t="shared" si="14"/>
        <v>122.82754102452112</v>
      </c>
      <c r="AA328" s="754">
        <f t="shared" si="14"/>
        <v>122.82754102452112</v>
      </c>
      <c r="AB328" s="754">
        <f t="shared" si="14"/>
        <v>122.82754102452112</v>
      </c>
      <c r="AC328" s="754">
        <f t="shared" si="14"/>
        <v>122.82754102452112</v>
      </c>
      <c r="AD328" s="754">
        <f t="shared" si="14"/>
        <v>122.82754102452112</v>
      </c>
      <c r="AE328" s="754">
        <f t="shared" si="14"/>
        <v>122.82754102452112</v>
      </c>
      <c r="AF328" s="754">
        <f t="shared" si="14"/>
        <v>122.82754102452112</v>
      </c>
      <c r="AG328" s="754">
        <f t="shared" si="14"/>
        <v>122.82754102452112</v>
      </c>
      <c r="AH328" s="754">
        <f t="shared" si="14"/>
        <v>122.82754102452112</v>
      </c>
      <c r="AI328" s="754">
        <f t="shared" si="14"/>
        <v>122.82754102452112</v>
      </c>
      <c r="AJ328" s="754">
        <f t="shared" si="14"/>
        <v>122.82754102452112</v>
      </c>
      <c r="AK328" s="754">
        <f t="shared" si="14"/>
        <v>122.82754102452112</v>
      </c>
      <c r="AL328" s="754">
        <f t="shared" si="14"/>
        <v>122.82754102452112</v>
      </c>
      <c r="AM328" s="754">
        <f t="shared" si="14"/>
        <v>122.82754102452112</v>
      </c>
      <c r="AN328" s="754">
        <f t="shared" si="14"/>
        <v>122.82754102452112</v>
      </c>
      <c r="AO328" s="754">
        <f t="shared" si="14"/>
        <v>122.82754102452112</v>
      </c>
      <c r="AP328" s="754">
        <f t="shared" si="14"/>
        <v>122.82754102452112</v>
      </c>
      <c r="AQ328" s="754">
        <f t="shared" si="14"/>
        <v>122.82754102452112</v>
      </c>
      <c r="AR328" s="754">
        <f t="shared" si="14"/>
        <v>122.82754102452112</v>
      </c>
      <c r="AS328" s="754">
        <f t="shared" si="14"/>
        <v>122.82754102452112</v>
      </c>
      <c r="AT328" s="754">
        <f t="shared" si="14"/>
        <v>122.82754102452112</v>
      </c>
      <c r="AU328" s="754">
        <f t="shared" si="14"/>
        <v>122.82754102452112</v>
      </c>
      <c r="AV328" s="754">
        <f t="shared" si="14"/>
        <v>122.82754102452112</v>
      </c>
      <c r="AW328" s="754">
        <f t="shared" si="14"/>
        <v>122.82754102452112</v>
      </c>
    </row>
    <row r="329" spans="1:49" s="454" customFormat="1" x14ac:dyDescent="0.2">
      <c r="A329" s="774" t="s">
        <v>474</v>
      </c>
      <c r="B329" s="754">
        <f t="shared" ref="B329:AW329" si="15">$B$325-(3*$B$327)</f>
        <v>38.204717039995003</v>
      </c>
      <c r="C329" s="754">
        <f t="shared" si="15"/>
        <v>38.204717039995003</v>
      </c>
      <c r="D329" s="754">
        <f t="shared" si="15"/>
        <v>38.204717039995003</v>
      </c>
      <c r="E329" s="754">
        <f t="shared" si="15"/>
        <v>38.204717039995003</v>
      </c>
      <c r="F329" s="754">
        <f t="shared" si="15"/>
        <v>38.204717039995003</v>
      </c>
      <c r="G329" s="754">
        <f t="shared" si="15"/>
        <v>38.204717039995003</v>
      </c>
      <c r="H329" s="754">
        <f t="shared" si="15"/>
        <v>38.204717039995003</v>
      </c>
      <c r="I329" s="754">
        <f t="shared" si="15"/>
        <v>38.204717039995003</v>
      </c>
      <c r="J329" s="754">
        <f t="shared" si="15"/>
        <v>38.204717039995003</v>
      </c>
      <c r="K329" s="754">
        <f t="shared" si="15"/>
        <v>38.204717039995003</v>
      </c>
      <c r="L329" s="754">
        <f t="shared" si="15"/>
        <v>38.204717039995003</v>
      </c>
      <c r="M329" s="754">
        <f t="shared" si="15"/>
        <v>38.204717039995003</v>
      </c>
      <c r="N329" s="754">
        <f t="shared" si="15"/>
        <v>38.204717039995003</v>
      </c>
      <c r="O329" s="754">
        <f t="shared" si="15"/>
        <v>38.204717039995003</v>
      </c>
      <c r="P329" s="754">
        <f t="shared" si="15"/>
        <v>38.204717039995003</v>
      </c>
      <c r="Q329" s="754">
        <f t="shared" si="15"/>
        <v>38.204717039995003</v>
      </c>
      <c r="R329" s="754">
        <f t="shared" si="15"/>
        <v>38.204717039995003</v>
      </c>
      <c r="S329" s="754">
        <f t="shared" si="15"/>
        <v>38.204717039995003</v>
      </c>
      <c r="T329" s="754">
        <f t="shared" si="15"/>
        <v>38.204717039995003</v>
      </c>
      <c r="U329" s="754">
        <f t="shared" si="15"/>
        <v>38.204717039995003</v>
      </c>
      <c r="V329" s="754">
        <f t="shared" si="15"/>
        <v>38.204717039995003</v>
      </c>
      <c r="W329" s="754">
        <f t="shared" si="15"/>
        <v>38.204717039995003</v>
      </c>
      <c r="X329" s="754">
        <f t="shared" si="15"/>
        <v>38.204717039995003</v>
      </c>
      <c r="Y329" s="754">
        <f t="shared" si="15"/>
        <v>38.204717039995003</v>
      </c>
      <c r="Z329" s="754">
        <f t="shared" si="15"/>
        <v>38.204717039995003</v>
      </c>
      <c r="AA329" s="754">
        <f t="shared" si="15"/>
        <v>38.204717039995003</v>
      </c>
      <c r="AB329" s="754">
        <f t="shared" si="15"/>
        <v>38.204717039995003</v>
      </c>
      <c r="AC329" s="754">
        <f t="shared" si="15"/>
        <v>38.204717039995003</v>
      </c>
      <c r="AD329" s="754">
        <f t="shared" si="15"/>
        <v>38.204717039995003</v>
      </c>
      <c r="AE329" s="754">
        <f t="shared" si="15"/>
        <v>38.204717039995003</v>
      </c>
      <c r="AF329" s="754">
        <f t="shared" si="15"/>
        <v>38.204717039995003</v>
      </c>
      <c r="AG329" s="754">
        <f t="shared" si="15"/>
        <v>38.204717039995003</v>
      </c>
      <c r="AH329" s="754">
        <f t="shared" si="15"/>
        <v>38.204717039995003</v>
      </c>
      <c r="AI329" s="754">
        <f t="shared" si="15"/>
        <v>38.204717039995003</v>
      </c>
      <c r="AJ329" s="754">
        <f t="shared" si="15"/>
        <v>38.204717039995003</v>
      </c>
      <c r="AK329" s="754">
        <f t="shared" si="15"/>
        <v>38.204717039995003</v>
      </c>
      <c r="AL329" s="754">
        <f t="shared" si="15"/>
        <v>38.204717039995003</v>
      </c>
      <c r="AM329" s="754">
        <f t="shared" si="15"/>
        <v>38.204717039995003</v>
      </c>
      <c r="AN329" s="754">
        <f t="shared" si="15"/>
        <v>38.204717039995003</v>
      </c>
      <c r="AO329" s="754">
        <f t="shared" si="15"/>
        <v>38.204717039995003</v>
      </c>
      <c r="AP329" s="754">
        <f t="shared" si="15"/>
        <v>38.204717039995003</v>
      </c>
      <c r="AQ329" s="754">
        <f t="shared" si="15"/>
        <v>38.204717039995003</v>
      </c>
      <c r="AR329" s="754">
        <f t="shared" si="15"/>
        <v>38.204717039995003</v>
      </c>
      <c r="AS329" s="754">
        <f t="shared" si="15"/>
        <v>38.204717039995003</v>
      </c>
      <c r="AT329" s="754">
        <f t="shared" si="15"/>
        <v>38.204717039995003</v>
      </c>
      <c r="AU329" s="754">
        <f t="shared" si="15"/>
        <v>38.204717039995003</v>
      </c>
      <c r="AV329" s="754">
        <f t="shared" si="15"/>
        <v>38.204717039995003</v>
      </c>
      <c r="AW329" s="754">
        <f t="shared" si="15"/>
        <v>38.204717039995003</v>
      </c>
    </row>
    <row r="330" spans="1:49" ht="38.25" x14ac:dyDescent="0.2">
      <c r="A330" s="766" t="s">
        <v>480</v>
      </c>
      <c r="B330" s="397">
        <f>B18</f>
        <v>0.74698795180722888</v>
      </c>
      <c r="C330" s="397">
        <f>C18</f>
        <v>0.66346153846153844</v>
      </c>
      <c r="D330" s="397">
        <f>D18</f>
        <v>0.66249999999999998</v>
      </c>
      <c r="E330" s="397">
        <f>E18</f>
        <v>0.48484848484848486</v>
      </c>
      <c r="F330" s="397">
        <f>F18</f>
        <v>0.6875</v>
      </c>
      <c r="G330" s="397">
        <f>G18</f>
        <v>0.71052631578947367</v>
      </c>
      <c r="H330" s="397">
        <f>H18</f>
        <v>0.82954545454545459</v>
      </c>
      <c r="I330" s="397">
        <f>I18</f>
        <v>0.7578947368421054</v>
      </c>
      <c r="J330" s="397">
        <f>J18</f>
        <v>0.67100000000000004</v>
      </c>
      <c r="K330" s="397">
        <f>K18</f>
        <v>0.77272727272727271</v>
      </c>
      <c r="L330" s="397">
        <f>L18</f>
        <v>0.65</v>
      </c>
      <c r="M330" s="397">
        <f>M18</f>
        <v>0.71250000000000002</v>
      </c>
      <c r="N330" s="397">
        <f>N18</f>
        <v>0.72289156626506024</v>
      </c>
      <c r="O330" s="397">
        <f>O18</f>
        <v>0.64130434782608692</v>
      </c>
      <c r="P330" s="397">
        <f>P18</f>
        <v>0.83333333333333348</v>
      </c>
      <c r="Q330" s="397">
        <f>Q18</f>
        <v>0.7857142857142857</v>
      </c>
      <c r="R330" s="397">
        <f>R18</f>
        <v>0.83561643835616439</v>
      </c>
      <c r="S330" s="397">
        <f>S18</f>
        <v>0.82417582417582413</v>
      </c>
      <c r="T330" s="397">
        <f>T18</f>
        <v>0.68831168831168843</v>
      </c>
      <c r="U330" s="397">
        <f>U18</f>
        <v>0.85526315789473684</v>
      </c>
      <c r="V330" s="397">
        <f>V18</f>
        <v>0.68269230769230771</v>
      </c>
      <c r="W330" s="397">
        <f>W18</f>
        <v>0.77215189873417733</v>
      </c>
      <c r="X330" s="397">
        <f>X18</f>
        <v>0.80597014925373134</v>
      </c>
      <c r="Y330" s="397">
        <f>Y18</f>
        <v>0.86813186813186816</v>
      </c>
      <c r="Z330" s="397">
        <f>Z18</f>
        <v>0.68604651162790697</v>
      </c>
      <c r="AA330" s="397">
        <f>AA18</f>
        <v>0.79207920792079212</v>
      </c>
      <c r="AB330" s="397">
        <f>AB18</f>
        <v>0.80851063829787218</v>
      </c>
      <c r="AC330" s="397">
        <f>AC18</f>
        <v>0.81176470588235294</v>
      </c>
      <c r="AD330" s="397">
        <f>AD18</f>
        <v>0.7777777777777779</v>
      </c>
      <c r="AE330" s="397">
        <f>AE18</f>
        <v>0.80882352941176483</v>
      </c>
      <c r="AF330" s="397">
        <f>AF18</f>
        <v>0.77906976744186052</v>
      </c>
      <c r="AG330" s="397"/>
      <c r="AH330" s="397"/>
      <c r="AI330" s="397"/>
      <c r="AJ330" s="397"/>
      <c r="AK330" s="397"/>
      <c r="AL330" s="397"/>
      <c r="AM330" s="397"/>
      <c r="AN330" s="397"/>
      <c r="AO330" s="397"/>
      <c r="AP330" s="397"/>
      <c r="AQ330" s="397"/>
      <c r="AR330" s="397"/>
      <c r="AS330" s="397"/>
      <c r="AT330" s="397"/>
      <c r="AU330" s="397"/>
      <c r="AV330" s="397"/>
      <c r="AW330" s="397"/>
    </row>
    <row r="331" spans="1:49" x14ac:dyDescent="0.2">
      <c r="A331" s="766" t="s">
        <v>464</v>
      </c>
      <c r="B331" s="402">
        <v>0.9</v>
      </c>
      <c r="C331" s="402">
        <v>0.9</v>
      </c>
      <c r="D331" s="402">
        <v>0.9</v>
      </c>
      <c r="E331" s="402">
        <v>0.9</v>
      </c>
      <c r="F331" s="402">
        <v>0.9</v>
      </c>
      <c r="G331" s="402">
        <v>0.9</v>
      </c>
      <c r="H331" s="402">
        <v>0.9</v>
      </c>
      <c r="I331" s="402">
        <v>0.9</v>
      </c>
      <c r="J331" s="402">
        <v>0.9</v>
      </c>
      <c r="K331" s="402">
        <v>0.9</v>
      </c>
      <c r="L331" s="402">
        <v>0.9</v>
      </c>
      <c r="M331" s="402">
        <v>0.9</v>
      </c>
      <c r="N331" s="402">
        <v>0.9</v>
      </c>
      <c r="O331" s="402">
        <v>0.9</v>
      </c>
      <c r="P331" s="402">
        <v>0.9</v>
      </c>
      <c r="Q331" s="402">
        <v>0.9</v>
      </c>
      <c r="R331" s="402">
        <v>0.9</v>
      </c>
      <c r="S331" s="402">
        <v>0.9</v>
      </c>
      <c r="T331" s="402">
        <v>0.9</v>
      </c>
      <c r="U331" s="402">
        <v>0.9</v>
      </c>
      <c r="V331" s="402">
        <v>0.9</v>
      </c>
      <c r="W331" s="402">
        <v>0.9</v>
      </c>
      <c r="X331" s="402">
        <v>0.9</v>
      </c>
      <c r="Y331" s="402">
        <v>0.9</v>
      </c>
      <c r="Z331" s="402">
        <v>0.9</v>
      </c>
      <c r="AA331" s="402">
        <v>0.9</v>
      </c>
      <c r="AB331" s="402">
        <v>0.9</v>
      </c>
      <c r="AC331" s="402">
        <v>0.9</v>
      </c>
      <c r="AD331" s="402">
        <v>0.9</v>
      </c>
      <c r="AE331" s="402">
        <v>0.9</v>
      </c>
      <c r="AF331" s="402">
        <v>0.9</v>
      </c>
      <c r="AG331" s="402">
        <v>0.9</v>
      </c>
      <c r="AH331" s="402">
        <v>0.9</v>
      </c>
      <c r="AI331" s="402">
        <v>0.9</v>
      </c>
      <c r="AJ331" s="402">
        <v>0.9</v>
      </c>
      <c r="AK331" s="402">
        <v>0.9</v>
      </c>
      <c r="AL331" s="402">
        <v>0.9</v>
      </c>
      <c r="AM331" s="402">
        <v>0.9</v>
      </c>
      <c r="AN331" s="402">
        <v>0.9</v>
      </c>
      <c r="AO331" s="402">
        <v>0.9</v>
      </c>
      <c r="AP331" s="402">
        <v>0.9</v>
      </c>
      <c r="AQ331" s="402">
        <v>0.9</v>
      </c>
      <c r="AR331" s="402">
        <v>0.9</v>
      </c>
      <c r="AS331" s="402">
        <v>0.9</v>
      </c>
      <c r="AT331" s="402">
        <v>0.9</v>
      </c>
      <c r="AU331" s="402">
        <v>0.9</v>
      </c>
      <c r="AV331" s="402">
        <v>0.9</v>
      </c>
      <c r="AW331" s="402">
        <v>0.9</v>
      </c>
    </row>
    <row r="332" spans="1:49" x14ac:dyDescent="0.2">
      <c r="A332" s="766" t="s">
        <v>130</v>
      </c>
      <c r="B332" s="402">
        <f t="shared" ref="B332:M332" si="16">MEDIAN($B$330:$M$330)</f>
        <v>0.69901315789473684</v>
      </c>
      <c r="C332" s="402">
        <f t="shared" si="16"/>
        <v>0.69901315789473684</v>
      </c>
      <c r="D332" s="402">
        <f t="shared" si="16"/>
        <v>0.69901315789473684</v>
      </c>
      <c r="E332" s="402">
        <f t="shared" si="16"/>
        <v>0.69901315789473684</v>
      </c>
      <c r="F332" s="402">
        <f t="shared" si="16"/>
        <v>0.69901315789473684</v>
      </c>
      <c r="G332" s="402">
        <f t="shared" si="16"/>
        <v>0.69901315789473684</v>
      </c>
      <c r="H332" s="402">
        <f t="shared" si="16"/>
        <v>0.69901315789473684</v>
      </c>
      <c r="I332" s="402">
        <f t="shared" si="16"/>
        <v>0.69901315789473684</v>
      </c>
      <c r="J332" s="402">
        <f t="shared" si="16"/>
        <v>0.69901315789473684</v>
      </c>
      <c r="K332" s="402">
        <f t="shared" si="16"/>
        <v>0.69901315789473684</v>
      </c>
      <c r="L332" s="402">
        <f t="shared" si="16"/>
        <v>0.69901315789473684</v>
      </c>
      <c r="M332" s="402">
        <f t="shared" si="16"/>
        <v>0.69901315789473684</v>
      </c>
      <c r="N332" s="402" t="s">
        <v>368</v>
      </c>
      <c r="O332" s="402" t="s">
        <v>368</v>
      </c>
      <c r="P332" s="402" t="s">
        <v>368</v>
      </c>
      <c r="Q332" s="402" t="s">
        <v>368</v>
      </c>
      <c r="R332" s="402" t="s">
        <v>368</v>
      </c>
      <c r="S332" s="402" t="s">
        <v>368</v>
      </c>
      <c r="T332" s="402" t="s">
        <v>368</v>
      </c>
      <c r="U332" s="402" t="s">
        <v>368</v>
      </c>
      <c r="V332" s="402" t="s">
        <v>368</v>
      </c>
      <c r="W332" s="402" t="s">
        <v>368</v>
      </c>
      <c r="X332" s="402" t="s">
        <v>368</v>
      </c>
      <c r="Y332" s="402"/>
      <c r="Z332" s="402" t="s">
        <v>368</v>
      </c>
      <c r="AA332" s="402"/>
      <c r="AB332" s="402" t="s">
        <v>368</v>
      </c>
      <c r="AC332" s="402"/>
      <c r="AD332" s="402" t="s">
        <v>368</v>
      </c>
      <c r="AE332" s="402"/>
      <c r="AF332" s="402" t="s">
        <v>368</v>
      </c>
      <c r="AG332" s="402"/>
      <c r="AH332" s="402" t="s">
        <v>368</v>
      </c>
      <c r="AI332" s="402"/>
      <c r="AJ332" s="402" t="s">
        <v>368</v>
      </c>
      <c r="AK332" s="402"/>
      <c r="AL332" s="402" t="s">
        <v>368</v>
      </c>
      <c r="AM332" s="402"/>
      <c r="AN332" s="402" t="s">
        <v>368</v>
      </c>
      <c r="AO332" s="402"/>
      <c r="AP332" s="402" t="s">
        <v>368</v>
      </c>
      <c r="AQ332" s="402"/>
      <c r="AR332" s="402" t="s">
        <v>368</v>
      </c>
      <c r="AS332" s="402"/>
      <c r="AT332" s="402" t="s">
        <v>368</v>
      </c>
      <c r="AU332" s="402"/>
      <c r="AV332" s="402" t="s">
        <v>368</v>
      </c>
      <c r="AW332" s="402"/>
    </row>
    <row r="333" spans="1:49" x14ac:dyDescent="0.2">
      <c r="A333" s="766" t="s">
        <v>178</v>
      </c>
      <c r="B333" s="402"/>
      <c r="C333" s="402" t="s">
        <v>368</v>
      </c>
      <c r="D333" s="402"/>
      <c r="E333" s="402"/>
      <c r="F333" s="402"/>
      <c r="G333" s="402"/>
      <c r="H333" s="402"/>
      <c r="I333" s="402"/>
      <c r="J333" s="402"/>
      <c r="K333" s="402"/>
      <c r="L333" s="402"/>
      <c r="M333" s="402">
        <f t="shared" ref="M333:AW333" si="17">MEDIAN($B$330:$M$330)</f>
        <v>0.69901315789473684</v>
      </c>
      <c r="N333" s="402">
        <f t="shared" si="17"/>
        <v>0.69901315789473684</v>
      </c>
      <c r="O333" s="402">
        <f t="shared" si="17"/>
        <v>0.69901315789473684</v>
      </c>
      <c r="P333" s="402">
        <f t="shared" si="17"/>
        <v>0.69901315789473684</v>
      </c>
      <c r="Q333" s="402">
        <f t="shared" si="17"/>
        <v>0.69901315789473684</v>
      </c>
      <c r="R333" s="402">
        <f t="shared" si="17"/>
        <v>0.69901315789473684</v>
      </c>
      <c r="S333" s="402">
        <f t="shared" si="17"/>
        <v>0.69901315789473684</v>
      </c>
      <c r="T333" s="402">
        <f t="shared" si="17"/>
        <v>0.69901315789473684</v>
      </c>
      <c r="U333" s="402">
        <f t="shared" si="17"/>
        <v>0.69901315789473684</v>
      </c>
      <c r="V333" s="402">
        <f t="shared" si="17"/>
        <v>0.69901315789473684</v>
      </c>
      <c r="W333" s="402">
        <f t="shared" si="17"/>
        <v>0.69901315789473684</v>
      </c>
      <c r="X333" s="402">
        <f t="shared" si="17"/>
        <v>0.69901315789473684</v>
      </c>
      <c r="Y333" s="402">
        <f t="shared" si="17"/>
        <v>0.69901315789473684</v>
      </c>
      <c r="Z333" s="402">
        <f t="shared" si="17"/>
        <v>0.69901315789473684</v>
      </c>
      <c r="AA333" s="402">
        <f t="shared" si="17"/>
        <v>0.69901315789473684</v>
      </c>
      <c r="AB333" s="402">
        <f t="shared" si="17"/>
        <v>0.69901315789473684</v>
      </c>
      <c r="AC333" s="402">
        <f t="shared" si="17"/>
        <v>0.69901315789473684</v>
      </c>
      <c r="AD333" s="402">
        <f t="shared" si="17"/>
        <v>0.69901315789473684</v>
      </c>
      <c r="AE333" s="402">
        <f t="shared" si="17"/>
        <v>0.69901315789473684</v>
      </c>
      <c r="AF333" s="402">
        <f t="shared" si="17"/>
        <v>0.69901315789473684</v>
      </c>
      <c r="AG333" s="402">
        <f t="shared" si="17"/>
        <v>0.69901315789473684</v>
      </c>
      <c r="AH333" s="402">
        <f t="shared" si="17"/>
        <v>0.69901315789473684</v>
      </c>
      <c r="AI333" s="402">
        <f t="shared" si="17"/>
        <v>0.69901315789473684</v>
      </c>
      <c r="AJ333" s="402">
        <f t="shared" si="17"/>
        <v>0.69901315789473684</v>
      </c>
      <c r="AK333" s="402">
        <f t="shared" si="17"/>
        <v>0.69901315789473684</v>
      </c>
      <c r="AL333" s="402">
        <f t="shared" si="17"/>
        <v>0.69901315789473684</v>
      </c>
      <c r="AM333" s="402">
        <f t="shared" si="17"/>
        <v>0.69901315789473684</v>
      </c>
      <c r="AN333" s="402">
        <f t="shared" si="17"/>
        <v>0.69901315789473684</v>
      </c>
      <c r="AO333" s="402">
        <f t="shared" si="17"/>
        <v>0.69901315789473684</v>
      </c>
      <c r="AP333" s="402">
        <f t="shared" si="17"/>
        <v>0.69901315789473684</v>
      </c>
      <c r="AQ333" s="402">
        <f t="shared" si="17"/>
        <v>0.69901315789473684</v>
      </c>
      <c r="AR333" s="402">
        <f t="shared" si="17"/>
        <v>0.69901315789473684</v>
      </c>
      <c r="AS333" s="402">
        <f t="shared" si="17"/>
        <v>0.69901315789473684</v>
      </c>
      <c r="AT333" s="402">
        <f t="shared" si="17"/>
        <v>0.69901315789473684</v>
      </c>
      <c r="AU333" s="402">
        <f t="shared" si="17"/>
        <v>0.69901315789473684</v>
      </c>
      <c r="AV333" s="402">
        <f t="shared" si="17"/>
        <v>0.69901315789473684</v>
      </c>
      <c r="AW333" s="402">
        <f t="shared" si="17"/>
        <v>0.69901315789473684</v>
      </c>
    </row>
    <row r="334" spans="1:49" x14ac:dyDescent="0.2">
      <c r="A334" s="766"/>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c r="AU334" s="402"/>
      <c r="AV334" s="402"/>
      <c r="AW334" s="402"/>
    </row>
    <row r="335" spans="1:49" x14ac:dyDescent="0.2">
      <c r="A335" s="765" t="s">
        <v>466</v>
      </c>
      <c r="B335" s="402"/>
      <c r="C335" s="402">
        <f>SUM(C330-B330)*-1</f>
        <v>8.3526413345690442E-2</v>
      </c>
      <c r="D335" s="402">
        <f>SUM(D330-C330)*-1</f>
        <v>9.6153846153845812E-4</v>
      </c>
      <c r="E335" s="402">
        <f>SUM(E330-D330)*-1</f>
        <v>0.17765151515151512</v>
      </c>
      <c r="F335" s="402">
        <f t="shared" ref="F335:W335" si="18">SUM(F330-E330)</f>
        <v>0.20265151515151514</v>
      </c>
      <c r="G335" s="402">
        <f t="shared" si="18"/>
        <v>2.3026315789473673E-2</v>
      </c>
      <c r="H335" s="402">
        <f t="shared" si="18"/>
        <v>0.11901913875598091</v>
      </c>
      <c r="I335" s="402">
        <f>SUM(I330-H330)*-1</f>
        <v>7.1650717703349187E-2</v>
      </c>
      <c r="J335" s="402">
        <f>SUM(J330-I330)*-1</f>
        <v>8.6894736842105358E-2</v>
      </c>
      <c r="K335" s="402">
        <f t="shared" si="18"/>
        <v>0.10172727272727267</v>
      </c>
      <c r="L335" s="402">
        <f>SUM(L330-K330)*-1</f>
        <v>0.12272727272727268</v>
      </c>
      <c r="M335" s="402">
        <f t="shared" si="18"/>
        <v>6.25E-2</v>
      </c>
      <c r="N335" s="402">
        <f t="shared" si="18"/>
        <v>1.0391566265060215E-2</v>
      </c>
      <c r="O335" s="402">
        <f>SUM(O330-N330)*-1</f>
        <v>8.1587218438973319E-2</v>
      </c>
      <c r="P335" s="402">
        <f t="shared" si="18"/>
        <v>0.19202898550724656</v>
      </c>
      <c r="Q335" s="402">
        <f>SUM(Q330-P330)*-1</f>
        <v>4.7619047619047783E-2</v>
      </c>
      <c r="R335" s="402">
        <f t="shared" si="18"/>
        <v>4.9902152641878694E-2</v>
      </c>
      <c r="S335" s="402">
        <f>SUM(S330-R330)*-1</f>
        <v>1.1440614180340258E-2</v>
      </c>
      <c r="T335" s="402">
        <f>SUM(T330-S330)*-1</f>
        <v>0.1358641358641357</v>
      </c>
      <c r="U335" s="402">
        <f t="shared" si="18"/>
        <v>0.16695146958304841</v>
      </c>
      <c r="V335" s="402">
        <f>SUM(V330-U330)*-1</f>
        <v>0.17257085020242913</v>
      </c>
      <c r="W335" s="402">
        <f t="shared" si="18"/>
        <v>8.9459591041869624E-2</v>
      </c>
      <c r="X335" s="402">
        <f>SUM(X330-W330)</f>
        <v>3.3818250519554005E-2</v>
      </c>
      <c r="Y335" s="402">
        <f>SUM(Y330-X330)</f>
        <v>6.2161718878136818E-2</v>
      </c>
      <c r="Z335" s="402">
        <f>SUM(Z330-Y330)*-1</f>
        <v>0.18208535650396118</v>
      </c>
      <c r="AA335" s="402">
        <f>SUM(AA330-Z330)</f>
        <v>0.10603269629288514</v>
      </c>
      <c r="AB335" s="402">
        <f>SUM(AB330-AA330)</f>
        <v>1.6431430377080058E-2</v>
      </c>
      <c r="AC335" s="402">
        <f>SUM(AC330-AB330)</f>
        <v>3.2540675844807687E-3</v>
      </c>
      <c r="AD335" s="402">
        <f>SUM(AD330-AC330)*-1</f>
        <v>3.3986928104575043E-2</v>
      </c>
      <c r="AE335" s="402">
        <f>SUM(AE330-AD330)</f>
        <v>3.1045751633986929E-2</v>
      </c>
      <c r="AF335" s="402">
        <f>SUM(AF330-AE330)*-1</f>
        <v>2.9753761969904313E-2</v>
      </c>
      <c r="AG335" s="402"/>
      <c r="AH335" s="402"/>
      <c r="AI335" s="402"/>
      <c r="AJ335" s="402"/>
      <c r="AK335" s="402"/>
      <c r="AL335" s="402"/>
      <c r="AM335" s="402"/>
      <c r="AN335" s="402"/>
      <c r="AO335" s="402"/>
      <c r="AP335" s="402"/>
      <c r="AQ335" s="402"/>
      <c r="AR335" s="402"/>
      <c r="AS335" s="402"/>
      <c r="AT335" s="402"/>
      <c r="AU335" s="402"/>
      <c r="AV335" s="402"/>
      <c r="AW335" s="402"/>
    </row>
    <row r="336" spans="1:49" ht="21.75" x14ac:dyDescent="0.2">
      <c r="A336" s="768" t="s">
        <v>469</v>
      </c>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c r="AU336" s="402"/>
      <c r="AV336" s="402"/>
      <c r="AW336" s="402"/>
    </row>
    <row r="337" spans="1:49" x14ac:dyDescent="0.2">
      <c r="A337" s="688" t="s">
        <v>468</v>
      </c>
      <c r="B337" s="402">
        <f t="shared" ref="B337:AW337" si="19">AVERAGE($B$330:$AW$330)</f>
        <v>0.74610066964745669</v>
      </c>
      <c r="C337" s="402">
        <f t="shared" si="19"/>
        <v>0.74610066964745669</v>
      </c>
      <c r="D337" s="402">
        <f t="shared" si="19"/>
        <v>0.74610066964745669</v>
      </c>
      <c r="E337" s="402">
        <f t="shared" si="19"/>
        <v>0.74610066964745669</v>
      </c>
      <c r="F337" s="402">
        <f t="shared" si="19"/>
        <v>0.74610066964745669</v>
      </c>
      <c r="G337" s="402">
        <f t="shared" si="19"/>
        <v>0.74610066964745669</v>
      </c>
      <c r="H337" s="402">
        <f t="shared" si="19"/>
        <v>0.74610066964745669</v>
      </c>
      <c r="I337" s="402">
        <f t="shared" si="19"/>
        <v>0.74610066964745669</v>
      </c>
      <c r="J337" s="402">
        <f t="shared" si="19"/>
        <v>0.74610066964745669</v>
      </c>
      <c r="K337" s="402">
        <f t="shared" si="19"/>
        <v>0.74610066964745669</v>
      </c>
      <c r="L337" s="402">
        <f t="shared" si="19"/>
        <v>0.74610066964745669</v>
      </c>
      <c r="M337" s="402">
        <f t="shared" si="19"/>
        <v>0.74610066964745669</v>
      </c>
      <c r="N337" s="402">
        <f t="shared" si="19"/>
        <v>0.74610066964745669</v>
      </c>
      <c r="O337" s="402">
        <f t="shared" si="19"/>
        <v>0.74610066964745669</v>
      </c>
      <c r="P337" s="402">
        <f t="shared" si="19"/>
        <v>0.74610066964745669</v>
      </c>
      <c r="Q337" s="402">
        <f t="shared" si="19"/>
        <v>0.74610066964745669</v>
      </c>
      <c r="R337" s="402">
        <f t="shared" si="19"/>
        <v>0.74610066964745669</v>
      </c>
      <c r="S337" s="402">
        <f t="shared" si="19"/>
        <v>0.74610066964745669</v>
      </c>
      <c r="T337" s="402">
        <f t="shared" si="19"/>
        <v>0.74610066964745669</v>
      </c>
      <c r="U337" s="402">
        <f t="shared" si="19"/>
        <v>0.74610066964745669</v>
      </c>
      <c r="V337" s="402">
        <f t="shared" si="19"/>
        <v>0.74610066964745669</v>
      </c>
      <c r="W337" s="402">
        <f t="shared" si="19"/>
        <v>0.74610066964745669</v>
      </c>
      <c r="X337" s="402">
        <f t="shared" si="19"/>
        <v>0.74610066964745669</v>
      </c>
      <c r="Y337" s="402">
        <f t="shared" si="19"/>
        <v>0.74610066964745669</v>
      </c>
      <c r="Z337" s="402">
        <f t="shared" si="19"/>
        <v>0.74610066964745669</v>
      </c>
      <c r="AA337" s="402">
        <f t="shared" si="19"/>
        <v>0.74610066964745669</v>
      </c>
      <c r="AB337" s="402">
        <f t="shared" si="19"/>
        <v>0.74610066964745669</v>
      </c>
      <c r="AC337" s="402">
        <f t="shared" si="19"/>
        <v>0.74610066964745669</v>
      </c>
      <c r="AD337" s="402">
        <f t="shared" si="19"/>
        <v>0.74610066964745669</v>
      </c>
      <c r="AE337" s="402">
        <f t="shared" si="19"/>
        <v>0.74610066964745669</v>
      </c>
      <c r="AF337" s="402">
        <f t="shared" si="19"/>
        <v>0.74610066964745669</v>
      </c>
      <c r="AG337" s="402">
        <f t="shared" si="19"/>
        <v>0.74610066964745669</v>
      </c>
      <c r="AH337" s="402">
        <f t="shared" si="19"/>
        <v>0.74610066964745669</v>
      </c>
      <c r="AI337" s="402">
        <f t="shared" si="19"/>
        <v>0.74610066964745669</v>
      </c>
      <c r="AJ337" s="402">
        <f t="shared" si="19"/>
        <v>0.74610066964745669</v>
      </c>
      <c r="AK337" s="402">
        <f t="shared" si="19"/>
        <v>0.74610066964745669</v>
      </c>
      <c r="AL337" s="402">
        <f t="shared" si="19"/>
        <v>0.74610066964745669</v>
      </c>
      <c r="AM337" s="402">
        <f t="shared" si="19"/>
        <v>0.74610066964745669</v>
      </c>
      <c r="AN337" s="402">
        <f t="shared" si="19"/>
        <v>0.74610066964745669</v>
      </c>
      <c r="AO337" s="402">
        <f t="shared" si="19"/>
        <v>0.74610066964745669</v>
      </c>
      <c r="AP337" s="402">
        <f t="shared" si="19"/>
        <v>0.74610066964745669</v>
      </c>
      <c r="AQ337" s="402">
        <f t="shared" si="19"/>
        <v>0.74610066964745669</v>
      </c>
      <c r="AR337" s="402">
        <f t="shared" si="19"/>
        <v>0.74610066964745669</v>
      </c>
      <c r="AS337" s="402">
        <f t="shared" si="19"/>
        <v>0.74610066964745669</v>
      </c>
      <c r="AT337" s="402">
        <f t="shared" si="19"/>
        <v>0.74610066964745669</v>
      </c>
      <c r="AU337" s="402">
        <f t="shared" si="19"/>
        <v>0.74610066964745669</v>
      </c>
      <c r="AV337" s="402">
        <f t="shared" si="19"/>
        <v>0.74610066964745669</v>
      </c>
      <c r="AW337" s="402">
        <f t="shared" si="19"/>
        <v>0.74610066964745669</v>
      </c>
    </row>
    <row r="338" spans="1:49" x14ac:dyDescent="0.2">
      <c r="A338" s="765" t="s">
        <v>467</v>
      </c>
      <c r="B338" s="402">
        <f t="shared" ref="B338:AW338" si="20">SUM($C$335:$AW$335)/22</f>
        <v>0.11403281953928671</v>
      </c>
      <c r="C338" s="402">
        <f t="shared" si="20"/>
        <v>0.11403281953928671</v>
      </c>
      <c r="D338" s="402">
        <f t="shared" si="20"/>
        <v>0.11403281953928671</v>
      </c>
      <c r="E338" s="402">
        <f t="shared" si="20"/>
        <v>0.11403281953928671</v>
      </c>
      <c r="F338" s="402">
        <f t="shared" si="20"/>
        <v>0.11403281953928671</v>
      </c>
      <c r="G338" s="402">
        <f t="shared" si="20"/>
        <v>0.11403281953928671</v>
      </c>
      <c r="H338" s="402">
        <f t="shared" si="20"/>
        <v>0.11403281953928671</v>
      </c>
      <c r="I338" s="402">
        <f t="shared" si="20"/>
        <v>0.11403281953928671</v>
      </c>
      <c r="J338" s="402">
        <f t="shared" si="20"/>
        <v>0.11403281953928671</v>
      </c>
      <c r="K338" s="402">
        <f t="shared" si="20"/>
        <v>0.11403281953928671</v>
      </c>
      <c r="L338" s="402">
        <f t="shared" si="20"/>
        <v>0.11403281953928671</v>
      </c>
      <c r="M338" s="402">
        <f t="shared" si="20"/>
        <v>0.11403281953928671</v>
      </c>
      <c r="N338" s="402">
        <f t="shared" si="20"/>
        <v>0.11403281953928671</v>
      </c>
      <c r="O338" s="402">
        <f t="shared" si="20"/>
        <v>0.11403281953928671</v>
      </c>
      <c r="P338" s="402">
        <f t="shared" si="20"/>
        <v>0.11403281953928671</v>
      </c>
      <c r="Q338" s="402">
        <f t="shared" si="20"/>
        <v>0.11403281953928671</v>
      </c>
      <c r="R338" s="402">
        <f t="shared" si="20"/>
        <v>0.11403281953928671</v>
      </c>
      <c r="S338" s="402">
        <f t="shared" si="20"/>
        <v>0.11403281953928671</v>
      </c>
      <c r="T338" s="402">
        <f t="shared" si="20"/>
        <v>0.11403281953928671</v>
      </c>
      <c r="U338" s="402">
        <f t="shared" si="20"/>
        <v>0.11403281953928671</v>
      </c>
      <c r="V338" s="402">
        <f t="shared" si="20"/>
        <v>0.11403281953928671</v>
      </c>
      <c r="W338" s="402">
        <f t="shared" si="20"/>
        <v>0.11403281953928671</v>
      </c>
      <c r="X338" s="402">
        <f t="shared" si="20"/>
        <v>0.11403281953928671</v>
      </c>
      <c r="Y338" s="402">
        <f t="shared" si="20"/>
        <v>0.11403281953928671</v>
      </c>
      <c r="Z338" s="402">
        <f t="shared" si="20"/>
        <v>0.11403281953928671</v>
      </c>
      <c r="AA338" s="402">
        <f t="shared" si="20"/>
        <v>0.11403281953928671</v>
      </c>
      <c r="AB338" s="402">
        <f t="shared" si="20"/>
        <v>0.11403281953928671</v>
      </c>
      <c r="AC338" s="402">
        <f t="shared" si="20"/>
        <v>0.11403281953928671</v>
      </c>
      <c r="AD338" s="402">
        <f t="shared" si="20"/>
        <v>0.11403281953928671</v>
      </c>
      <c r="AE338" s="402">
        <f t="shared" si="20"/>
        <v>0.11403281953928671</v>
      </c>
      <c r="AF338" s="402">
        <f t="shared" si="20"/>
        <v>0.11403281953928671</v>
      </c>
      <c r="AG338" s="402">
        <f t="shared" si="20"/>
        <v>0.11403281953928671</v>
      </c>
      <c r="AH338" s="402">
        <f t="shared" si="20"/>
        <v>0.11403281953928671</v>
      </c>
      <c r="AI338" s="402">
        <f t="shared" si="20"/>
        <v>0.11403281953928671</v>
      </c>
      <c r="AJ338" s="402">
        <f t="shared" si="20"/>
        <v>0.11403281953928671</v>
      </c>
      <c r="AK338" s="402">
        <f t="shared" si="20"/>
        <v>0.11403281953928671</v>
      </c>
      <c r="AL338" s="402">
        <f t="shared" si="20"/>
        <v>0.11403281953928671</v>
      </c>
      <c r="AM338" s="402">
        <f t="shared" si="20"/>
        <v>0.11403281953928671</v>
      </c>
      <c r="AN338" s="402">
        <f t="shared" si="20"/>
        <v>0.11403281953928671</v>
      </c>
      <c r="AO338" s="402">
        <f t="shared" si="20"/>
        <v>0.11403281953928671</v>
      </c>
      <c r="AP338" s="402">
        <f t="shared" si="20"/>
        <v>0.11403281953928671</v>
      </c>
      <c r="AQ338" s="402">
        <f t="shared" si="20"/>
        <v>0.11403281953928671</v>
      </c>
      <c r="AR338" s="402">
        <f t="shared" si="20"/>
        <v>0.11403281953928671</v>
      </c>
      <c r="AS338" s="402">
        <f t="shared" si="20"/>
        <v>0.11403281953928671</v>
      </c>
      <c r="AT338" s="402">
        <f t="shared" si="20"/>
        <v>0.11403281953928671</v>
      </c>
      <c r="AU338" s="402">
        <f t="shared" si="20"/>
        <v>0.11403281953928671</v>
      </c>
      <c r="AV338" s="402">
        <f t="shared" si="20"/>
        <v>0.11403281953928671</v>
      </c>
      <c r="AW338" s="402">
        <f t="shared" si="20"/>
        <v>0.11403281953928671</v>
      </c>
    </row>
    <row r="339" spans="1:49" ht="25.5" x14ac:dyDescent="0.2">
      <c r="A339" s="765" t="s">
        <v>470</v>
      </c>
      <c r="B339" s="402">
        <f t="shared" ref="B339:AW339" si="21">$B$338/1.128</f>
        <v>0.10109292512348113</v>
      </c>
      <c r="C339" s="402">
        <f t="shared" si="21"/>
        <v>0.10109292512348113</v>
      </c>
      <c r="D339" s="402">
        <f t="shared" si="21"/>
        <v>0.10109292512348113</v>
      </c>
      <c r="E339" s="402">
        <f t="shared" si="21"/>
        <v>0.10109292512348113</v>
      </c>
      <c r="F339" s="402">
        <f t="shared" si="21"/>
        <v>0.10109292512348113</v>
      </c>
      <c r="G339" s="402">
        <f t="shared" si="21"/>
        <v>0.10109292512348113</v>
      </c>
      <c r="H339" s="402">
        <f t="shared" si="21"/>
        <v>0.10109292512348113</v>
      </c>
      <c r="I339" s="402">
        <f t="shared" si="21"/>
        <v>0.10109292512348113</v>
      </c>
      <c r="J339" s="402">
        <f t="shared" si="21"/>
        <v>0.10109292512348113</v>
      </c>
      <c r="K339" s="402">
        <f t="shared" si="21"/>
        <v>0.10109292512348113</v>
      </c>
      <c r="L339" s="402">
        <f t="shared" si="21"/>
        <v>0.10109292512348113</v>
      </c>
      <c r="M339" s="402">
        <f t="shared" si="21"/>
        <v>0.10109292512348113</v>
      </c>
      <c r="N339" s="402">
        <f t="shared" si="21"/>
        <v>0.10109292512348113</v>
      </c>
      <c r="O339" s="402">
        <f t="shared" si="21"/>
        <v>0.10109292512348113</v>
      </c>
      <c r="P339" s="402">
        <f t="shared" si="21"/>
        <v>0.10109292512348113</v>
      </c>
      <c r="Q339" s="402">
        <f t="shared" si="21"/>
        <v>0.10109292512348113</v>
      </c>
      <c r="R339" s="402">
        <f t="shared" si="21"/>
        <v>0.10109292512348113</v>
      </c>
      <c r="S339" s="402">
        <f t="shared" si="21"/>
        <v>0.10109292512348113</v>
      </c>
      <c r="T339" s="402">
        <f t="shared" si="21"/>
        <v>0.10109292512348113</v>
      </c>
      <c r="U339" s="402">
        <f t="shared" si="21"/>
        <v>0.10109292512348113</v>
      </c>
      <c r="V339" s="402">
        <f t="shared" si="21"/>
        <v>0.10109292512348113</v>
      </c>
      <c r="W339" s="402">
        <f t="shared" si="21"/>
        <v>0.10109292512348113</v>
      </c>
      <c r="X339" s="402">
        <f t="shared" si="21"/>
        <v>0.10109292512348113</v>
      </c>
      <c r="Y339" s="402">
        <f t="shared" si="21"/>
        <v>0.10109292512348113</v>
      </c>
      <c r="Z339" s="402">
        <f t="shared" si="21"/>
        <v>0.10109292512348113</v>
      </c>
      <c r="AA339" s="402">
        <f t="shared" si="21"/>
        <v>0.10109292512348113</v>
      </c>
      <c r="AB339" s="402">
        <f t="shared" si="21"/>
        <v>0.10109292512348113</v>
      </c>
      <c r="AC339" s="402">
        <f t="shared" si="21"/>
        <v>0.10109292512348113</v>
      </c>
      <c r="AD339" s="402">
        <f t="shared" si="21"/>
        <v>0.10109292512348113</v>
      </c>
      <c r="AE339" s="402">
        <f t="shared" si="21"/>
        <v>0.10109292512348113</v>
      </c>
      <c r="AF339" s="402">
        <f t="shared" si="21"/>
        <v>0.10109292512348113</v>
      </c>
      <c r="AG339" s="402">
        <f t="shared" si="21"/>
        <v>0.10109292512348113</v>
      </c>
      <c r="AH339" s="402">
        <f t="shared" si="21"/>
        <v>0.10109292512348113</v>
      </c>
      <c r="AI339" s="402">
        <f t="shared" si="21"/>
        <v>0.10109292512348113</v>
      </c>
      <c r="AJ339" s="402">
        <f t="shared" si="21"/>
        <v>0.10109292512348113</v>
      </c>
      <c r="AK339" s="402">
        <f t="shared" si="21"/>
        <v>0.10109292512348113</v>
      </c>
      <c r="AL339" s="402">
        <f t="shared" si="21"/>
        <v>0.10109292512348113</v>
      </c>
      <c r="AM339" s="402">
        <f t="shared" si="21"/>
        <v>0.10109292512348113</v>
      </c>
      <c r="AN339" s="402">
        <f t="shared" si="21"/>
        <v>0.10109292512348113</v>
      </c>
      <c r="AO339" s="402">
        <f t="shared" si="21"/>
        <v>0.10109292512348113</v>
      </c>
      <c r="AP339" s="402">
        <f t="shared" si="21"/>
        <v>0.10109292512348113</v>
      </c>
      <c r="AQ339" s="402">
        <f t="shared" si="21"/>
        <v>0.10109292512348113</v>
      </c>
      <c r="AR339" s="402">
        <f t="shared" si="21"/>
        <v>0.10109292512348113</v>
      </c>
      <c r="AS339" s="402">
        <f t="shared" si="21"/>
        <v>0.10109292512348113</v>
      </c>
      <c r="AT339" s="402">
        <f t="shared" si="21"/>
        <v>0.10109292512348113</v>
      </c>
      <c r="AU339" s="402">
        <f t="shared" si="21"/>
        <v>0.10109292512348113</v>
      </c>
      <c r="AV339" s="402">
        <f t="shared" si="21"/>
        <v>0.10109292512348113</v>
      </c>
      <c r="AW339" s="402">
        <f t="shared" si="21"/>
        <v>0.10109292512348113</v>
      </c>
    </row>
    <row r="340" spans="1:49" x14ac:dyDescent="0.2">
      <c r="A340" s="765" t="s">
        <v>473</v>
      </c>
      <c r="B340" s="402">
        <f t="shared" ref="B340:AW340" si="22">$B$337+ (3*$B$339)</f>
        <v>1.0493794450179001</v>
      </c>
      <c r="C340" s="402">
        <f t="shared" si="22"/>
        <v>1.0493794450179001</v>
      </c>
      <c r="D340" s="402">
        <f t="shared" si="22"/>
        <v>1.0493794450179001</v>
      </c>
      <c r="E340" s="402">
        <f t="shared" si="22"/>
        <v>1.0493794450179001</v>
      </c>
      <c r="F340" s="402">
        <f t="shared" si="22"/>
        <v>1.0493794450179001</v>
      </c>
      <c r="G340" s="402">
        <f t="shared" si="22"/>
        <v>1.0493794450179001</v>
      </c>
      <c r="H340" s="402">
        <f t="shared" si="22"/>
        <v>1.0493794450179001</v>
      </c>
      <c r="I340" s="402">
        <f t="shared" si="22"/>
        <v>1.0493794450179001</v>
      </c>
      <c r="J340" s="402">
        <f t="shared" si="22"/>
        <v>1.0493794450179001</v>
      </c>
      <c r="K340" s="402">
        <f t="shared" si="22"/>
        <v>1.0493794450179001</v>
      </c>
      <c r="L340" s="402">
        <f t="shared" si="22"/>
        <v>1.0493794450179001</v>
      </c>
      <c r="M340" s="402">
        <f t="shared" si="22"/>
        <v>1.0493794450179001</v>
      </c>
      <c r="N340" s="402">
        <f t="shared" si="22"/>
        <v>1.0493794450179001</v>
      </c>
      <c r="O340" s="402">
        <f t="shared" si="22"/>
        <v>1.0493794450179001</v>
      </c>
      <c r="P340" s="402">
        <f t="shared" si="22"/>
        <v>1.0493794450179001</v>
      </c>
      <c r="Q340" s="402">
        <f t="shared" si="22"/>
        <v>1.0493794450179001</v>
      </c>
      <c r="R340" s="402">
        <f t="shared" si="22"/>
        <v>1.0493794450179001</v>
      </c>
      <c r="S340" s="402">
        <f t="shared" si="22"/>
        <v>1.0493794450179001</v>
      </c>
      <c r="T340" s="402">
        <f t="shared" si="22"/>
        <v>1.0493794450179001</v>
      </c>
      <c r="U340" s="402">
        <f t="shared" si="22"/>
        <v>1.0493794450179001</v>
      </c>
      <c r="V340" s="402">
        <f t="shared" si="22"/>
        <v>1.0493794450179001</v>
      </c>
      <c r="W340" s="402">
        <f t="shared" si="22"/>
        <v>1.0493794450179001</v>
      </c>
      <c r="X340" s="402">
        <f t="shared" si="22"/>
        <v>1.0493794450179001</v>
      </c>
      <c r="Y340" s="402">
        <f t="shared" si="22"/>
        <v>1.0493794450179001</v>
      </c>
      <c r="Z340" s="402">
        <f t="shared" si="22"/>
        <v>1.0493794450179001</v>
      </c>
      <c r="AA340" s="402">
        <f t="shared" si="22"/>
        <v>1.0493794450179001</v>
      </c>
      <c r="AB340" s="402">
        <f t="shared" si="22"/>
        <v>1.0493794450179001</v>
      </c>
      <c r="AC340" s="402">
        <f t="shared" si="22"/>
        <v>1.0493794450179001</v>
      </c>
      <c r="AD340" s="402">
        <f t="shared" si="22"/>
        <v>1.0493794450179001</v>
      </c>
      <c r="AE340" s="402">
        <f t="shared" si="22"/>
        <v>1.0493794450179001</v>
      </c>
      <c r="AF340" s="402">
        <f t="shared" si="22"/>
        <v>1.0493794450179001</v>
      </c>
      <c r="AG340" s="402">
        <f t="shared" si="22"/>
        <v>1.0493794450179001</v>
      </c>
      <c r="AH340" s="402">
        <f t="shared" si="22"/>
        <v>1.0493794450179001</v>
      </c>
      <c r="AI340" s="402">
        <f t="shared" si="22"/>
        <v>1.0493794450179001</v>
      </c>
      <c r="AJ340" s="402">
        <f t="shared" si="22"/>
        <v>1.0493794450179001</v>
      </c>
      <c r="AK340" s="402">
        <f t="shared" si="22"/>
        <v>1.0493794450179001</v>
      </c>
      <c r="AL340" s="402">
        <f t="shared" si="22"/>
        <v>1.0493794450179001</v>
      </c>
      <c r="AM340" s="402">
        <f t="shared" si="22"/>
        <v>1.0493794450179001</v>
      </c>
      <c r="AN340" s="402">
        <f t="shared" si="22"/>
        <v>1.0493794450179001</v>
      </c>
      <c r="AO340" s="402">
        <f t="shared" si="22"/>
        <v>1.0493794450179001</v>
      </c>
      <c r="AP340" s="402">
        <f t="shared" si="22"/>
        <v>1.0493794450179001</v>
      </c>
      <c r="AQ340" s="402">
        <f t="shared" si="22"/>
        <v>1.0493794450179001</v>
      </c>
      <c r="AR340" s="402">
        <f t="shared" si="22"/>
        <v>1.0493794450179001</v>
      </c>
      <c r="AS340" s="402">
        <f t="shared" si="22"/>
        <v>1.0493794450179001</v>
      </c>
      <c r="AT340" s="402">
        <f t="shared" si="22"/>
        <v>1.0493794450179001</v>
      </c>
      <c r="AU340" s="402">
        <f t="shared" si="22"/>
        <v>1.0493794450179001</v>
      </c>
      <c r="AV340" s="402">
        <f t="shared" si="22"/>
        <v>1.0493794450179001</v>
      </c>
      <c r="AW340" s="402">
        <f t="shared" si="22"/>
        <v>1.0493794450179001</v>
      </c>
    </row>
    <row r="341" spans="1:49" x14ac:dyDescent="0.2">
      <c r="A341" s="765" t="s">
        <v>475</v>
      </c>
      <c r="B341" s="402">
        <f t="shared" ref="B341:AW341" si="23">$B$337- (3*$B$339)</f>
        <v>0.44282189427701329</v>
      </c>
      <c r="C341" s="402">
        <f t="shared" si="23"/>
        <v>0.44282189427701329</v>
      </c>
      <c r="D341" s="402">
        <f t="shared" si="23"/>
        <v>0.44282189427701329</v>
      </c>
      <c r="E341" s="402">
        <f t="shared" si="23"/>
        <v>0.44282189427701329</v>
      </c>
      <c r="F341" s="402">
        <f t="shared" si="23"/>
        <v>0.44282189427701329</v>
      </c>
      <c r="G341" s="402">
        <f t="shared" si="23"/>
        <v>0.44282189427701329</v>
      </c>
      <c r="H341" s="402">
        <f t="shared" si="23"/>
        <v>0.44282189427701329</v>
      </c>
      <c r="I341" s="402">
        <f t="shared" si="23"/>
        <v>0.44282189427701329</v>
      </c>
      <c r="J341" s="402">
        <f t="shared" si="23"/>
        <v>0.44282189427701329</v>
      </c>
      <c r="K341" s="402">
        <f t="shared" si="23"/>
        <v>0.44282189427701329</v>
      </c>
      <c r="L341" s="402">
        <f t="shared" si="23"/>
        <v>0.44282189427701329</v>
      </c>
      <c r="M341" s="402">
        <f t="shared" si="23"/>
        <v>0.44282189427701329</v>
      </c>
      <c r="N341" s="402">
        <f t="shared" si="23"/>
        <v>0.44282189427701329</v>
      </c>
      <c r="O341" s="402">
        <f t="shared" si="23"/>
        <v>0.44282189427701329</v>
      </c>
      <c r="P341" s="402">
        <f t="shared" si="23"/>
        <v>0.44282189427701329</v>
      </c>
      <c r="Q341" s="402">
        <f t="shared" si="23"/>
        <v>0.44282189427701329</v>
      </c>
      <c r="R341" s="402">
        <f t="shared" si="23"/>
        <v>0.44282189427701329</v>
      </c>
      <c r="S341" s="402">
        <f t="shared" si="23"/>
        <v>0.44282189427701329</v>
      </c>
      <c r="T341" s="402">
        <f t="shared" si="23"/>
        <v>0.44282189427701329</v>
      </c>
      <c r="U341" s="402">
        <f t="shared" si="23"/>
        <v>0.44282189427701329</v>
      </c>
      <c r="V341" s="402">
        <f t="shared" si="23"/>
        <v>0.44282189427701329</v>
      </c>
      <c r="W341" s="402">
        <f t="shared" si="23"/>
        <v>0.44282189427701329</v>
      </c>
      <c r="X341" s="402">
        <f t="shared" si="23"/>
        <v>0.44282189427701329</v>
      </c>
      <c r="Y341" s="402">
        <f t="shared" si="23"/>
        <v>0.44282189427701329</v>
      </c>
      <c r="Z341" s="402">
        <f t="shared" si="23"/>
        <v>0.44282189427701329</v>
      </c>
      <c r="AA341" s="402">
        <f t="shared" si="23"/>
        <v>0.44282189427701329</v>
      </c>
      <c r="AB341" s="402">
        <f t="shared" si="23"/>
        <v>0.44282189427701329</v>
      </c>
      <c r="AC341" s="402">
        <f t="shared" si="23"/>
        <v>0.44282189427701329</v>
      </c>
      <c r="AD341" s="402">
        <f t="shared" si="23"/>
        <v>0.44282189427701329</v>
      </c>
      <c r="AE341" s="402">
        <f t="shared" si="23"/>
        <v>0.44282189427701329</v>
      </c>
      <c r="AF341" s="402">
        <f t="shared" si="23"/>
        <v>0.44282189427701329</v>
      </c>
      <c r="AG341" s="402">
        <f t="shared" si="23"/>
        <v>0.44282189427701329</v>
      </c>
      <c r="AH341" s="402">
        <f t="shared" si="23"/>
        <v>0.44282189427701329</v>
      </c>
      <c r="AI341" s="402">
        <f t="shared" si="23"/>
        <v>0.44282189427701329</v>
      </c>
      <c r="AJ341" s="402">
        <f t="shared" si="23"/>
        <v>0.44282189427701329</v>
      </c>
      <c r="AK341" s="402">
        <f t="shared" si="23"/>
        <v>0.44282189427701329</v>
      </c>
      <c r="AL341" s="402">
        <f t="shared" si="23"/>
        <v>0.44282189427701329</v>
      </c>
      <c r="AM341" s="402">
        <f t="shared" si="23"/>
        <v>0.44282189427701329</v>
      </c>
      <c r="AN341" s="402">
        <f t="shared" si="23"/>
        <v>0.44282189427701329</v>
      </c>
      <c r="AO341" s="402">
        <f t="shared" si="23"/>
        <v>0.44282189427701329</v>
      </c>
      <c r="AP341" s="402">
        <f t="shared" si="23"/>
        <v>0.44282189427701329</v>
      </c>
      <c r="AQ341" s="402">
        <f t="shared" si="23"/>
        <v>0.44282189427701329</v>
      </c>
      <c r="AR341" s="402">
        <f t="shared" si="23"/>
        <v>0.44282189427701329</v>
      </c>
      <c r="AS341" s="402">
        <f t="shared" si="23"/>
        <v>0.44282189427701329</v>
      </c>
      <c r="AT341" s="402">
        <f t="shared" si="23"/>
        <v>0.44282189427701329</v>
      </c>
      <c r="AU341" s="402">
        <f t="shared" si="23"/>
        <v>0.44282189427701329</v>
      </c>
      <c r="AV341" s="402">
        <f t="shared" si="23"/>
        <v>0.44282189427701329</v>
      </c>
      <c r="AW341" s="402">
        <f t="shared" si="23"/>
        <v>0.44282189427701329</v>
      </c>
    </row>
    <row r="342" spans="1:49" ht="25.5" x14ac:dyDescent="0.2">
      <c r="A342" s="778" t="s">
        <v>486</v>
      </c>
      <c r="B342" s="755">
        <v>62</v>
      </c>
      <c r="C342" s="755">
        <v>69</v>
      </c>
      <c r="D342" s="756">
        <v>53</v>
      </c>
      <c r="E342" s="756">
        <v>32</v>
      </c>
      <c r="F342" s="756">
        <v>44</v>
      </c>
      <c r="G342" s="756">
        <v>54</v>
      </c>
      <c r="H342" s="756">
        <v>73</v>
      </c>
      <c r="I342" s="756">
        <v>72</v>
      </c>
      <c r="J342" s="756">
        <v>49</v>
      </c>
      <c r="K342" s="756">
        <v>68</v>
      </c>
      <c r="L342" s="756">
        <v>52</v>
      </c>
      <c r="M342" s="756">
        <v>57</v>
      </c>
      <c r="N342" s="756">
        <v>60</v>
      </c>
      <c r="O342" s="756">
        <v>59</v>
      </c>
      <c r="P342" s="756">
        <v>65</v>
      </c>
      <c r="Q342" s="756">
        <v>66</v>
      </c>
      <c r="R342" s="756">
        <v>61</v>
      </c>
      <c r="S342" s="756">
        <v>75</v>
      </c>
      <c r="T342" s="756">
        <v>53</v>
      </c>
      <c r="U342" s="756">
        <v>65</v>
      </c>
      <c r="V342" s="756">
        <v>71</v>
      </c>
      <c r="W342" s="756">
        <v>61</v>
      </c>
      <c r="X342" s="756">
        <v>54</v>
      </c>
      <c r="Y342" s="756">
        <v>79</v>
      </c>
      <c r="Z342" s="756">
        <v>59</v>
      </c>
      <c r="AA342" s="756">
        <v>80</v>
      </c>
      <c r="AB342" s="756">
        <v>76</v>
      </c>
      <c r="AC342" s="756">
        <v>69</v>
      </c>
      <c r="AD342" s="756">
        <v>56</v>
      </c>
      <c r="AE342" s="756">
        <v>55</v>
      </c>
      <c r="AF342" s="756">
        <v>67</v>
      </c>
      <c r="AG342" s="756"/>
      <c r="AH342" s="756"/>
      <c r="AI342" s="756"/>
      <c r="AJ342" s="756"/>
      <c r="AK342" s="756"/>
      <c r="AL342" s="756"/>
      <c r="AM342" s="756"/>
      <c r="AN342" s="756"/>
      <c r="AO342" s="756"/>
      <c r="AP342" s="756"/>
      <c r="AQ342" s="756"/>
      <c r="AR342" s="756"/>
      <c r="AS342" s="756"/>
      <c r="AT342" s="756"/>
      <c r="AU342" s="756"/>
      <c r="AV342" s="756"/>
      <c r="AW342" s="756"/>
    </row>
    <row r="343" spans="1:49" x14ac:dyDescent="0.2">
      <c r="A343" s="778" t="s">
        <v>466</v>
      </c>
      <c r="B343" s="756" t="s">
        <v>230</v>
      </c>
      <c r="C343" s="756">
        <f>SUM(C342-B342)</f>
        <v>7</v>
      </c>
      <c r="D343" s="756">
        <f>SUM(D342-C342)*-1</f>
        <v>16</v>
      </c>
      <c r="E343" s="756">
        <f>SUM(E342-D342)*-1</f>
        <v>21</v>
      </c>
      <c r="F343" s="756">
        <f t="shared" ref="F343:V343" si="24">SUM(F342-E342)</f>
        <v>12</v>
      </c>
      <c r="G343" s="756">
        <f t="shared" si="24"/>
        <v>10</v>
      </c>
      <c r="H343" s="756">
        <f t="shared" si="24"/>
        <v>19</v>
      </c>
      <c r="I343" s="756">
        <f>SUM(I342-H342)*-1</f>
        <v>1</v>
      </c>
      <c r="J343" s="756">
        <f>SUM(J342-I342)*-1</f>
        <v>23</v>
      </c>
      <c r="K343" s="756">
        <f t="shared" si="24"/>
        <v>19</v>
      </c>
      <c r="L343" s="756">
        <f>SUM(L342-K342)*-1</f>
        <v>16</v>
      </c>
      <c r="M343" s="756">
        <f t="shared" si="24"/>
        <v>5</v>
      </c>
      <c r="N343" s="756">
        <f t="shared" si="24"/>
        <v>3</v>
      </c>
      <c r="O343" s="756">
        <f>SUM(O342-N342)*-1</f>
        <v>1</v>
      </c>
      <c r="P343" s="756">
        <f t="shared" si="24"/>
        <v>6</v>
      </c>
      <c r="Q343" s="756">
        <f t="shared" si="24"/>
        <v>1</v>
      </c>
      <c r="R343" s="756">
        <f>SUM(R342-Q342)*-1</f>
        <v>5</v>
      </c>
      <c r="S343" s="756">
        <f t="shared" si="24"/>
        <v>14</v>
      </c>
      <c r="T343" s="756">
        <f>SUM(T342-S342)*-1</f>
        <v>22</v>
      </c>
      <c r="U343" s="756">
        <f t="shared" si="24"/>
        <v>12</v>
      </c>
      <c r="V343" s="756">
        <f t="shared" si="24"/>
        <v>6</v>
      </c>
      <c r="W343" s="756">
        <f>SUM(W342-V342)*-1</f>
        <v>10</v>
      </c>
      <c r="X343" s="756">
        <f>SUM(X342-W342)*-1</f>
        <v>7</v>
      </c>
      <c r="Y343" s="756">
        <f>SUM(Y342-X342)</f>
        <v>25</v>
      </c>
      <c r="Z343" s="756">
        <f>SUM(Z342-Y342)*-1</f>
        <v>20</v>
      </c>
      <c r="AA343" s="756">
        <f>SUM(AA342-Z342)</f>
        <v>21</v>
      </c>
      <c r="AB343" s="756">
        <f>SUM(AB342-AA342)*-1</f>
        <v>4</v>
      </c>
      <c r="AC343" s="756">
        <f>SUM(AC342-AB342)*-1</f>
        <v>7</v>
      </c>
      <c r="AD343" s="756">
        <f>SUM(AD342-AC342)*-1</f>
        <v>13</v>
      </c>
      <c r="AE343" s="756">
        <f>SUM(AE342-AD342)*-1</f>
        <v>1</v>
      </c>
      <c r="AF343" s="756">
        <f>SUM(AF342-AE342)</f>
        <v>12</v>
      </c>
      <c r="AG343" s="756"/>
      <c r="AH343" s="756"/>
      <c r="AI343" s="756"/>
      <c r="AJ343" s="756"/>
      <c r="AK343" s="756"/>
      <c r="AL343" s="756"/>
      <c r="AM343" s="756"/>
      <c r="AN343" s="756"/>
      <c r="AO343" s="756"/>
      <c r="AP343" s="756"/>
      <c r="AQ343" s="756"/>
      <c r="AR343" s="756"/>
      <c r="AS343" s="756"/>
      <c r="AT343" s="756"/>
      <c r="AU343" s="756"/>
      <c r="AV343" s="756"/>
      <c r="AW343" s="756"/>
    </row>
    <row r="344" spans="1:49" s="186" customFormat="1" ht="21.75" x14ac:dyDescent="0.2">
      <c r="A344" s="768" t="s">
        <v>469</v>
      </c>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row>
    <row r="345" spans="1:49" x14ac:dyDescent="0.2">
      <c r="A345" s="779" t="s">
        <v>468</v>
      </c>
      <c r="B345" s="755">
        <f t="shared" ref="B345:AW345" si="25">AVERAGE($B$342:$AW$342)</f>
        <v>61.806451612903224</v>
      </c>
      <c r="C345" s="755">
        <f t="shared" si="25"/>
        <v>61.806451612903224</v>
      </c>
      <c r="D345" s="755">
        <f t="shared" si="25"/>
        <v>61.806451612903224</v>
      </c>
      <c r="E345" s="755">
        <f t="shared" si="25"/>
        <v>61.806451612903224</v>
      </c>
      <c r="F345" s="755">
        <f t="shared" si="25"/>
        <v>61.806451612903224</v>
      </c>
      <c r="G345" s="755">
        <f t="shared" si="25"/>
        <v>61.806451612903224</v>
      </c>
      <c r="H345" s="755">
        <f t="shared" si="25"/>
        <v>61.806451612903224</v>
      </c>
      <c r="I345" s="755">
        <f t="shared" si="25"/>
        <v>61.806451612903224</v>
      </c>
      <c r="J345" s="755">
        <f t="shared" si="25"/>
        <v>61.806451612903224</v>
      </c>
      <c r="K345" s="755">
        <f t="shared" si="25"/>
        <v>61.806451612903224</v>
      </c>
      <c r="L345" s="755">
        <f t="shared" si="25"/>
        <v>61.806451612903224</v>
      </c>
      <c r="M345" s="755">
        <f t="shared" si="25"/>
        <v>61.806451612903224</v>
      </c>
      <c r="N345" s="755">
        <f t="shared" si="25"/>
        <v>61.806451612903224</v>
      </c>
      <c r="O345" s="755">
        <f t="shared" si="25"/>
        <v>61.806451612903224</v>
      </c>
      <c r="P345" s="755">
        <f t="shared" si="25"/>
        <v>61.806451612903224</v>
      </c>
      <c r="Q345" s="755">
        <f t="shared" si="25"/>
        <v>61.806451612903224</v>
      </c>
      <c r="R345" s="755">
        <f t="shared" si="25"/>
        <v>61.806451612903224</v>
      </c>
      <c r="S345" s="755">
        <f t="shared" si="25"/>
        <v>61.806451612903224</v>
      </c>
      <c r="T345" s="755">
        <f t="shared" si="25"/>
        <v>61.806451612903224</v>
      </c>
      <c r="U345" s="755">
        <f t="shared" si="25"/>
        <v>61.806451612903224</v>
      </c>
      <c r="V345" s="755">
        <f t="shared" si="25"/>
        <v>61.806451612903224</v>
      </c>
      <c r="W345" s="755">
        <f t="shared" si="25"/>
        <v>61.806451612903224</v>
      </c>
      <c r="X345" s="755">
        <f t="shared" si="25"/>
        <v>61.806451612903224</v>
      </c>
      <c r="Y345" s="755">
        <f t="shared" si="25"/>
        <v>61.806451612903224</v>
      </c>
      <c r="Z345" s="755">
        <f t="shared" si="25"/>
        <v>61.806451612903224</v>
      </c>
      <c r="AA345" s="755">
        <f t="shared" si="25"/>
        <v>61.806451612903224</v>
      </c>
      <c r="AB345" s="755">
        <f t="shared" si="25"/>
        <v>61.806451612903224</v>
      </c>
      <c r="AC345" s="755">
        <f t="shared" si="25"/>
        <v>61.806451612903224</v>
      </c>
      <c r="AD345" s="755">
        <f t="shared" si="25"/>
        <v>61.806451612903224</v>
      </c>
      <c r="AE345" s="755">
        <f t="shared" si="25"/>
        <v>61.806451612903224</v>
      </c>
      <c r="AF345" s="755">
        <f t="shared" si="25"/>
        <v>61.806451612903224</v>
      </c>
      <c r="AG345" s="755">
        <f t="shared" si="25"/>
        <v>61.806451612903224</v>
      </c>
      <c r="AH345" s="755">
        <f t="shared" si="25"/>
        <v>61.806451612903224</v>
      </c>
      <c r="AI345" s="755">
        <f t="shared" si="25"/>
        <v>61.806451612903224</v>
      </c>
      <c r="AJ345" s="755">
        <f t="shared" si="25"/>
        <v>61.806451612903224</v>
      </c>
      <c r="AK345" s="755">
        <f t="shared" si="25"/>
        <v>61.806451612903224</v>
      </c>
      <c r="AL345" s="755">
        <f t="shared" si="25"/>
        <v>61.806451612903224</v>
      </c>
      <c r="AM345" s="755">
        <f t="shared" si="25"/>
        <v>61.806451612903224</v>
      </c>
      <c r="AN345" s="755">
        <f t="shared" si="25"/>
        <v>61.806451612903224</v>
      </c>
      <c r="AO345" s="755">
        <f t="shared" si="25"/>
        <v>61.806451612903224</v>
      </c>
      <c r="AP345" s="755">
        <f t="shared" si="25"/>
        <v>61.806451612903224</v>
      </c>
      <c r="AQ345" s="755">
        <f t="shared" si="25"/>
        <v>61.806451612903224</v>
      </c>
      <c r="AR345" s="755">
        <f t="shared" si="25"/>
        <v>61.806451612903224</v>
      </c>
      <c r="AS345" s="755">
        <f t="shared" si="25"/>
        <v>61.806451612903224</v>
      </c>
      <c r="AT345" s="755">
        <f t="shared" si="25"/>
        <v>61.806451612903224</v>
      </c>
      <c r="AU345" s="755">
        <f t="shared" si="25"/>
        <v>61.806451612903224</v>
      </c>
      <c r="AV345" s="755">
        <f t="shared" si="25"/>
        <v>61.806451612903224</v>
      </c>
      <c r="AW345" s="755">
        <f t="shared" si="25"/>
        <v>61.806451612903224</v>
      </c>
    </row>
    <row r="346" spans="1:49" x14ac:dyDescent="0.2">
      <c r="A346" s="778" t="s">
        <v>467</v>
      </c>
      <c r="B346" s="755" t="s">
        <v>230</v>
      </c>
      <c r="C346" s="755">
        <f t="shared" ref="C346:AW346" si="26">SUM($C$343:$AW$343)/22</f>
        <v>15.409090909090908</v>
      </c>
      <c r="D346" s="755">
        <f t="shared" si="26"/>
        <v>15.409090909090908</v>
      </c>
      <c r="E346" s="755">
        <f t="shared" si="26"/>
        <v>15.409090909090908</v>
      </c>
      <c r="F346" s="755">
        <f t="shared" si="26"/>
        <v>15.409090909090908</v>
      </c>
      <c r="G346" s="755">
        <f t="shared" si="26"/>
        <v>15.409090909090908</v>
      </c>
      <c r="H346" s="755">
        <f t="shared" si="26"/>
        <v>15.409090909090908</v>
      </c>
      <c r="I346" s="755">
        <f t="shared" si="26"/>
        <v>15.409090909090908</v>
      </c>
      <c r="J346" s="755">
        <f t="shared" si="26"/>
        <v>15.409090909090908</v>
      </c>
      <c r="K346" s="755">
        <f t="shared" si="26"/>
        <v>15.409090909090908</v>
      </c>
      <c r="L346" s="755">
        <f t="shared" si="26"/>
        <v>15.409090909090908</v>
      </c>
      <c r="M346" s="755">
        <f t="shared" si="26"/>
        <v>15.409090909090908</v>
      </c>
      <c r="N346" s="755">
        <f t="shared" si="26"/>
        <v>15.409090909090908</v>
      </c>
      <c r="O346" s="755">
        <f t="shared" si="26"/>
        <v>15.409090909090908</v>
      </c>
      <c r="P346" s="755">
        <f t="shared" si="26"/>
        <v>15.409090909090908</v>
      </c>
      <c r="Q346" s="755">
        <f t="shared" si="26"/>
        <v>15.409090909090908</v>
      </c>
      <c r="R346" s="755">
        <f t="shared" si="26"/>
        <v>15.409090909090908</v>
      </c>
      <c r="S346" s="755">
        <f t="shared" si="26"/>
        <v>15.409090909090908</v>
      </c>
      <c r="T346" s="755">
        <f t="shared" si="26"/>
        <v>15.409090909090908</v>
      </c>
      <c r="U346" s="755">
        <f t="shared" si="26"/>
        <v>15.409090909090908</v>
      </c>
      <c r="V346" s="755">
        <f t="shared" si="26"/>
        <v>15.409090909090908</v>
      </c>
      <c r="W346" s="755">
        <f t="shared" si="26"/>
        <v>15.409090909090908</v>
      </c>
      <c r="X346" s="755">
        <f t="shared" si="26"/>
        <v>15.409090909090908</v>
      </c>
      <c r="Y346" s="755">
        <f t="shared" si="26"/>
        <v>15.409090909090908</v>
      </c>
      <c r="Z346" s="755">
        <f t="shared" si="26"/>
        <v>15.409090909090908</v>
      </c>
      <c r="AA346" s="755">
        <f t="shared" si="26"/>
        <v>15.409090909090908</v>
      </c>
      <c r="AB346" s="755">
        <f t="shared" si="26"/>
        <v>15.409090909090908</v>
      </c>
      <c r="AC346" s="755">
        <f t="shared" si="26"/>
        <v>15.409090909090908</v>
      </c>
      <c r="AD346" s="755">
        <f t="shared" si="26"/>
        <v>15.409090909090908</v>
      </c>
      <c r="AE346" s="755">
        <f t="shared" si="26"/>
        <v>15.409090909090908</v>
      </c>
      <c r="AF346" s="755">
        <f t="shared" si="26"/>
        <v>15.409090909090908</v>
      </c>
      <c r="AG346" s="755">
        <f t="shared" si="26"/>
        <v>15.409090909090908</v>
      </c>
      <c r="AH346" s="755">
        <f t="shared" si="26"/>
        <v>15.409090909090908</v>
      </c>
      <c r="AI346" s="755">
        <f t="shared" si="26"/>
        <v>15.409090909090908</v>
      </c>
      <c r="AJ346" s="755">
        <f t="shared" si="26"/>
        <v>15.409090909090908</v>
      </c>
      <c r="AK346" s="755">
        <f t="shared" si="26"/>
        <v>15.409090909090908</v>
      </c>
      <c r="AL346" s="755">
        <f t="shared" si="26"/>
        <v>15.409090909090908</v>
      </c>
      <c r="AM346" s="755">
        <f t="shared" si="26"/>
        <v>15.409090909090908</v>
      </c>
      <c r="AN346" s="755">
        <f t="shared" si="26"/>
        <v>15.409090909090908</v>
      </c>
      <c r="AO346" s="755">
        <f t="shared" si="26"/>
        <v>15.409090909090908</v>
      </c>
      <c r="AP346" s="755">
        <f t="shared" si="26"/>
        <v>15.409090909090908</v>
      </c>
      <c r="AQ346" s="755">
        <f t="shared" si="26"/>
        <v>15.409090909090908</v>
      </c>
      <c r="AR346" s="755">
        <f t="shared" si="26"/>
        <v>15.409090909090908</v>
      </c>
      <c r="AS346" s="755">
        <f t="shared" si="26"/>
        <v>15.409090909090908</v>
      </c>
      <c r="AT346" s="755">
        <f t="shared" si="26"/>
        <v>15.409090909090908</v>
      </c>
      <c r="AU346" s="755">
        <f t="shared" si="26"/>
        <v>15.409090909090908</v>
      </c>
      <c r="AV346" s="755">
        <f t="shared" si="26"/>
        <v>15.409090909090908</v>
      </c>
      <c r="AW346" s="755">
        <f t="shared" si="26"/>
        <v>15.409090909090908</v>
      </c>
    </row>
    <row r="347" spans="1:49" ht="25.5" x14ac:dyDescent="0.2">
      <c r="A347" s="778" t="s">
        <v>470</v>
      </c>
      <c r="B347" s="755">
        <f t="shared" ref="B347:AW347" si="27">SUM($C$346)/1.128</f>
        <v>13.660541586073501</v>
      </c>
      <c r="C347" s="755">
        <f t="shared" si="27"/>
        <v>13.660541586073501</v>
      </c>
      <c r="D347" s="755">
        <f t="shared" si="27"/>
        <v>13.660541586073501</v>
      </c>
      <c r="E347" s="755">
        <f t="shared" si="27"/>
        <v>13.660541586073501</v>
      </c>
      <c r="F347" s="755">
        <f t="shared" si="27"/>
        <v>13.660541586073501</v>
      </c>
      <c r="G347" s="755">
        <f t="shared" si="27"/>
        <v>13.660541586073501</v>
      </c>
      <c r="H347" s="755">
        <f t="shared" si="27"/>
        <v>13.660541586073501</v>
      </c>
      <c r="I347" s="755">
        <f t="shared" si="27"/>
        <v>13.660541586073501</v>
      </c>
      <c r="J347" s="755">
        <f t="shared" si="27"/>
        <v>13.660541586073501</v>
      </c>
      <c r="K347" s="755">
        <f t="shared" si="27"/>
        <v>13.660541586073501</v>
      </c>
      <c r="L347" s="755">
        <f t="shared" si="27"/>
        <v>13.660541586073501</v>
      </c>
      <c r="M347" s="755">
        <f t="shared" si="27"/>
        <v>13.660541586073501</v>
      </c>
      <c r="N347" s="755">
        <f t="shared" si="27"/>
        <v>13.660541586073501</v>
      </c>
      <c r="O347" s="755">
        <f t="shared" si="27"/>
        <v>13.660541586073501</v>
      </c>
      <c r="P347" s="755">
        <f t="shared" si="27"/>
        <v>13.660541586073501</v>
      </c>
      <c r="Q347" s="755">
        <f t="shared" si="27"/>
        <v>13.660541586073501</v>
      </c>
      <c r="R347" s="755">
        <f t="shared" si="27"/>
        <v>13.660541586073501</v>
      </c>
      <c r="S347" s="755">
        <f t="shared" si="27"/>
        <v>13.660541586073501</v>
      </c>
      <c r="T347" s="755">
        <f t="shared" si="27"/>
        <v>13.660541586073501</v>
      </c>
      <c r="U347" s="755">
        <f t="shared" si="27"/>
        <v>13.660541586073501</v>
      </c>
      <c r="V347" s="755">
        <f t="shared" si="27"/>
        <v>13.660541586073501</v>
      </c>
      <c r="W347" s="755">
        <f t="shared" si="27"/>
        <v>13.660541586073501</v>
      </c>
      <c r="X347" s="755">
        <f t="shared" si="27"/>
        <v>13.660541586073501</v>
      </c>
      <c r="Y347" s="755">
        <f t="shared" si="27"/>
        <v>13.660541586073501</v>
      </c>
      <c r="Z347" s="755">
        <f t="shared" si="27"/>
        <v>13.660541586073501</v>
      </c>
      <c r="AA347" s="755">
        <f t="shared" si="27"/>
        <v>13.660541586073501</v>
      </c>
      <c r="AB347" s="755">
        <f t="shared" si="27"/>
        <v>13.660541586073501</v>
      </c>
      <c r="AC347" s="755">
        <f t="shared" si="27"/>
        <v>13.660541586073501</v>
      </c>
      <c r="AD347" s="755">
        <f t="shared" si="27"/>
        <v>13.660541586073501</v>
      </c>
      <c r="AE347" s="755">
        <f t="shared" si="27"/>
        <v>13.660541586073501</v>
      </c>
      <c r="AF347" s="755">
        <f t="shared" si="27"/>
        <v>13.660541586073501</v>
      </c>
      <c r="AG347" s="755">
        <f t="shared" si="27"/>
        <v>13.660541586073501</v>
      </c>
      <c r="AH347" s="755">
        <f t="shared" si="27"/>
        <v>13.660541586073501</v>
      </c>
      <c r="AI347" s="755">
        <f t="shared" si="27"/>
        <v>13.660541586073501</v>
      </c>
      <c r="AJ347" s="755">
        <f t="shared" si="27"/>
        <v>13.660541586073501</v>
      </c>
      <c r="AK347" s="755">
        <f t="shared" si="27"/>
        <v>13.660541586073501</v>
      </c>
      <c r="AL347" s="755">
        <f t="shared" si="27"/>
        <v>13.660541586073501</v>
      </c>
      <c r="AM347" s="755">
        <f t="shared" si="27"/>
        <v>13.660541586073501</v>
      </c>
      <c r="AN347" s="755">
        <f t="shared" si="27"/>
        <v>13.660541586073501</v>
      </c>
      <c r="AO347" s="755">
        <f t="shared" si="27"/>
        <v>13.660541586073501</v>
      </c>
      <c r="AP347" s="755">
        <f t="shared" si="27"/>
        <v>13.660541586073501</v>
      </c>
      <c r="AQ347" s="755">
        <f t="shared" si="27"/>
        <v>13.660541586073501</v>
      </c>
      <c r="AR347" s="755">
        <f t="shared" si="27"/>
        <v>13.660541586073501</v>
      </c>
      <c r="AS347" s="755">
        <f t="shared" si="27"/>
        <v>13.660541586073501</v>
      </c>
      <c r="AT347" s="755">
        <f t="shared" si="27"/>
        <v>13.660541586073501</v>
      </c>
      <c r="AU347" s="755">
        <f t="shared" si="27"/>
        <v>13.660541586073501</v>
      </c>
      <c r="AV347" s="755">
        <f t="shared" si="27"/>
        <v>13.660541586073501</v>
      </c>
      <c r="AW347" s="755">
        <f t="shared" si="27"/>
        <v>13.660541586073501</v>
      </c>
    </row>
    <row r="348" spans="1:49" x14ac:dyDescent="0.2">
      <c r="A348" s="778" t="s">
        <v>473</v>
      </c>
      <c r="B348" s="755">
        <f t="shared" ref="B348:AW348" si="28">$D$345 + (3*($D$347))</f>
        <v>102.78807637112374</v>
      </c>
      <c r="C348" s="755">
        <f t="shared" si="28"/>
        <v>102.78807637112374</v>
      </c>
      <c r="D348" s="755">
        <f t="shared" si="28"/>
        <v>102.78807637112374</v>
      </c>
      <c r="E348" s="755">
        <f t="shared" si="28"/>
        <v>102.78807637112374</v>
      </c>
      <c r="F348" s="755">
        <f t="shared" si="28"/>
        <v>102.78807637112374</v>
      </c>
      <c r="G348" s="755">
        <f t="shared" si="28"/>
        <v>102.78807637112374</v>
      </c>
      <c r="H348" s="755">
        <f t="shared" si="28"/>
        <v>102.78807637112374</v>
      </c>
      <c r="I348" s="755">
        <f t="shared" si="28"/>
        <v>102.78807637112374</v>
      </c>
      <c r="J348" s="755">
        <f t="shared" si="28"/>
        <v>102.78807637112374</v>
      </c>
      <c r="K348" s="755">
        <f t="shared" si="28"/>
        <v>102.78807637112374</v>
      </c>
      <c r="L348" s="755">
        <f t="shared" si="28"/>
        <v>102.78807637112374</v>
      </c>
      <c r="M348" s="755">
        <f t="shared" si="28"/>
        <v>102.78807637112374</v>
      </c>
      <c r="N348" s="755">
        <f t="shared" si="28"/>
        <v>102.78807637112374</v>
      </c>
      <c r="O348" s="755">
        <f t="shared" si="28"/>
        <v>102.78807637112374</v>
      </c>
      <c r="P348" s="755">
        <f t="shared" si="28"/>
        <v>102.78807637112374</v>
      </c>
      <c r="Q348" s="755">
        <f t="shared" si="28"/>
        <v>102.78807637112374</v>
      </c>
      <c r="R348" s="755">
        <f t="shared" si="28"/>
        <v>102.78807637112374</v>
      </c>
      <c r="S348" s="755">
        <f t="shared" si="28"/>
        <v>102.78807637112374</v>
      </c>
      <c r="T348" s="755">
        <f t="shared" si="28"/>
        <v>102.78807637112374</v>
      </c>
      <c r="U348" s="755">
        <f t="shared" si="28"/>
        <v>102.78807637112374</v>
      </c>
      <c r="V348" s="755">
        <f t="shared" si="28"/>
        <v>102.78807637112374</v>
      </c>
      <c r="W348" s="755">
        <f t="shared" si="28"/>
        <v>102.78807637112374</v>
      </c>
      <c r="X348" s="755">
        <f t="shared" si="28"/>
        <v>102.78807637112374</v>
      </c>
      <c r="Y348" s="755">
        <f t="shared" si="28"/>
        <v>102.78807637112374</v>
      </c>
      <c r="Z348" s="755">
        <f t="shared" si="28"/>
        <v>102.78807637112374</v>
      </c>
      <c r="AA348" s="755">
        <f t="shared" si="28"/>
        <v>102.78807637112374</v>
      </c>
      <c r="AB348" s="755">
        <f t="shared" si="28"/>
        <v>102.78807637112374</v>
      </c>
      <c r="AC348" s="755">
        <f t="shared" si="28"/>
        <v>102.78807637112374</v>
      </c>
      <c r="AD348" s="755">
        <f t="shared" si="28"/>
        <v>102.78807637112374</v>
      </c>
      <c r="AE348" s="755">
        <f t="shared" si="28"/>
        <v>102.78807637112374</v>
      </c>
      <c r="AF348" s="755">
        <f t="shared" si="28"/>
        <v>102.78807637112374</v>
      </c>
      <c r="AG348" s="755">
        <f t="shared" si="28"/>
        <v>102.78807637112374</v>
      </c>
      <c r="AH348" s="755">
        <f t="shared" si="28"/>
        <v>102.78807637112374</v>
      </c>
      <c r="AI348" s="755">
        <f t="shared" si="28"/>
        <v>102.78807637112374</v>
      </c>
      <c r="AJ348" s="755">
        <f t="shared" si="28"/>
        <v>102.78807637112374</v>
      </c>
      <c r="AK348" s="755">
        <f t="shared" si="28"/>
        <v>102.78807637112374</v>
      </c>
      <c r="AL348" s="755">
        <f t="shared" si="28"/>
        <v>102.78807637112374</v>
      </c>
      <c r="AM348" s="755">
        <f t="shared" si="28"/>
        <v>102.78807637112374</v>
      </c>
      <c r="AN348" s="755">
        <f t="shared" si="28"/>
        <v>102.78807637112374</v>
      </c>
      <c r="AO348" s="755">
        <f t="shared" si="28"/>
        <v>102.78807637112374</v>
      </c>
      <c r="AP348" s="755">
        <f t="shared" si="28"/>
        <v>102.78807637112374</v>
      </c>
      <c r="AQ348" s="755">
        <f t="shared" si="28"/>
        <v>102.78807637112374</v>
      </c>
      <c r="AR348" s="755">
        <f t="shared" si="28"/>
        <v>102.78807637112374</v>
      </c>
      <c r="AS348" s="755">
        <f t="shared" si="28"/>
        <v>102.78807637112374</v>
      </c>
      <c r="AT348" s="755">
        <f t="shared" si="28"/>
        <v>102.78807637112374</v>
      </c>
      <c r="AU348" s="755">
        <f t="shared" si="28"/>
        <v>102.78807637112374</v>
      </c>
      <c r="AV348" s="755">
        <f t="shared" si="28"/>
        <v>102.78807637112374</v>
      </c>
      <c r="AW348" s="755">
        <f t="shared" si="28"/>
        <v>102.78807637112374</v>
      </c>
    </row>
    <row r="349" spans="1:49" x14ac:dyDescent="0.2">
      <c r="A349" s="778" t="s">
        <v>475</v>
      </c>
      <c r="B349" s="755">
        <f t="shared" ref="B349:AW349" si="29">$D$345 - (3*($D$347))</f>
        <v>20.824826854682719</v>
      </c>
      <c r="C349" s="755">
        <f t="shared" si="29"/>
        <v>20.824826854682719</v>
      </c>
      <c r="D349" s="755">
        <f t="shared" si="29"/>
        <v>20.824826854682719</v>
      </c>
      <c r="E349" s="755">
        <f t="shared" si="29"/>
        <v>20.824826854682719</v>
      </c>
      <c r="F349" s="755">
        <f t="shared" si="29"/>
        <v>20.824826854682719</v>
      </c>
      <c r="G349" s="755">
        <f t="shared" si="29"/>
        <v>20.824826854682719</v>
      </c>
      <c r="H349" s="755">
        <f t="shared" si="29"/>
        <v>20.824826854682719</v>
      </c>
      <c r="I349" s="755">
        <f t="shared" si="29"/>
        <v>20.824826854682719</v>
      </c>
      <c r="J349" s="755">
        <f t="shared" si="29"/>
        <v>20.824826854682719</v>
      </c>
      <c r="K349" s="755">
        <f t="shared" si="29"/>
        <v>20.824826854682719</v>
      </c>
      <c r="L349" s="755">
        <f t="shared" si="29"/>
        <v>20.824826854682719</v>
      </c>
      <c r="M349" s="755">
        <f t="shared" si="29"/>
        <v>20.824826854682719</v>
      </c>
      <c r="N349" s="755">
        <f t="shared" si="29"/>
        <v>20.824826854682719</v>
      </c>
      <c r="O349" s="755">
        <f t="shared" si="29"/>
        <v>20.824826854682719</v>
      </c>
      <c r="P349" s="755">
        <f t="shared" si="29"/>
        <v>20.824826854682719</v>
      </c>
      <c r="Q349" s="755">
        <f t="shared" si="29"/>
        <v>20.824826854682719</v>
      </c>
      <c r="R349" s="755">
        <f t="shared" si="29"/>
        <v>20.824826854682719</v>
      </c>
      <c r="S349" s="755">
        <f t="shared" si="29"/>
        <v>20.824826854682719</v>
      </c>
      <c r="T349" s="755">
        <f t="shared" si="29"/>
        <v>20.824826854682719</v>
      </c>
      <c r="U349" s="755">
        <f t="shared" si="29"/>
        <v>20.824826854682719</v>
      </c>
      <c r="V349" s="755">
        <f t="shared" si="29"/>
        <v>20.824826854682719</v>
      </c>
      <c r="W349" s="755">
        <f t="shared" si="29"/>
        <v>20.824826854682719</v>
      </c>
      <c r="X349" s="755">
        <f t="shared" si="29"/>
        <v>20.824826854682719</v>
      </c>
      <c r="Y349" s="755">
        <f t="shared" si="29"/>
        <v>20.824826854682719</v>
      </c>
      <c r="Z349" s="755">
        <f t="shared" si="29"/>
        <v>20.824826854682719</v>
      </c>
      <c r="AA349" s="755">
        <f t="shared" si="29"/>
        <v>20.824826854682719</v>
      </c>
      <c r="AB349" s="755">
        <f t="shared" si="29"/>
        <v>20.824826854682719</v>
      </c>
      <c r="AC349" s="755">
        <f t="shared" si="29"/>
        <v>20.824826854682719</v>
      </c>
      <c r="AD349" s="755">
        <f t="shared" si="29"/>
        <v>20.824826854682719</v>
      </c>
      <c r="AE349" s="755">
        <f t="shared" si="29"/>
        <v>20.824826854682719</v>
      </c>
      <c r="AF349" s="755">
        <f t="shared" si="29"/>
        <v>20.824826854682719</v>
      </c>
      <c r="AG349" s="755">
        <f t="shared" si="29"/>
        <v>20.824826854682719</v>
      </c>
      <c r="AH349" s="755">
        <f t="shared" si="29"/>
        <v>20.824826854682719</v>
      </c>
      <c r="AI349" s="755">
        <f t="shared" si="29"/>
        <v>20.824826854682719</v>
      </c>
      <c r="AJ349" s="755">
        <f t="shared" si="29"/>
        <v>20.824826854682719</v>
      </c>
      <c r="AK349" s="755">
        <f t="shared" si="29"/>
        <v>20.824826854682719</v>
      </c>
      <c r="AL349" s="755">
        <f t="shared" si="29"/>
        <v>20.824826854682719</v>
      </c>
      <c r="AM349" s="755">
        <f t="shared" si="29"/>
        <v>20.824826854682719</v>
      </c>
      <c r="AN349" s="755">
        <f t="shared" si="29"/>
        <v>20.824826854682719</v>
      </c>
      <c r="AO349" s="755">
        <f t="shared" si="29"/>
        <v>20.824826854682719</v>
      </c>
      <c r="AP349" s="755">
        <f t="shared" si="29"/>
        <v>20.824826854682719</v>
      </c>
      <c r="AQ349" s="755">
        <f t="shared" si="29"/>
        <v>20.824826854682719</v>
      </c>
      <c r="AR349" s="755">
        <f t="shared" si="29"/>
        <v>20.824826854682719</v>
      </c>
      <c r="AS349" s="755">
        <f t="shared" si="29"/>
        <v>20.824826854682719</v>
      </c>
      <c r="AT349" s="755">
        <f t="shared" si="29"/>
        <v>20.824826854682719</v>
      </c>
      <c r="AU349" s="755">
        <f t="shared" si="29"/>
        <v>20.824826854682719</v>
      </c>
      <c r="AV349" s="755">
        <f t="shared" si="29"/>
        <v>20.824826854682719</v>
      </c>
      <c r="AW349" s="755">
        <f t="shared" si="29"/>
        <v>20.824826854682719</v>
      </c>
    </row>
    <row r="350" spans="1:49" ht="9.75" customHeight="1" x14ac:dyDescent="0.2">
      <c r="A350" s="766"/>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c r="AU350" s="402"/>
      <c r="AV350" s="402"/>
      <c r="AW350" s="402"/>
    </row>
    <row r="351" spans="1:49" ht="63.75" x14ac:dyDescent="0.2">
      <c r="A351" s="766" t="s">
        <v>485</v>
      </c>
      <c r="B351" s="397">
        <f>B19</f>
        <v>0.8165137614678899</v>
      </c>
      <c r="C351" s="397">
        <f>C19</f>
        <v>0.83333333333333348</v>
      </c>
      <c r="D351" s="397">
        <f>D19</f>
        <v>0.82474226804123707</v>
      </c>
      <c r="E351" s="397">
        <f>E19</f>
        <v>0.80412371134020622</v>
      </c>
      <c r="F351" s="397">
        <f>F19</f>
        <v>0.86274509803921573</v>
      </c>
      <c r="G351" s="397">
        <f>G19</f>
        <v>0.90384615384615385</v>
      </c>
      <c r="H351" s="397">
        <f>H19</f>
        <v>0.89075630252100846</v>
      </c>
      <c r="I351" s="397">
        <f>I19</f>
        <v>0.8294573643410853</v>
      </c>
      <c r="J351" s="397">
        <f>J19</f>
        <v>0.83495145631067957</v>
      </c>
      <c r="K351" s="397">
        <f>K19</f>
        <v>0.86885245901639341</v>
      </c>
      <c r="L351" s="397">
        <f>L19</f>
        <v>0.84745762711864403</v>
      </c>
      <c r="M351" s="397">
        <f>M19</f>
        <v>0.87878787878787878</v>
      </c>
      <c r="N351" s="397">
        <f>N19</f>
        <v>0.77900000000000003</v>
      </c>
      <c r="O351" s="397">
        <f>O19</f>
        <v>0.75</v>
      </c>
      <c r="P351" s="397">
        <f>P19</f>
        <v>0.84399999999999997</v>
      </c>
      <c r="Q351" s="397">
        <f>Q19</f>
        <v>0.82399999999999995</v>
      </c>
      <c r="R351" s="397">
        <f>R19</f>
        <v>0.82758620689655171</v>
      </c>
      <c r="S351" s="397">
        <f>S19</f>
        <v>0.78461538461538471</v>
      </c>
      <c r="T351" s="397">
        <f>T19</f>
        <v>0.83333333333333348</v>
      </c>
      <c r="U351" s="397">
        <f>U19</f>
        <v>0.80188679245283023</v>
      </c>
      <c r="V351" s="397">
        <f>V19</f>
        <v>0.82978723404255317</v>
      </c>
      <c r="W351" s="397">
        <f>W19</f>
        <v>0.87068965517241381</v>
      </c>
      <c r="X351" s="397">
        <f>X19</f>
        <v>0.8</v>
      </c>
      <c r="Y351" s="397">
        <f>Y19</f>
        <v>0.91111111111111109</v>
      </c>
      <c r="Z351" s="397">
        <f>Z19</f>
        <v>0.80314960629921262</v>
      </c>
      <c r="AA351" s="397">
        <f>AA19</f>
        <v>0.87769784172661869</v>
      </c>
      <c r="AB351" s="397">
        <f>AB19</f>
        <v>0.86861313868613133</v>
      </c>
      <c r="AC351" s="397">
        <f>AC19</f>
        <v>0.79508196721311475</v>
      </c>
      <c r="AD351" s="397">
        <f>AD19</f>
        <v>0.94067796610169496</v>
      </c>
      <c r="AE351" s="397">
        <f>AE19</f>
        <v>0.79411764705882348</v>
      </c>
      <c r="AF351" s="397">
        <f>AF19</f>
        <v>0.86885245901639341</v>
      </c>
      <c r="AG351" s="397"/>
      <c r="AH351" s="397"/>
      <c r="AI351" s="397"/>
      <c r="AJ351" s="397"/>
      <c r="AK351" s="397"/>
      <c r="AL351" s="397"/>
      <c r="AM351" s="397"/>
      <c r="AN351" s="397"/>
      <c r="AO351" s="397"/>
      <c r="AP351" s="397"/>
      <c r="AQ351" s="397"/>
      <c r="AR351" s="397"/>
      <c r="AS351" s="397"/>
      <c r="AT351" s="397"/>
      <c r="AU351" s="397"/>
      <c r="AV351" s="397"/>
      <c r="AW351" s="397"/>
    </row>
    <row r="352" spans="1:49" ht="25.5" x14ac:dyDescent="0.2">
      <c r="A352" s="766" t="s">
        <v>465</v>
      </c>
      <c r="B352" s="402">
        <v>0.9</v>
      </c>
      <c r="C352" s="402">
        <v>0.9</v>
      </c>
      <c r="D352" s="402">
        <v>0.9</v>
      </c>
      <c r="E352" s="402">
        <v>0.9</v>
      </c>
      <c r="F352" s="402">
        <v>0.9</v>
      </c>
      <c r="G352" s="402">
        <v>0.9</v>
      </c>
      <c r="H352" s="402">
        <v>0.9</v>
      </c>
      <c r="I352" s="402">
        <v>0.9</v>
      </c>
      <c r="J352" s="402">
        <v>0.9</v>
      </c>
      <c r="K352" s="402">
        <v>0.9</v>
      </c>
      <c r="L352" s="402">
        <v>0.9</v>
      </c>
      <c r="M352" s="402">
        <v>0.9</v>
      </c>
      <c r="N352" s="402"/>
      <c r="O352" s="402"/>
      <c r="P352" s="402"/>
      <c r="Q352" s="402"/>
      <c r="R352" s="402"/>
      <c r="S352" s="402"/>
      <c r="T352" s="402"/>
      <c r="U352" s="402"/>
      <c r="V352" s="402"/>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c r="AU352" s="402"/>
      <c r="AV352" s="402"/>
      <c r="AW352" s="402"/>
    </row>
    <row r="353" spans="1:49" ht="25.5" x14ac:dyDescent="0.2">
      <c r="A353" s="766" t="s">
        <v>559</v>
      </c>
      <c r="B353" s="402"/>
      <c r="C353" s="402"/>
      <c r="D353" s="402"/>
      <c r="E353" s="402"/>
      <c r="F353" s="402"/>
      <c r="G353" s="402"/>
      <c r="H353" s="402"/>
      <c r="I353" s="402"/>
      <c r="J353" s="402"/>
      <c r="K353" s="402"/>
      <c r="L353" s="402"/>
      <c r="M353" s="402"/>
      <c r="N353" s="402">
        <v>1</v>
      </c>
      <c r="O353" s="402">
        <v>1</v>
      </c>
      <c r="P353" s="402">
        <v>1</v>
      </c>
      <c r="Q353" s="402">
        <v>1</v>
      </c>
      <c r="R353" s="402">
        <v>1</v>
      </c>
      <c r="S353" s="402">
        <v>1</v>
      </c>
      <c r="T353" s="402">
        <v>1</v>
      </c>
      <c r="U353" s="402">
        <v>1</v>
      </c>
      <c r="V353" s="402">
        <v>1</v>
      </c>
      <c r="W353" s="402">
        <v>1</v>
      </c>
      <c r="X353" s="402">
        <v>1</v>
      </c>
      <c r="Y353" s="402">
        <v>1</v>
      </c>
      <c r="Z353" s="402">
        <v>1</v>
      </c>
      <c r="AA353" s="402">
        <v>1</v>
      </c>
      <c r="AB353" s="402">
        <v>1</v>
      </c>
      <c r="AC353" s="402">
        <v>1</v>
      </c>
      <c r="AD353" s="402">
        <v>1</v>
      </c>
      <c r="AE353" s="402">
        <v>1</v>
      </c>
      <c r="AF353" s="402">
        <v>1</v>
      </c>
      <c r="AG353" s="402">
        <v>1</v>
      </c>
      <c r="AH353" s="402">
        <v>1</v>
      </c>
      <c r="AI353" s="402">
        <v>1</v>
      </c>
      <c r="AJ353" s="402">
        <v>1</v>
      </c>
      <c r="AK353" s="402">
        <v>1</v>
      </c>
      <c r="AL353" s="402">
        <v>1</v>
      </c>
      <c r="AM353" s="402">
        <v>1</v>
      </c>
      <c r="AN353" s="402">
        <v>1</v>
      </c>
      <c r="AO353" s="402">
        <v>1</v>
      </c>
      <c r="AP353" s="402">
        <v>1</v>
      </c>
      <c r="AQ353" s="402">
        <v>1</v>
      </c>
      <c r="AR353" s="402">
        <v>1</v>
      </c>
      <c r="AS353" s="402">
        <v>1</v>
      </c>
      <c r="AT353" s="402">
        <v>1</v>
      </c>
      <c r="AU353" s="402">
        <v>1</v>
      </c>
      <c r="AV353" s="402">
        <v>1</v>
      </c>
      <c r="AW353" s="402">
        <v>1</v>
      </c>
    </row>
    <row r="354" spans="1:49" x14ac:dyDescent="0.2">
      <c r="A354" s="766" t="s">
        <v>130</v>
      </c>
      <c r="B354" s="402"/>
      <c r="C354" s="402"/>
      <c r="D354" s="402"/>
      <c r="E354" s="402"/>
      <c r="F354" s="402"/>
      <c r="G354" s="402"/>
      <c r="H354" s="402"/>
      <c r="I354" s="402"/>
      <c r="J354" s="402"/>
      <c r="K354" s="402"/>
      <c r="L354" s="402"/>
      <c r="M354" s="402" t="s">
        <v>368</v>
      </c>
      <c r="N354" s="402">
        <f t="shared" ref="N354:X354" si="30">MEDIAN($N$351:$Y$351)</f>
        <v>0.82579310344827583</v>
      </c>
      <c r="O354" s="402">
        <f t="shared" si="30"/>
        <v>0.82579310344827583</v>
      </c>
      <c r="P354" s="402">
        <f t="shared" si="30"/>
        <v>0.82579310344827583</v>
      </c>
      <c r="Q354" s="402">
        <f t="shared" si="30"/>
        <v>0.82579310344827583</v>
      </c>
      <c r="R354" s="402">
        <f t="shared" si="30"/>
        <v>0.82579310344827583</v>
      </c>
      <c r="S354" s="402">
        <f t="shared" si="30"/>
        <v>0.82579310344827583</v>
      </c>
      <c r="T354" s="402">
        <f t="shared" si="30"/>
        <v>0.82579310344827583</v>
      </c>
      <c r="U354" s="402">
        <f t="shared" si="30"/>
        <v>0.82579310344827583</v>
      </c>
      <c r="V354" s="402">
        <f t="shared" si="30"/>
        <v>0.82579310344827583</v>
      </c>
      <c r="W354" s="402">
        <f t="shared" si="30"/>
        <v>0.82579310344827583</v>
      </c>
      <c r="X354" s="402">
        <f t="shared" si="30"/>
        <v>0.82579310344827583</v>
      </c>
      <c r="Y354" s="402">
        <f>MEDIAN($N$351:$Y$351)</f>
        <v>0.82579310344827583</v>
      </c>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c r="AU354" s="402"/>
      <c r="AV354" s="402"/>
      <c r="AW354" s="402"/>
    </row>
    <row r="355" spans="1:49" x14ac:dyDescent="0.2">
      <c r="A355" s="777" t="s">
        <v>178</v>
      </c>
      <c r="B355" s="402"/>
      <c r="C355" s="402"/>
      <c r="D355" s="402"/>
      <c r="E355" s="402"/>
      <c r="F355" s="402"/>
      <c r="G355" s="402"/>
      <c r="H355" s="402"/>
      <c r="I355" s="402"/>
      <c r="J355" s="402"/>
      <c r="K355" s="402"/>
      <c r="L355" s="402"/>
      <c r="M355" s="402" t="s">
        <v>368</v>
      </c>
      <c r="N355" s="402" t="s">
        <v>368</v>
      </c>
      <c r="O355" s="402" t="s">
        <v>368</v>
      </c>
      <c r="P355" s="402" t="s">
        <v>368</v>
      </c>
      <c r="Q355" s="402" t="s">
        <v>368</v>
      </c>
      <c r="R355" s="402" t="s">
        <v>368</v>
      </c>
      <c r="S355" s="402" t="s">
        <v>368</v>
      </c>
      <c r="T355" s="402" t="s">
        <v>368</v>
      </c>
      <c r="U355" s="402" t="s">
        <v>368</v>
      </c>
      <c r="V355" s="402" t="s">
        <v>368</v>
      </c>
      <c r="W355" s="402" t="s">
        <v>368</v>
      </c>
      <c r="X355" s="402" t="s">
        <v>368</v>
      </c>
      <c r="Y355" s="402">
        <f>MEDIAN($N$351:$Y$351)</f>
        <v>0.82579310344827583</v>
      </c>
      <c r="Z355" s="402">
        <f t="shared" ref="Z355:AV355" si="31">MEDIAN($N$351:$Y$351)</f>
        <v>0.82579310344827583</v>
      </c>
      <c r="AA355" s="402">
        <f t="shared" si="31"/>
        <v>0.82579310344827583</v>
      </c>
      <c r="AB355" s="402">
        <f t="shared" si="31"/>
        <v>0.82579310344827583</v>
      </c>
      <c r="AC355" s="402">
        <f t="shared" si="31"/>
        <v>0.82579310344827583</v>
      </c>
      <c r="AD355" s="402">
        <f t="shared" si="31"/>
        <v>0.82579310344827583</v>
      </c>
      <c r="AE355" s="402">
        <f t="shared" si="31"/>
        <v>0.82579310344827583</v>
      </c>
      <c r="AF355" s="402">
        <f t="shared" si="31"/>
        <v>0.82579310344827583</v>
      </c>
      <c r="AG355" s="402">
        <f t="shared" si="31"/>
        <v>0.82579310344827583</v>
      </c>
      <c r="AH355" s="402">
        <f t="shared" si="31"/>
        <v>0.82579310344827583</v>
      </c>
      <c r="AI355" s="402">
        <f t="shared" si="31"/>
        <v>0.82579310344827583</v>
      </c>
      <c r="AJ355" s="402">
        <f t="shared" si="31"/>
        <v>0.82579310344827583</v>
      </c>
      <c r="AK355" s="402">
        <f t="shared" si="31"/>
        <v>0.82579310344827583</v>
      </c>
      <c r="AL355" s="402">
        <f t="shared" si="31"/>
        <v>0.82579310344827583</v>
      </c>
      <c r="AM355" s="402">
        <f t="shared" si="31"/>
        <v>0.82579310344827583</v>
      </c>
      <c r="AN355" s="402">
        <f t="shared" si="31"/>
        <v>0.82579310344827583</v>
      </c>
      <c r="AO355" s="402">
        <f t="shared" si="31"/>
        <v>0.82579310344827583</v>
      </c>
      <c r="AP355" s="402">
        <f t="shared" si="31"/>
        <v>0.82579310344827583</v>
      </c>
      <c r="AQ355" s="402">
        <f t="shared" si="31"/>
        <v>0.82579310344827583</v>
      </c>
      <c r="AR355" s="402">
        <f t="shared" si="31"/>
        <v>0.82579310344827583</v>
      </c>
      <c r="AS355" s="402">
        <f t="shared" si="31"/>
        <v>0.82579310344827583</v>
      </c>
      <c r="AT355" s="402">
        <f t="shared" si="31"/>
        <v>0.82579310344827583</v>
      </c>
      <c r="AU355" s="402">
        <f t="shared" si="31"/>
        <v>0.82579310344827583</v>
      </c>
      <c r="AV355" s="402">
        <f t="shared" si="31"/>
        <v>0.82579310344827583</v>
      </c>
      <c r="AW355" s="402">
        <f>MEDIAN($N$351:$Y$351)</f>
        <v>0.82579310344827583</v>
      </c>
    </row>
    <row r="356" spans="1:49" x14ac:dyDescent="0.2">
      <c r="A356" s="765" t="s">
        <v>466</v>
      </c>
      <c r="B356" s="402"/>
      <c r="C356" s="402">
        <f>SUM(C351-B351)</f>
        <v>1.6819571865443583E-2</v>
      </c>
      <c r="D356" s="402">
        <f>SUM(D351-C351)*-1</f>
        <v>8.5910652920964115E-3</v>
      </c>
      <c r="E356" s="402">
        <f>SUM(E351-D351)*-1</f>
        <v>2.0618556701030855E-2</v>
      </c>
      <c r="F356" s="402">
        <f t="shared" ref="F356:W356" si="32">SUM(F351-E351)</f>
        <v>5.8621386699009514E-2</v>
      </c>
      <c r="G356" s="402">
        <f t="shared" si="32"/>
        <v>4.1101055806938125E-2</v>
      </c>
      <c r="H356" s="402">
        <f>SUM(H351-G351)*-1</f>
        <v>1.3089851325145396E-2</v>
      </c>
      <c r="I356" s="402">
        <f>SUM(I351-H351)*-1</f>
        <v>6.1298938179923157E-2</v>
      </c>
      <c r="J356" s="402">
        <f t="shared" si="32"/>
        <v>5.4940919695942725E-3</v>
      </c>
      <c r="K356" s="402">
        <f t="shared" si="32"/>
        <v>3.3901002705713834E-2</v>
      </c>
      <c r="L356" s="402">
        <f>SUM(L351-K351)*-1</f>
        <v>2.1394831897749378E-2</v>
      </c>
      <c r="M356" s="402">
        <f t="shared" si="32"/>
        <v>3.1330251669234754E-2</v>
      </c>
      <c r="N356" s="402">
        <f>SUM(N351-M351)*-1</f>
        <v>9.9787878787878759E-2</v>
      </c>
      <c r="O356" s="402">
        <f>SUM(O351-N351)*-1</f>
        <v>2.9000000000000026E-2</v>
      </c>
      <c r="P356" s="402">
        <f t="shared" si="32"/>
        <v>9.3999999999999972E-2</v>
      </c>
      <c r="Q356" s="402">
        <f>SUM(Q351-P351)*-1</f>
        <v>2.0000000000000018E-2</v>
      </c>
      <c r="R356" s="402">
        <f t="shared" si="32"/>
        <v>3.5862068965517579E-3</v>
      </c>
      <c r="S356" s="402">
        <f>SUM(S351-R351)*-1</f>
        <v>4.2970822281166998E-2</v>
      </c>
      <c r="T356" s="402">
        <f t="shared" si="32"/>
        <v>4.8717948717948767E-2</v>
      </c>
      <c r="U356" s="402">
        <f>SUM(U351-T351)*-1</f>
        <v>3.1446540880503249E-2</v>
      </c>
      <c r="V356" s="402">
        <f t="shared" si="32"/>
        <v>2.7900441589722935E-2</v>
      </c>
      <c r="W356" s="402">
        <f t="shared" si="32"/>
        <v>4.0902421129860644E-2</v>
      </c>
      <c r="X356" s="402">
        <f>SUM(X351-W351)*-1</f>
        <v>7.0689655172413768E-2</v>
      </c>
      <c r="Y356" s="402">
        <f>SUM(Y351-X351)</f>
        <v>0.11111111111111105</v>
      </c>
      <c r="Z356" s="402">
        <f>SUM(Z351-Y351)*-1</f>
        <v>0.10796150481189848</v>
      </c>
      <c r="AA356" s="402">
        <f>SUM(AA351-Z351)</f>
        <v>7.4548235427406073E-2</v>
      </c>
      <c r="AB356" s="402">
        <f>SUM(AB351-AA351)*-1</f>
        <v>9.084703040487363E-3</v>
      </c>
      <c r="AC356" s="402">
        <f>SUM(AC351-AB351)*-1</f>
        <v>7.3531171473016577E-2</v>
      </c>
      <c r="AD356" s="402">
        <f>SUM(AD351-AC351)</f>
        <v>0.14559599888858021</v>
      </c>
      <c r="AE356" s="402">
        <f>SUM(AE351-AD351)*-1</f>
        <v>0.14656031904287148</v>
      </c>
      <c r="AF356" s="402">
        <f>SUM(AF351-AE351)</f>
        <v>7.4734811957569924E-2</v>
      </c>
      <c r="AG356" s="402"/>
      <c r="AH356" s="402"/>
      <c r="AI356" s="402"/>
      <c r="AJ356" s="402"/>
      <c r="AK356" s="402"/>
      <c r="AL356" s="402"/>
      <c r="AM356" s="402"/>
      <c r="AN356" s="402"/>
      <c r="AO356" s="402"/>
      <c r="AP356" s="402"/>
      <c r="AQ356" s="402"/>
      <c r="AR356" s="402"/>
      <c r="AS356" s="402"/>
      <c r="AT356" s="402"/>
      <c r="AU356" s="402"/>
      <c r="AV356" s="402"/>
      <c r="AW356" s="402"/>
    </row>
    <row r="357" spans="1:49" ht="21.75" x14ac:dyDescent="0.2">
      <c r="A357" s="768" t="s">
        <v>469</v>
      </c>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c r="AU357" s="402"/>
      <c r="AV357" s="402"/>
      <c r="AW357" s="402"/>
    </row>
    <row r="358" spans="1:49" x14ac:dyDescent="0.2">
      <c r="A358" s="688" t="s">
        <v>468</v>
      </c>
      <c r="B358" s="402">
        <f t="shared" ref="B358:AW358" si="33">AVERAGE($B$351:$AW$351)</f>
        <v>0.83870218573838373</v>
      </c>
      <c r="C358" s="402">
        <f t="shared" si="33"/>
        <v>0.83870218573838373</v>
      </c>
      <c r="D358" s="402">
        <f t="shared" si="33"/>
        <v>0.83870218573838373</v>
      </c>
      <c r="E358" s="402">
        <f t="shared" si="33"/>
        <v>0.83870218573838373</v>
      </c>
      <c r="F358" s="402">
        <f t="shared" si="33"/>
        <v>0.83870218573838373</v>
      </c>
      <c r="G358" s="402">
        <f t="shared" si="33"/>
        <v>0.83870218573838373</v>
      </c>
      <c r="H358" s="402">
        <f t="shared" si="33"/>
        <v>0.83870218573838373</v>
      </c>
      <c r="I358" s="402">
        <f t="shared" si="33"/>
        <v>0.83870218573838373</v>
      </c>
      <c r="J358" s="402">
        <f t="shared" si="33"/>
        <v>0.83870218573838373</v>
      </c>
      <c r="K358" s="402">
        <f t="shared" si="33"/>
        <v>0.83870218573838373</v>
      </c>
      <c r="L358" s="402">
        <f t="shared" si="33"/>
        <v>0.83870218573838373</v>
      </c>
      <c r="M358" s="402">
        <f t="shared" si="33"/>
        <v>0.83870218573838373</v>
      </c>
      <c r="N358" s="402">
        <f t="shared" si="33"/>
        <v>0.83870218573838373</v>
      </c>
      <c r="O358" s="402">
        <f t="shared" si="33"/>
        <v>0.83870218573838373</v>
      </c>
      <c r="P358" s="402">
        <f t="shared" si="33"/>
        <v>0.83870218573838373</v>
      </c>
      <c r="Q358" s="402">
        <f t="shared" si="33"/>
        <v>0.83870218573838373</v>
      </c>
      <c r="R358" s="402">
        <f t="shared" si="33"/>
        <v>0.83870218573838373</v>
      </c>
      <c r="S358" s="402">
        <f t="shared" si="33"/>
        <v>0.83870218573838373</v>
      </c>
      <c r="T358" s="402">
        <f t="shared" si="33"/>
        <v>0.83870218573838373</v>
      </c>
      <c r="U358" s="402">
        <f t="shared" si="33"/>
        <v>0.83870218573838373</v>
      </c>
      <c r="V358" s="402">
        <f t="shared" si="33"/>
        <v>0.83870218573838373</v>
      </c>
      <c r="W358" s="402">
        <f t="shared" si="33"/>
        <v>0.83870218573838373</v>
      </c>
      <c r="X358" s="402">
        <f t="shared" si="33"/>
        <v>0.83870218573838373</v>
      </c>
      <c r="Y358" s="402">
        <f t="shared" si="33"/>
        <v>0.83870218573838373</v>
      </c>
      <c r="Z358" s="402">
        <f t="shared" si="33"/>
        <v>0.83870218573838373</v>
      </c>
      <c r="AA358" s="402">
        <f t="shared" si="33"/>
        <v>0.83870218573838373</v>
      </c>
      <c r="AB358" s="402">
        <f t="shared" si="33"/>
        <v>0.83870218573838373</v>
      </c>
      <c r="AC358" s="402">
        <f t="shared" si="33"/>
        <v>0.83870218573838373</v>
      </c>
      <c r="AD358" s="402">
        <f t="shared" si="33"/>
        <v>0.83870218573838373</v>
      </c>
      <c r="AE358" s="402">
        <f t="shared" si="33"/>
        <v>0.83870218573838373</v>
      </c>
      <c r="AF358" s="402">
        <f t="shared" si="33"/>
        <v>0.83870218573838373</v>
      </c>
      <c r="AG358" s="402">
        <f t="shared" si="33"/>
        <v>0.83870218573838373</v>
      </c>
      <c r="AH358" s="402">
        <f t="shared" si="33"/>
        <v>0.83870218573838373</v>
      </c>
      <c r="AI358" s="402">
        <f t="shared" si="33"/>
        <v>0.83870218573838373</v>
      </c>
      <c r="AJ358" s="402">
        <f t="shared" si="33"/>
        <v>0.83870218573838373</v>
      </c>
      <c r="AK358" s="402">
        <f t="shared" si="33"/>
        <v>0.83870218573838373</v>
      </c>
      <c r="AL358" s="402">
        <f t="shared" si="33"/>
        <v>0.83870218573838373</v>
      </c>
      <c r="AM358" s="402">
        <f t="shared" si="33"/>
        <v>0.83870218573838373</v>
      </c>
      <c r="AN358" s="402">
        <f t="shared" si="33"/>
        <v>0.83870218573838373</v>
      </c>
      <c r="AO358" s="402">
        <f t="shared" si="33"/>
        <v>0.83870218573838373</v>
      </c>
      <c r="AP358" s="402">
        <f t="shared" si="33"/>
        <v>0.83870218573838373</v>
      </c>
      <c r="AQ358" s="402">
        <f t="shared" si="33"/>
        <v>0.83870218573838373</v>
      </c>
      <c r="AR358" s="402">
        <f t="shared" si="33"/>
        <v>0.83870218573838373</v>
      </c>
      <c r="AS358" s="402">
        <f t="shared" si="33"/>
        <v>0.83870218573838373</v>
      </c>
      <c r="AT358" s="402">
        <f t="shared" si="33"/>
        <v>0.83870218573838373</v>
      </c>
      <c r="AU358" s="402">
        <f t="shared" si="33"/>
        <v>0.83870218573838373</v>
      </c>
      <c r="AV358" s="402">
        <f t="shared" si="33"/>
        <v>0.83870218573838373</v>
      </c>
      <c r="AW358" s="402">
        <f t="shared" si="33"/>
        <v>0.83870218573838373</v>
      </c>
    </row>
    <row r="359" spans="1:49" x14ac:dyDescent="0.2">
      <c r="A359" s="765" t="s">
        <v>467</v>
      </c>
      <c r="B359" s="402" t="s">
        <v>368</v>
      </c>
      <c r="C359" s="402">
        <f t="shared" ref="C359:AW359" si="34">SUM($C$356:$AW$356)/22</f>
        <v>7.1108653423675783E-2</v>
      </c>
      <c r="D359" s="402">
        <f t="shared" si="34"/>
        <v>7.1108653423675783E-2</v>
      </c>
      <c r="E359" s="402">
        <f t="shared" si="34"/>
        <v>7.1108653423675783E-2</v>
      </c>
      <c r="F359" s="402">
        <f t="shared" si="34"/>
        <v>7.1108653423675783E-2</v>
      </c>
      <c r="G359" s="402">
        <f t="shared" si="34"/>
        <v>7.1108653423675783E-2</v>
      </c>
      <c r="H359" s="402">
        <f t="shared" si="34"/>
        <v>7.1108653423675783E-2</v>
      </c>
      <c r="I359" s="402">
        <f t="shared" si="34"/>
        <v>7.1108653423675783E-2</v>
      </c>
      <c r="J359" s="402">
        <f t="shared" si="34"/>
        <v>7.1108653423675783E-2</v>
      </c>
      <c r="K359" s="402">
        <f t="shared" si="34"/>
        <v>7.1108653423675783E-2</v>
      </c>
      <c r="L359" s="402">
        <f t="shared" si="34"/>
        <v>7.1108653423675783E-2</v>
      </c>
      <c r="M359" s="402">
        <f t="shared" si="34"/>
        <v>7.1108653423675783E-2</v>
      </c>
      <c r="N359" s="402">
        <f t="shared" si="34"/>
        <v>7.1108653423675783E-2</v>
      </c>
      <c r="O359" s="402">
        <f t="shared" si="34"/>
        <v>7.1108653423675783E-2</v>
      </c>
      <c r="P359" s="402">
        <f t="shared" si="34"/>
        <v>7.1108653423675783E-2</v>
      </c>
      <c r="Q359" s="402">
        <f t="shared" si="34"/>
        <v>7.1108653423675783E-2</v>
      </c>
      <c r="R359" s="402">
        <f t="shared" si="34"/>
        <v>7.1108653423675783E-2</v>
      </c>
      <c r="S359" s="402">
        <f t="shared" si="34"/>
        <v>7.1108653423675783E-2</v>
      </c>
      <c r="T359" s="402">
        <f t="shared" si="34"/>
        <v>7.1108653423675783E-2</v>
      </c>
      <c r="U359" s="402">
        <f t="shared" si="34"/>
        <v>7.1108653423675783E-2</v>
      </c>
      <c r="V359" s="402">
        <f t="shared" si="34"/>
        <v>7.1108653423675783E-2</v>
      </c>
      <c r="W359" s="402">
        <f t="shared" si="34"/>
        <v>7.1108653423675783E-2</v>
      </c>
      <c r="X359" s="402">
        <f t="shared" si="34"/>
        <v>7.1108653423675783E-2</v>
      </c>
      <c r="Y359" s="402">
        <f t="shared" si="34"/>
        <v>7.1108653423675783E-2</v>
      </c>
      <c r="Z359" s="402">
        <f t="shared" si="34"/>
        <v>7.1108653423675783E-2</v>
      </c>
      <c r="AA359" s="402">
        <f t="shared" si="34"/>
        <v>7.1108653423675783E-2</v>
      </c>
      <c r="AB359" s="402">
        <f t="shared" si="34"/>
        <v>7.1108653423675783E-2</v>
      </c>
      <c r="AC359" s="402">
        <f t="shared" si="34"/>
        <v>7.1108653423675783E-2</v>
      </c>
      <c r="AD359" s="402">
        <f t="shared" si="34"/>
        <v>7.1108653423675783E-2</v>
      </c>
      <c r="AE359" s="402">
        <f t="shared" si="34"/>
        <v>7.1108653423675783E-2</v>
      </c>
      <c r="AF359" s="402">
        <f t="shared" si="34"/>
        <v>7.1108653423675783E-2</v>
      </c>
      <c r="AG359" s="402">
        <f t="shared" si="34"/>
        <v>7.1108653423675783E-2</v>
      </c>
      <c r="AH359" s="402">
        <f t="shared" si="34"/>
        <v>7.1108653423675783E-2</v>
      </c>
      <c r="AI359" s="402">
        <f t="shared" si="34"/>
        <v>7.1108653423675783E-2</v>
      </c>
      <c r="AJ359" s="402">
        <f t="shared" si="34"/>
        <v>7.1108653423675783E-2</v>
      </c>
      <c r="AK359" s="402">
        <f t="shared" si="34"/>
        <v>7.1108653423675783E-2</v>
      </c>
      <c r="AL359" s="402">
        <f t="shared" si="34"/>
        <v>7.1108653423675783E-2</v>
      </c>
      <c r="AM359" s="402">
        <f t="shared" si="34"/>
        <v>7.1108653423675783E-2</v>
      </c>
      <c r="AN359" s="402">
        <f t="shared" si="34"/>
        <v>7.1108653423675783E-2</v>
      </c>
      <c r="AO359" s="402">
        <f t="shared" si="34"/>
        <v>7.1108653423675783E-2</v>
      </c>
      <c r="AP359" s="402">
        <f t="shared" si="34"/>
        <v>7.1108653423675783E-2</v>
      </c>
      <c r="AQ359" s="402">
        <f t="shared" si="34"/>
        <v>7.1108653423675783E-2</v>
      </c>
      <c r="AR359" s="402">
        <f t="shared" si="34"/>
        <v>7.1108653423675783E-2</v>
      </c>
      <c r="AS359" s="402">
        <f t="shared" si="34"/>
        <v>7.1108653423675783E-2</v>
      </c>
      <c r="AT359" s="402">
        <f t="shared" si="34"/>
        <v>7.1108653423675783E-2</v>
      </c>
      <c r="AU359" s="402">
        <f t="shared" si="34"/>
        <v>7.1108653423675783E-2</v>
      </c>
      <c r="AV359" s="402">
        <f t="shared" si="34"/>
        <v>7.1108653423675783E-2</v>
      </c>
      <c r="AW359" s="402">
        <f t="shared" si="34"/>
        <v>7.1108653423675783E-2</v>
      </c>
    </row>
    <row r="360" spans="1:49" ht="25.5" x14ac:dyDescent="0.2">
      <c r="A360" s="765" t="s">
        <v>470</v>
      </c>
      <c r="B360" s="402" t="s">
        <v>368</v>
      </c>
      <c r="C360" s="402">
        <f t="shared" ref="C360:AW360" si="35">$C$359/1.128</f>
        <v>6.30395863685069E-2</v>
      </c>
      <c r="D360" s="402">
        <f t="shared" si="35"/>
        <v>6.30395863685069E-2</v>
      </c>
      <c r="E360" s="402">
        <f t="shared" si="35"/>
        <v>6.30395863685069E-2</v>
      </c>
      <c r="F360" s="402">
        <f t="shared" si="35"/>
        <v>6.30395863685069E-2</v>
      </c>
      <c r="G360" s="402">
        <f t="shared" si="35"/>
        <v>6.30395863685069E-2</v>
      </c>
      <c r="H360" s="402">
        <f t="shared" si="35"/>
        <v>6.30395863685069E-2</v>
      </c>
      <c r="I360" s="402">
        <f t="shared" si="35"/>
        <v>6.30395863685069E-2</v>
      </c>
      <c r="J360" s="402">
        <f t="shared" si="35"/>
        <v>6.30395863685069E-2</v>
      </c>
      <c r="K360" s="402">
        <f t="shared" si="35"/>
        <v>6.30395863685069E-2</v>
      </c>
      <c r="L360" s="402">
        <f t="shared" si="35"/>
        <v>6.30395863685069E-2</v>
      </c>
      <c r="M360" s="402">
        <f t="shared" si="35"/>
        <v>6.30395863685069E-2</v>
      </c>
      <c r="N360" s="402">
        <f t="shared" si="35"/>
        <v>6.30395863685069E-2</v>
      </c>
      <c r="O360" s="402">
        <f t="shared" si="35"/>
        <v>6.30395863685069E-2</v>
      </c>
      <c r="P360" s="402">
        <f t="shared" si="35"/>
        <v>6.30395863685069E-2</v>
      </c>
      <c r="Q360" s="402">
        <f t="shared" si="35"/>
        <v>6.30395863685069E-2</v>
      </c>
      <c r="R360" s="402">
        <f t="shared" si="35"/>
        <v>6.30395863685069E-2</v>
      </c>
      <c r="S360" s="402">
        <f t="shared" si="35"/>
        <v>6.30395863685069E-2</v>
      </c>
      <c r="T360" s="402">
        <f t="shared" si="35"/>
        <v>6.30395863685069E-2</v>
      </c>
      <c r="U360" s="402">
        <f t="shared" si="35"/>
        <v>6.30395863685069E-2</v>
      </c>
      <c r="V360" s="402">
        <f t="shared" si="35"/>
        <v>6.30395863685069E-2</v>
      </c>
      <c r="W360" s="402">
        <f t="shared" si="35"/>
        <v>6.30395863685069E-2</v>
      </c>
      <c r="X360" s="402">
        <f t="shared" si="35"/>
        <v>6.30395863685069E-2</v>
      </c>
      <c r="Y360" s="402">
        <f t="shared" si="35"/>
        <v>6.30395863685069E-2</v>
      </c>
      <c r="Z360" s="402">
        <f t="shared" si="35"/>
        <v>6.30395863685069E-2</v>
      </c>
      <c r="AA360" s="402">
        <f t="shared" si="35"/>
        <v>6.30395863685069E-2</v>
      </c>
      <c r="AB360" s="402">
        <f t="shared" si="35"/>
        <v>6.30395863685069E-2</v>
      </c>
      <c r="AC360" s="402">
        <f t="shared" si="35"/>
        <v>6.30395863685069E-2</v>
      </c>
      <c r="AD360" s="402">
        <f t="shared" si="35"/>
        <v>6.30395863685069E-2</v>
      </c>
      <c r="AE360" s="402">
        <f t="shared" si="35"/>
        <v>6.30395863685069E-2</v>
      </c>
      <c r="AF360" s="402">
        <f t="shared" si="35"/>
        <v>6.30395863685069E-2</v>
      </c>
      <c r="AG360" s="402">
        <f t="shared" si="35"/>
        <v>6.30395863685069E-2</v>
      </c>
      <c r="AH360" s="402">
        <f t="shared" si="35"/>
        <v>6.30395863685069E-2</v>
      </c>
      <c r="AI360" s="402">
        <f t="shared" si="35"/>
        <v>6.30395863685069E-2</v>
      </c>
      <c r="AJ360" s="402">
        <f t="shared" si="35"/>
        <v>6.30395863685069E-2</v>
      </c>
      <c r="AK360" s="402">
        <f t="shared" si="35"/>
        <v>6.30395863685069E-2</v>
      </c>
      <c r="AL360" s="402">
        <f t="shared" si="35"/>
        <v>6.30395863685069E-2</v>
      </c>
      <c r="AM360" s="402">
        <f t="shared" si="35"/>
        <v>6.30395863685069E-2</v>
      </c>
      <c r="AN360" s="402">
        <f t="shared" si="35"/>
        <v>6.30395863685069E-2</v>
      </c>
      <c r="AO360" s="402">
        <f t="shared" si="35"/>
        <v>6.30395863685069E-2</v>
      </c>
      <c r="AP360" s="402">
        <f t="shared" si="35"/>
        <v>6.30395863685069E-2</v>
      </c>
      <c r="AQ360" s="402">
        <f t="shared" si="35"/>
        <v>6.30395863685069E-2</v>
      </c>
      <c r="AR360" s="402">
        <f t="shared" si="35"/>
        <v>6.30395863685069E-2</v>
      </c>
      <c r="AS360" s="402">
        <f t="shared" si="35"/>
        <v>6.30395863685069E-2</v>
      </c>
      <c r="AT360" s="402">
        <f t="shared" si="35"/>
        <v>6.30395863685069E-2</v>
      </c>
      <c r="AU360" s="402">
        <f t="shared" si="35"/>
        <v>6.30395863685069E-2</v>
      </c>
      <c r="AV360" s="402">
        <f t="shared" si="35"/>
        <v>6.30395863685069E-2</v>
      </c>
      <c r="AW360" s="402">
        <f t="shared" si="35"/>
        <v>6.30395863685069E-2</v>
      </c>
    </row>
    <row r="361" spans="1:49" x14ac:dyDescent="0.2">
      <c r="A361" s="765" t="s">
        <v>473</v>
      </c>
      <c r="B361" s="402">
        <f t="shared" ref="B361:AW361" si="36">SUM($C$358+(3*$C$360))</f>
        <v>1.0278209448439044</v>
      </c>
      <c r="C361" s="402">
        <f t="shared" si="36"/>
        <v>1.0278209448439044</v>
      </c>
      <c r="D361" s="402">
        <f t="shared" si="36"/>
        <v>1.0278209448439044</v>
      </c>
      <c r="E361" s="402">
        <f t="shared" si="36"/>
        <v>1.0278209448439044</v>
      </c>
      <c r="F361" s="402">
        <f t="shared" si="36"/>
        <v>1.0278209448439044</v>
      </c>
      <c r="G361" s="402">
        <f t="shared" si="36"/>
        <v>1.0278209448439044</v>
      </c>
      <c r="H361" s="402">
        <f t="shared" si="36"/>
        <v>1.0278209448439044</v>
      </c>
      <c r="I361" s="402">
        <f t="shared" si="36"/>
        <v>1.0278209448439044</v>
      </c>
      <c r="J361" s="402">
        <f t="shared" si="36"/>
        <v>1.0278209448439044</v>
      </c>
      <c r="K361" s="402">
        <f t="shared" si="36"/>
        <v>1.0278209448439044</v>
      </c>
      <c r="L361" s="402">
        <f t="shared" si="36"/>
        <v>1.0278209448439044</v>
      </c>
      <c r="M361" s="402">
        <f t="shared" si="36"/>
        <v>1.0278209448439044</v>
      </c>
      <c r="N361" s="402">
        <f t="shared" si="36"/>
        <v>1.0278209448439044</v>
      </c>
      <c r="O361" s="402">
        <f t="shared" si="36"/>
        <v>1.0278209448439044</v>
      </c>
      <c r="P361" s="402">
        <f t="shared" si="36"/>
        <v>1.0278209448439044</v>
      </c>
      <c r="Q361" s="402">
        <f t="shared" si="36"/>
        <v>1.0278209448439044</v>
      </c>
      <c r="R361" s="402">
        <f t="shared" si="36"/>
        <v>1.0278209448439044</v>
      </c>
      <c r="S361" s="402">
        <f t="shared" si="36"/>
        <v>1.0278209448439044</v>
      </c>
      <c r="T361" s="402">
        <f t="shared" si="36"/>
        <v>1.0278209448439044</v>
      </c>
      <c r="U361" s="402">
        <f t="shared" si="36"/>
        <v>1.0278209448439044</v>
      </c>
      <c r="V361" s="402">
        <f t="shared" si="36"/>
        <v>1.0278209448439044</v>
      </c>
      <c r="W361" s="402">
        <f t="shared" si="36"/>
        <v>1.0278209448439044</v>
      </c>
      <c r="X361" s="402">
        <f t="shared" si="36"/>
        <v>1.0278209448439044</v>
      </c>
      <c r="Y361" s="402">
        <f t="shared" si="36"/>
        <v>1.0278209448439044</v>
      </c>
      <c r="Z361" s="402">
        <f t="shared" si="36"/>
        <v>1.0278209448439044</v>
      </c>
      <c r="AA361" s="402">
        <f t="shared" si="36"/>
        <v>1.0278209448439044</v>
      </c>
      <c r="AB361" s="402">
        <f t="shared" si="36"/>
        <v>1.0278209448439044</v>
      </c>
      <c r="AC361" s="402">
        <f t="shared" si="36"/>
        <v>1.0278209448439044</v>
      </c>
      <c r="AD361" s="402">
        <f t="shared" si="36"/>
        <v>1.0278209448439044</v>
      </c>
      <c r="AE361" s="402">
        <f t="shared" si="36"/>
        <v>1.0278209448439044</v>
      </c>
      <c r="AF361" s="402">
        <f t="shared" si="36"/>
        <v>1.0278209448439044</v>
      </c>
      <c r="AG361" s="402">
        <f t="shared" si="36"/>
        <v>1.0278209448439044</v>
      </c>
      <c r="AH361" s="402">
        <f t="shared" si="36"/>
        <v>1.0278209448439044</v>
      </c>
      <c r="AI361" s="402">
        <f t="shared" si="36"/>
        <v>1.0278209448439044</v>
      </c>
      <c r="AJ361" s="402">
        <f t="shared" si="36"/>
        <v>1.0278209448439044</v>
      </c>
      <c r="AK361" s="402">
        <f t="shared" si="36"/>
        <v>1.0278209448439044</v>
      </c>
      <c r="AL361" s="402">
        <f t="shared" si="36"/>
        <v>1.0278209448439044</v>
      </c>
      <c r="AM361" s="402">
        <f t="shared" si="36"/>
        <v>1.0278209448439044</v>
      </c>
      <c r="AN361" s="402">
        <f t="shared" si="36"/>
        <v>1.0278209448439044</v>
      </c>
      <c r="AO361" s="402">
        <f t="shared" si="36"/>
        <v>1.0278209448439044</v>
      </c>
      <c r="AP361" s="402">
        <f t="shared" si="36"/>
        <v>1.0278209448439044</v>
      </c>
      <c r="AQ361" s="402">
        <f t="shared" si="36"/>
        <v>1.0278209448439044</v>
      </c>
      <c r="AR361" s="402">
        <f t="shared" si="36"/>
        <v>1.0278209448439044</v>
      </c>
      <c r="AS361" s="402">
        <f t="shared" si="36"/>
        <v>1.0278209448439044</v>
      </c>
      <c r="AT361" s="402">
        <f t="shared" si="36"/>
        <v>1.0278209448439044</v>
      </c>
      <c r="AU361" s="402">
        <f t="shared" si="36"/>
        <v>1.0278209448439044</v>
      </c>
      <c r="AV361" s="402">
        <f t="shared" si="36"/>
        <v>1.0278209448439044</v>
      </c>
      <c r="AW361" s="402">
        <f t="shared" si="36"/>
        <v>1.0278209448439044</v>
      </c>
    </row>
    <row r="362" spans="1:49" x14ac:dyDescent="0.2">
      <c r="A362" s="765" t="s">
        <v>475</v>
      </c>
      <c r="B362" s="402">
        <f t="shared" ref="B362:AW362" si="37">SUM($C$358-(3*$C$360))</f>
        <v>0.64958342663286306</v>
      </c>
      <c r="C362" s="402">
        <f t="shared" si="37"/>
        <v>0.64958342663286306</v>
      </c>
      <c r="D362" s="402">
        <f t="shared" si="37"/>
        <v>0.64958342663286306</v>
      </c>
      <c r="E362" s="402">
        <f t="shared" si="37"/>
        <v>0.64958342663286306</v>
      </c>
      <c r="F362" s="402">
        <f t="shared" si="37"/>
        <v>0.64958342663286306</v>
      </c>
      <c r="G362" s="402">
        <f t="shared" si="37"/>
        <v>0.64958342663286306</v>
      </c>
      <c r="H362" s="402">
        <f t="shared" si="37"/>
        <v>0.64958342663286306</v>
      </c>
      <c r="I362" s="402">
        <f t="shared" si="37"/>
        <v>0.64958342663286306</v>
      </c>
      <c r="J362" s="402">
        <f t="shared" si="37"/>
        <v>0.64958342663286306</v>
      </c>
      <c r="K362" s="402">
        <f t="shared" si="37"/>
        <v>0.64958342663286306</v>
      </c>
      <c r="L362" s="402">
        <f t="shared" si="37"/>
        <v>0.64958342663286306</v>
      </c>
      <c r="M362" s="402">
        <f t="shared" si="37"/>
        <v>0.64958342663286306</v>
      </c>
      <c r="N362" s="402">
        <f t="shared" si="37"/>
        <v>0.64958342663286306</v>
      </c>
      <c r="O362" s="402">
        <f t="shared" si="37"/>
        <v>0.64958342663286306</v>
      </c>
      <c r="P362" s="402">
        <f t="shared" si="37"/>
        <v>0.64958342663286306</v>
      </c>
      <c r="Q362" s="402">
        <f t="shared" si="37"/>
        <v>0.64958342663286306</v>
      </c>
      <c r="R362" s="402">
        <f t="shared" si="37"/>
        <v>0.64958342663286306</v>
      </c>
      <c r="S362" s="402">
        <f t="shared" si="37"/>
        <v>0.64958342663286306</v>
      </c>
      <c r="T362" s="402">
        <f t="shared" si="37"/>
        <v>0.64958342663286306</v>
      </c>
      <c r="U362" s="402">
        <f t="shared" si="37"/>
        <v>0.64958342663286306</v>
      </c>
      <c r="V362" s="402">
        <f t="shared" si="37"/>
        <v>0.64958342663286306</v>
      </c>
      <c r="W362" s="402">
        <f t="shared" si="37"/>
        <v>0.64958342663286306</v>
      </c>
      <c r="X362" s="402">
        <f t="shared" si="37"/>
        <v>0.64958342663286306</v>
      </c>
      <c r="Y362" s="402">
        <f t="shared" si="37"/>
        <v>0.64958342663286306</v>
      </c>
      <c r="Z362" s="402">
        <f t="shared" si="37"/>
        <v>0.64958342663286306</v>
      </c>
      <c r="AA362" s="402">
        <f t="shared" si="37"/>
        <v>0.64958342663286306</v>
      </c>
      <c r="AB362" s="402">
        <f t="shared" si="37"/>
        <v>0.64958342663286306</v>
      </c>
      <c r="AC362" s="402">
        <f t="shared" si="37"/>
        <v>0.64958342663286306</v>
      </c>
      <c r="AD362" s="402">
        <f t="shared" si="37"/>
        <v>0.64958342663286306</v>
      </c>
      <c r="AE362" s="402">
        <f t="shared" si="37"/>
        <v>0.64958342663286306</v>
      </c>
      <c r="AF362" s="402">
        <f t="shared" si="37"/>
        <v>0.64958342663286306</v>
      </c>
      <c r="AG362" s="402">
        <f t="shared" si="37"/>
        <v>0.64958342663286306</v>
      </c>
      <c r="AH362" s="402">
        <f t="shared" si="37"/>
        <v>0.64958342663286306</v>
      </c>
      <c r="AI362" s="402">
        <f t="shared" si="37"/>
        <v>0.64958342663286306</v>
      </c>
      <c r="AJ362" s="402">
        <f t="shared" si="37"/>
        <v>0.64958342663286306</v>
      </c>
      <c r="AK362" s="402">
        <f t="shared" si="37"/>
        <v>0.64958342663286306</v>
      </c>
      <c r="AL362" s="402">
        <f t="shared" si="37"/>
        <v>0.64958342663286306</v>
      </c>
      <c r="AM362" s="402">
        <f t="shared" si="37"/>
        <v>0.64958342663286306</v>
      </c>
      <c r="AN362" s="402">
        <f t="shared" si="37"/>
        <v>0.64958342663286306</v>
      </c>
      <c r="AO362" s="402">
        <f t="shared" si="37"/>
        <v>0.64958342663286306</v>
      </c>
      <c r="AP362" s="402">
        <f t="shared" si="37"/>
        <v>0.64958342663286306</v>
      </c>
      <c r="AQ362" s="402">
        <f t="shared" si="37"/>
        <v>0.64958342663286306</v>
      </c>
      <c r="AR362" s="402">
        <f t="shared" si="37"/>
        <v>0.64958342663286306</v>
      </c>
      <c r="AS362" s="402">
        <f t="shared" si="37"/>
        <v>0.64958342663286306</v>
      </c>
      <c r="AT362" s="402">
        <f t="shared" si="37"/>
        <v>0.64958342663286306</v>
      </c>
      <c r="AU362" s="402">
        <f t="shared" si="37"/>
        <v>0.64958342663286306</v>
      </c>
      <c r="AV362" s="402">
        <f t="shared" si="37"/>
        <v>0.64958342663286306</v>
      </c>
      <c r="AW362" s="402">
        <f t="shared" si="37"/>
        <v>0.64958342663286306</v>
      </c>
    </row>
    <row r="363" spans="1:49" ht="51" x14ac:dyDescent="0.2">
      <c r="A363" s="456" t="s">
        <v>484</v>
      </c>
      <c r="B363" s="757">
        <v>89</v>
      </c>
      <c r="C363" s="757">
        <v>105</v>
      </c>
      <c r="D363" s="757">
        <v>80</v>
      </c>
      <c r="E363" s="757">
        <v>78</v>
      </c>
      <c r="F363" s="757">
        <v>88</v>
      </c>
      <c r="G363" s="757">
        <v>94</v>
      </c>
      <c r="H363" s="757">
        <v>106</v>
      </c>
      <c r="I363" s="757">
        <v>107</v>
      </c>
      <c r="J363" s="757">
        <v>86</v>
      </c>
      <c r="K363" s="757">
        <v>106</v>
      </c>
      <c r="L363" s="757">
        <v>100</v>
      </c>
      <c r="M363" s="757">
        <v>87</v>
      </c>
      <c r="N363" s="757">
        <v>102</v>
      </c>
      <c r="O363" s="757">
        <v>93</v>
      </c>
      <c r="P363" s="757">
        <v>103</v>
      </c>
      <c r="Q363" s="757">
        <v>103</v>
      </c>
      <c r="R363" s="757">
        <v>96</v>
      </c>
      <c r="S363" s="757">
        <v>102</v>
      </c>
      <c r="T363" s="757">
        <v>105</v>
      </c>
      <c r="U363" s="757">
        <v>85</v>
      </c>
      <c r="V363" s="757">
        <v>117</v>
      </c>
      <c r="W363" s="757">
        <v>101</v>
      </c>
      <c r="X363" s="757">
        <v>80</v>
      </c>
      <c r="Y363" s="757">
        <v>123</v>
      </c>
      <c r="Z363" s="757">
        <v>102</v>
      </c>
      <c r="AA363" s="757">
        <v>122</v>
      </c>
      <c r="AB363" s="757">
        <v>119</v>
      </c>
      <c r="AC363" s="757">
        <v>97</v>
      </c>
      <c r="AD363" s="757">
        <v>111</v>
      </c>
      <c r="AE363" s="757">
        <v>81</v>
      </c>
      <c r="AF363" s="757">
        <v>106</v>
      </c>
      <c r="AG363" s="757"/>
      <c r="AH363" s="757"/>
      <c r="AI363" s="757"/>
      <c r="AJ363" s="757"/>
      <c r="AK363" s="757"/>
      <c r="AL363" s="757"/>
      <c r="AM363" s="757"/>
      <c r="AN363" s="757"/>
      <c r="AO363" s="757"/>
      <c r="AP363" s="757"/>
      <c r="AQ363" s="757"/>
      <c r="AR363" s="757"/>
      <c r="AS363" s="757"/>
      <c r="AT363" s="757"/>
      <c r="AU363" s="757"/>
      <c r="AV363" s="757"/>
      <c r="AW363" s="757"/>
    </row>
    <row r="364" spans="1:49" x14ac:dyDescent="0.2">
      <c r="A364" s="456" t="s">
        <v>130</v>
      </c>
      <c r="B364" s="757" t="s">
        <v>230</v>
      </c>
      <c r="C364" s="757" t="s">
        <v>230</v>
      </c>
      <c r="D364" s="757" t="s">
        <v>230</v>
      </c>
      <c r="E364" s="757" t="s">
        <v>230</v>
      </c>
      <c r="F364" s="757" t="s">
        <v>230</v>
      </c>
      <c r="G364" s="757" t="s">
        <v>230</v>
      </c>
      <c r="H364" s="757" t="s">
        <v>230</v>
      </c>
      <c r="I364" s="757" t="s">
        <v>230</v>
      </c>
      <c r="J364" s="757" t="s">
        <v>230</v>
      </c>
      <c r="K364" s="757" t="s">
        <v>230</v>
      </c>
      <c r="L364" s="757" t="s">
        <v>230</v>
      </c>
      <c r="M364" s="757" t="s">
        <v>230</v>
      </c>
      <c r="N364" s="757">
        <f t="shared" ref="N364:Y364" si="38">MEDIAN($N$363:$Y$363)</f>
        <v>102</v>
      </c>
      <c r="O364" s="757">
        <f t="shared" si="38"/>
        <v>102</v>
      </c>
      <c r="P364" s="757">
        <f t="shared" si="38"/>
        <v>102</v>
      </c>
      <c r="Q364" s="757">
        <f t="shared" si="38"/>
        <v>102</v>
      </c>
      <c r="R364" s="757">
        <f t="shared" si="38"/>
        <v>102</v>
      </c>
      <c r="S364" s="757">
        <f t="shared" si="38"/>
        <v>102</v>
      </c>
      <c r="T364" s="757">
        <f t="shared" si="38"/>
        <v>102</v>
      </c>
      <c r="U364" s="757">
        <f t="shared" si="38"/>
        <v>102</v>
      </c>
      <c r="V364" s="757">
        <f t="shared" si="38"/>
        <v>102</v>
      </c>
      <c r="W364" s="757">
        <f t="shared" si="38"/>
        <v>102</v>
      </c>
      <c r="X364" s="757">
        <f t="shared" si="38"/>
        <v>102</v>
      </c>
      <c r="Y364" s="757">
        <f t="shared" si="38"/>
        <v>102</v>
      </c>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row>
    <row r="365" spans="1:49" x14ac:dyDescent="0.2">
      <c r="A365" s="456" t="s">
        <v>178</v>
      </c>
      <c r="B365" s="757"/>
      <c r="C365" s="757"/>
      <c r="D365" s="757"/>
      <c r="E365" s="757"/>
      <c r="F365" s="757"/>
      <c r="G365" s="757"/>
      <c r="H365" s="757"/>
      <c r="I365" s="757"/>
      <c r="J365" s="757"/>
      <c r="K365" s="757"/>
      <c r="L365" s="757"/>
      <c r="M365" s="757"/>
      <c r="N365" s="757"/>
      <c r="O365" s="757"/>
      <c r="P365" s="757"/>
      <c r="Q365" s="757"/>
      <c r="R365" s="757"/>
      <c r="S365" s="757"/>
      <c r="T365" s="757"/>
      <c r="U365" s="757"/>
      <c r="V365" s="757"/>
      <c r="W365" s="757"/>
      <c r="X365" s="757"/>
      <c r="Y365" s="757">
        <f t="shared" ref="Y365:AW365" si="39">MEDIAN($N$363:$Y$363)</f>
        <v>102</v>
      </c>
      <c r="Z365" s="757">
        <f t="shared" si="39"/>
        <v>102</v>
      </c>
      <c r="AA365" s="757">
        <f t="shared" si="39"/>
        <v>102</v>
      </c>
      <c r="AB365" s="757">
        <f t="shared" si="39"/>
        <v>102</v>
      </c>
      <c r="AC365" s="757">
        <f t="shared" si="39"/>
        <v>102</v>
      </c>
      <c r="AD365" s="757">
        <f t="shared" si="39"/>
        <v>102</v>
      </c>
      <c r="AE365" s="757">
        <f t="shared" si="39"/>
        <v>102</v>
      </c>
      <c r="AF365" s="757">
        <f t="shared" si="39"/>
        <v>102</v>
      </c>
      <c r="AG365" s="757">
        <f t="shared" si="39"/>
        <v>102</v>
      </c>
      <c r="AH365" s="757">
        <f t="shared" si="39"/>
        <v>102</v>
      </c>
      <c r="AI365" s="757">
        <f t="shared" si="39"/>
        <v>102</v>
      </c>
      <c r="AJ365" s="757">
        <f t="shared" si="39"/>
        <v>102</v>
      </c>
      <c r="AK365" s="757">
        <f t="shared" si="39"/>
        <v>102</v>
      </c>
      <c r="AL365" s="757">
        <f t="shared" si="39"/>
        <v>102</v>
      </c>
      <c r="AM365" s="757">
        <f t="shared" si="39"/>
        <v>102</v>
      </c>
      <c r="AN365" s="757">
        <f t="shared" si="39"/>
        <v>102</v>
      </c>
      <c r="AO365" s="757">
        <f t="shared" si="39"/>
        <v>102</v>
      </c>
      <c r="AP365" s="757">
        <f t="shared" si="39"/>
        <v>102</v>
      </c>
      <c r="AQ365" s="757">
        <f t="shared" si="39"/>
        <v>102</v>
      </c>
      <c r="AR365" s="757">
        <f t="shared" si="39"/>
        <v>102</v>
      </c>
      <c r="AS365" s="757">
        <f t="shared" si="39"/>
        <v>102</v>
      </c>
      <c r="AT365" s="757">
        <f t="shared" si="39"/>
        <v>102</v>
      </c>
      <c r="AU365" s="757">
        <f t="shared" si="39"/>
        <v>102</v>
      </c>
      <c r="AV365" s="757">
        <f t="shared" si="39"/>
        <v>102</v>
      </c>
      <c r="AW365" s="757">
        <f t="shared" si="39"/>
        <v>102</v>
      </c>
    </row>
    <row r="366" spans="1:49" x14ac:dyDescent="0.2">
      <c r="A366" s="772" t="s">
        <v>466</v>
      </c>
      <c r="B366" s="757"/>
      <c r="C366" s="757">
        <f>SUM(C363-B363)</f>
        <v>16</v>
      </c>
      <c r="D366" s="757">
        <f>SUM(D363-C363)*-1</f>
        <v>25</v>
      </c>
      <c r="E366" s="757">
        <f>SUM(E363-D363)*-1</f>
        <v>2</v>
      </c>
      <c r="F366" s="757">
        <f t="shared" ref="F366:V366" si="40">SUM(F363-E363)</f>
        <v>10</v>
      </c>
      <c r="G366" s="757">
        <f t="shared" si="40"/>
        <v>6</v>
      </c>
      <c r="H366" s="757">
        <f t="shared" si="40"/>
        <v>12</v>
      </c>
      <c r="I366" s="757">
        <f t="shared" si="40"/>
        <v>1</v>
      </c>
      <c r="J366" s="757">
        <f>SUM(J363-I363)*-1</f>
        <v>21</v>
      </c>
      <c r="K366" s="757">
        <f t="shared" si="40"/>
        <v>20</v>
      </c>
      <c r="L366" s="757">
        <f>SUM(L363-K363)*-1</f>
        <v>6</v>
      </c>
      <c r="M366" s="757">
        <f>SUM(M363-L363)*-1</f>
        <v>13</v>
      </c>
      <c r="N366" s="757">
        <f t="shared" si="40"/>
        <v>15</v>
      </c>
      <c r="O366" s="757">
        <f>SUM(O363-N363)*-1</f>
        <v>9</v>
      </c>
      <c r="P366" s="757">
        <f t="shared" si="40"/>
        <v>10</v>
      </c>
      <c r="Q366" s="757">
        <f t="shared" si="40"/>
        <v>0</v>
      </c>
      <c r="R366" s="757">
        <f>SUM(R363-Q363)*-1</f>
        <v>7</v>
      </c>
      <c r="S366" s="757">
        <f t="shared" si="40"/>
        <v>6</v>
      </c>
      <c r="T366" s="757">
        <f t="shared" si="40"/>
        <v>3</v>
      </c>
      <c r="U366" s="757">
        <f>SUM(U363-T363)*-1</f>
        <v>20</v>
      </c>
      <c r="V366" s="757">
        <f t="shared" si="40"/>
        <v>32</v>
      </c>
      <c r="W366" s="757">
        <f>SUM(W363-V363)*-1</f>
        <v>16</v>
      </c>
      <c r="X366" s="757">
        <f>SUM(X363-W363)*-1</f>
        <v>21</v>
      </c>
      <c r="Y366" s="757">
        <f>SUM(Y363-X363)</f>
        <v>43</v>
      </c>
      <c r="Z366" s="757">
        <f>SUM(Z363-Y363)*-1</f>
        <v>21</v>
      </c>
      <c r="AA366" s="757">
        <f>SUM(AA363-Z363)</f>
        <v>20</v>
      </c>
      <c r="AB366" s="757">
        <f>SUM(AB363-AA363)*-1</f>
        <v>3</v>
      </c>
      <c r="AC366" s="757">
        <f>SUM(AC363-AB363)*-1</f>
        <v>22</v>
      </c>
      <c r="AD366" s="757">
        <f>SUM(AD363-AC363)</f>
        <v>14</v>
      </c>
      <c r="AE366" s="757">
        <f>SUM(AE363-AD363)*-1</f>
        <v>30</v>
      </c>
      <c r="AF366" s="757">
        <f>SUM(AF363-AE363)</f>
        <v>25</v>
      </c>
      <c r="AG366" s="757"/>
      <c r="AH366" s="757"/>
      <c r="AI366" s="757"/>
      <c r="AJ366" s="757"/>
      <c r="AK366" s="757"/>
      <c r="AL366" s="757"/>
      <c r="AM366" s="757"/>
      <c r="AN366" s="757"/>
      <c r="AO366" s="757"/>
      <c r="AP366" s="757"/>
      <c r="AQ366" s="757"/>
      <c r="AR366" s="757"/>
      <c r="AS366" s="757"/>
      <c r="AT366" s="757"/>
      <c r="AU366" s="757"/>
      <c r="AV366" s="757"/>
      <c r="AW366" s="757"/>
    </row>
    <row r="367" spans="1:49" s="186" customFormat="1" ht="21.75" x14ac:dyDescent="0.2">
      <c r="A367" s="768" t="s">
        <v>469</v>
      </c>
      <c r="B367" s="753"/>
      <c r="C367" s="753"/>
      <c r="D367" s="753"/>
      <c r="E367" s="753"/>
      <c r="F367" s="753"/>
      <c r="G367" s="753"/>
      <c r="H367" s="753"/>
      <c r="I367" s="753"/>
      <c r="J367" s="753"/>
      <c r="K367" s="753"/>
      <c r="L367" s="753"/>
      <c r="M367" s="753"/>
      <c r="N367" s="753"/>
      <c r="O367" s="753"/>
      <c r="P367" s="753"/>
      <c r="Q367" s="753"/>
      <c r="R367" s="753"/>
      <c r="S367" s="753"/>
      <c r="T367" s="753"/>
      <c r="U367" s="753"/>
      <c r="V367" s="753"/>
      <c r="W367" s="753"/>
      <c r="X367" s="753"/>
      <c r="Y367" s="753"/>
      <c r="Z367" s="753"/>
      <c r="AA367" s="753"/>
      <c r="AB367" s="753"/>
      <c r="AC367" s="753"/>
      <c r="AD367" s="753"/>
      <c r="AE367" s="753"/>
      <c r="AF367" s="753"/>
      <c r="AG367" s="753"/>
      <c r="AH367" s="753"/>
      <c r="AI367" s="753"/>
      <c r="AJ367" s="753"/>
      <c r="AK367" s="753"/>
      <c r="AL367" s="753"/>
      <c r="AM367" s="753"/>
      <c r="AN367" s="753"/>
      <c r="AO367" s="753"/>
      <c r="AP367" s="753"/>
      <c r="AQ367" s="753"/>
      <c r="AR367" s="753"/>
      <c r="AS367" s="753"/>
      <c r="AT367" s="753"/>
      <c r="AU367" s="753"/>
      <c r="AV367" s="753"/>
      <c r="AW367" s="753"/>
    </row>
    <row r="368" spans="1:49" x14ac:dyDescent="0.2">
      <c r="A368" s="773" t="s">
        <v>468</v>
      </c>
      <c r="B368" s="757">
        <f t="shared" ref="B368:AW368" si="41">AVERAGE($B$363:$AW$363)</f>
        <v>99.161290322580641</v>
      </c>
      <c r="C368" s="757">
        <f t="shared" si="41"/>
        <v>99.161290322580641</v>
      </c>
      <c r="D368" s="757">
        <f t="shared" si="41"/>
        <v>99.161290322580641</v>
      </c>
      <c r="E368" s="757">
        <f t="shared" si="41"/>
        <v>99.161290322580641</v>
      </c>
      <c r="F368" s="757">
        <f t="shared" si="41"/>
        <v>99.161290322580641</v>
      </c>
      <c r="G368" s="757">
        <f t="shared" si="41"/>
        <v>99.161290322580641</v>
      </c>
      <c r="H368" s="757">
        <f t="shared" si="41"/>
        <v>99.161290322580641</v>
      </c>
      <c r="I368" s="757">
        <f t="shared" si="41"/>
        <v>99.161290322580641</v>
      </c>
      <c r="J368" s="757">
        <f t="shared" si="41"/>
        <v>99.161290322580641</v>
      </c>
      <c r="K368" s="757">
        <f t="shared" si="41"/>
        <v>99.161290322580641</v>
      </c>
      <c r="L368" s="757">
        <f t="shared" si="41"/>
        <v>99.161290322580641</v>
      </c>
      <c r="M368" s="757">
        <f t="shared" si="41"/>
        <v>99.161290322580641</v>
      </c>
      <c r="N368" s="757">
        <f t="shared" si="41"/>
        <v>99.161290322580641</v>
      </c>
      <c r="O368" s="757">
        <f t="shared" si="41"/>
        <v>99.161290322580641</v>
      </c>
      <c r="P368" s="757">
        <f t="shared" si="41"/>
        <v>99.161290322580641</v>
      </c>
      <c r="Q368" s="757">
        <f t="shared" si="41"/>
        <v>99.161290322580641</v>
      </c>
      <c r="R368" s="757">
        <f t="shared" si="41"/>
        <v>99.161290322580641</v>
      </c>
      <c r="S368" s="757">
        <f t="shared" si="41"/>
        <v>99.161290322580641</v>
      </c>
      <c r="T368" s="757">
        <f t="shared" si="41"/>
        <v>99.161290322580641</v>
      </c>
      <c r="U368" s="757">
        <f t="shared" si="41"/>
        <v>99.161290322580641</v>
      </c>
      <c r="V368" s="757">
        <f t="shared" si="41"/>
        <v>99.161290322580641</v>
      </c>
      <c r="W368" s="757">
        <f t="shared" si="41"/>
        <v>99.161290322580641</v>
      </c>
      <c r="X368" s="757">
        <f t="shared" si="41"/>
        <v>99.161290322580641</v>
      </c>
      <c r="Y368" s="757">
        <f t="shared" si="41"/>
        <v>99.161290322580641</v>
      </c>
      <c r="Z368" s="757">
        <f t="shared" si="41"/>
        <v>99.161290322580641</v>
      </c>
      <c r="AA368" s="757">
        <f t="shared" si="41"/>
        <v>99.161290322580641</v>
      </c>
      <c r="AB368" s="757">
        <f t="shared" si="41"/>
        <v>99.161290322580641</v>
      </c>
      <c r="AC368" s="757">
        <f t="shared" si="41"/>
        <v>99.161290322580641</v>
      </c>
      <c r="AD368" s="757">
        <f t="shared" si="41"/>
        <v>99.161290322580641</v>
      </c>
      <c r="AE368" s="757">
        <f t="shared" si="41"/>
        <v>99.161290322580641</v>
      </c>
      <c r="AF368" s="757">
        <f t="shared" si="41"/>
        <v>99.161290322580641</v>
      </c>
      <c r="AG368" s="757">
        <f t="shared" si="41"/>
        <v>99.161290322580641</v>
      </c>
      <c r="AH368" s="757">
        <f t="shared" si="41"/>
        <v>99.161290322580641</v>
      </c>
      <c r="AI368" s="757">
        <f t="shared" si="41"/>
        <v>99.161290322580641</v>
      </c>
      <c r="AJ368" s="757">
        <f t="shared" si="41"/>
        <v>99.161290322580641</v>
      </c>
      <c r="AK368" s="757">
        <f t="shared" si="41"/>
        <v>99.161290322580641</v>
      </c>
      <c r="AL368" s="757">
        <f t="shared" si="41"/>
        <v>99.161290322580641</v>
      </c>
      <c r="AM368" s="757">
        <f t="shared" si="41"/>
        <v>99.161290322580641</v>
      </c>
      <c r="AN368" s="757">
        <f t="shared" si="41"/>
        <v>99.161290322580641</v>
      </c>
      <c r="AO368" s="757">
        <f t="shared" si="41"/>
        <v>99.161290322580641</v>
      </c>
      <c r="AP368" s="757">
        <f t="shared" si="41"/>
        <v>99.161290322580641</v>
      </c>
      <c r="AQ368" s="757">
        <f t="shared" si="41"/>
        <v>99.161290322580641</v>
      </c>
      <c r="AR368" s="757">
        <f t="shared" si="41"/>
        <v>99.161290322580641</v>
      </c>
      <c r="AS368" s="757">
        <f t="shared" si="41"/>
        <v>99.161290322580641</v>
      </c>
      <c r="AT368" s="757">
        <f t="shared" si="41"/>
        <v>99.161290322580641</v>
      </c>
      <c r="AU368" s="757">
        <f t="shared" si="41"/>
        <v>99.161290322580641</v>
      </c>
      <c r="AV368" s="757">
        <f t="shared" si="41"/>
        <v>99.161290322580641</v>
      </c>
      <c r="AW368" s="757">
        <f t="shared" si="41"/>
        <v>99.161290322580641</v>
      </c>
    </row>
    <row r="369" spans="1:49" x14ac:dyDescent="0.2">
      <c r="A369" s="772" t="s">
        <v>467</v>
      </c>
      <c r="B369" s="757">
        <f t="shared" ref="B369:AW369" si="42">SUM($C$366:$AW$366)/22</f>
        <v>20.40909090909091</v>
      </c>
      <c r="C369" s="757">
        <f t="shared" si="42"/>
        <v>20.40909090909091</v>
      </c>
      <c r="D369" s="757">
        <f t="shared" si="42"/>
        <v>20.40909090909091</v>
      </c>
      <c r="E369" s="757">
        <f t="shared" si="42"/>
        <v>20.40909090909091</v>
      </c>
      <c r="F369" s="757">
        <f t="shared" si="42"/>
        <v>20.40909090909091</v>
      </c>
      <c r="G369" s="757">
        <f t="shared" si="42"/>
        <v>20.40909090909091</v>
      </c>
      <c r="H369" s="757">
        <f t="shared" si="42"/>
        <v>20.40909090909091</v>
      </c>
      <c r="I369" s="757">
        <f t="shared" si="42"/>
        <v>20.40909090909091</v>
      </c>
      <c r="J369" s="757">
        <f t="shared" si="42"/>
        <v>20.40909090909091</v>
      </c>
      <c r="K369" s="757">
        <f t="shared" si="42"/>
        <v>20.40909090909091</v>
      </c>
      <c r="L369" s="757">
        <f t="shared" si="42"/>
        <v>20.40909090909091</v>
      </c>
      <c r="M369" s="757">
        <f t="shared" si="42"/>
        <v>20.40909090909091</v>
      </c>
      <c r="N369" s="757">
        <f t="shared" si="42"/>
        <v>20.40909090909091</v>
      </c>
      <c r="O369" s="757">
        <f t="shared" si="42"/>
        <v>20.40909090909091</v>
      </c>
      <c r="P369" s="757">
        <f t="shared" si="42"/>
        <v>20.40909090909091</v>
      </c>
      <c r="Q369" s="757">
        <f t="shared" si="42"/>
        <v>20.40909090909091</v>
      </c>
      <c r="R369" s="757">
        <f t="shared" si="42"/>
        <v>20.40909090909091</v>
      </c>
      <c r="S369" s="757">
        <f t="shared" si="42"/>
        <v>20.40909090909091</v>
      </c>
      <c r="T369" s="757">
        <f t="shared" si="42"/>
        <v>20.40909090909091</v>
      </c>
      <c r="U369" s="757">
        <f t="shared" si="42"/>
        <v>20.40909090909091</v>
      </c>
      <c r="V369" s="757">
        <f t="shared" si="42"/>
        <v>20.40909090909091</v>
      </c>
      <c r="W369" s="757">
        <f t="shared" si="42"/>
        <v>20.40909090909091</v>
      </c>
      <c r="X369" s="757">
        <f t="shared" si="42"/>
        <v>20.40909090909091</v>
      </c>
      <c r="Y369" s="757">
        <f t="shared" si="42"/>
        <v>20.40909090909091</v>
      </c>
      <c r="Z369" s="757">
        <f t="shared" si="42"/>
        <v>20.40909090909091</v>
      </c>
      <c r="AA369" s="757">
        <f t="shared" si="42"/>
        <v>20.40909090909091</v>
      </c>
      <c r="AB369" s="757">
        <f t="shared" si="42"/>
        <v>20.40909090909091</v>
      </c>
      <c r="AC369" s="757">
        <f t="shared" si="42"/>
        <v>20.40909090909091</v>
      </c>
      <c r="AD369" s="757">
        <f t="shared" si="42"/>
        <v>20.40909090909091</v>
      </c>
      <c r="AE369" s="757">
        <f t="shared" si="42"/>
        <v>20.40909090909091</v>
      </c>
      <c r="AF369" s="757">
        <f t="shared" si="42"/>
        <v>20.40909090909091</v>
      </c>
      <c r="AG369" s="757">
        <f t="shared" si="42"/>
        <v>20.40909090909091</v>
      </c>
      <c r="AH369" s="757">
        <f t="shared" si="42"/>
        <v>20.40909090909091</v>
      </c>
      <c r="AI369" s="757">
        <f t="shared" si="42"/>
        <v>20.40909090909091</v>
      </c>
      <c r="AJ369" s="757">
        <f t="shared" si="42"/>
        <v>20.40909090909091</v>
      </c>
      <c r="AK369" s="757">
        <f t="shared" si="42"/>
        <v>20.40909090909091</v>
      </c>
      <c r="AL369" s="757">
        <f t="shared" si="42"/>
        <v>20.40909090909091</v>
      </c>
      <c r="AM369" s="757">
        <f t="shared" si="42"/>
        <v>20.40909090909091</v>
      </c>
      <c r="AN369" s="757">
        <f t="shared" si="42"/>
        <v>20.40909090909091</v>
      </c>
      <c r="AO369" s="757">
        <f t="shared" si="42"/>
        <v>20.40909090909091</v>
      </c>
      <c r="AP369" s="757">
        <f t="shared" si="42"/>
        <v>20.40909090909091</v>
      </c>
      <c r="AQ369" s="757">
        <f t="shared" si="42"/>
        <v>20.40909090909091</v>
      </c>
      <c r="AR369" s="757">
        <f t="shared" si="42"/>
        <v>20.40909090909091</v>
      </c>
      <c r="AS369" s="757">
        <f t="shared" si="42"/>
        <v>20.40909090909091</v>
      </c>
      <c r="AT369" s="757">
        <f t="shared" si="42"/>
        <v>20.40909090909091</v>
      </c>
      <c r="AU369" s="757">
        <f t="shared" si="42"/>
        <v>20.40909090909091</v>
      </c>
      <c r="AV369" s="757">
        <f t="shared" si="42"/>
        <v>20.40909090909091</v>
      </c>
      <c r="AW369" s="757">
        <f t="shared" si="42"/>
        <v>20.40909090909091</v>
      </c>
    </row>
    <row r="370" spans="1:49" ht="25.5" x14ac:dyDescent="0.2">
      <c r="A370" s="772" t="s">
        <v>470</v>
      </c>
      <c r="B370" s="757">
        <f t="shared" ref="B370:AW370" si="43">SUM($B$369)/1.128</f>
        <v>18.093165699548681</v>
      </c>
      <c r="C370" s="757">
        <f t="shared" si="43"/>
        <v>18.093165699548681</v>
      </c>
      <c r="D370" s="757">
        <f t="shared" si="43"/>
        <v>18.093165699548681</v>
      </c>
      <c r="E370" s="757">
        <f t="shared" si="43"/>
        <v>18.093165699548681</v>
      </c>
      <c r="F370" s="757">
        <f t="shared" si="43"/>
        <v>18.093165699548681</v>
      </c>
      <c r="G370" s="757">
        <f t="shared" si="43"/>
        <v>18.093165699548681</v>
      </c>
      <c r="H370" s="757">
        <f t="shared" si="43"/>
        <v>18.093165699548681</v>
      </c>
      <c r="I370" s="757">
        <f t="shared" si="43"/>
        <v>18.093165699548681</v>
      </c>
      <c r="J370" s="757">
        <f t="shared" si="43"/>
        <v>18.093165699548681</v>
      </c>
      <c r="K370" s="757">
        <f t="shared" si="43"/>
        <v>18.093165699548681</v>
      </c>
      <c r="L370" s="757">
        <f t="shared" si="43"/>
        <v>18.093165699548681</v>
      </c>
      <c r="M370" s="757">
        <f t="shared" si="43"/>
        <v>18.093165699548681</v>
      </c>
      <c r="N370" s="757">
        <f t="shared" si="43"/>
        <v>18.093165699548681</v>
      </c>
      <c r="O370" s="757">
        <f t="shared" si="43"/>
        <v>18.093165699548681</v>
      </c>
      <c r="P370" s="757">
        <f t="shared" si="43"/>
        <v>18.093165699548681</v>
      </c>
      <c r="Q370" s="757">
        <f t="shared" si="43"/>
        <v>18.093165699548681</v>
      </c>
      <c r="R370" s="757">
        <f t="shared" si="43"/>
        <v>18.093165699548681</v>
      </c>
      <c r="S370" s="757">
        <f t="shared" si="43"/>
        <v>18.093165699548681</v>
      </c>
      <c r="T370" s="757">
        <f t="shared" si="43"/>
        <v>18.093165699548681</v>
      </c>
      <c r="U370" s="757">
        <f t="shared" si="43"/>
        <v>18.093165699548681</v>
      </c>
      <c r="V370" s="757">
        <f t="shared" si="43"/>
        <v>18.093165699548681</v>
      </c>
      <c r="W370" s="757">
        <f t="shared" si="43"/>
        <v>18.093165699548681</v>
      </c>
      <c r="X370" s="757">
        <f t="shared" si="43"/>
        <v>18.093165699548681</v>
      </c>
      <c r="Y370" s="757">
        <f t="shared" si="43"/>
        <v>18.093165699548681</v>
      </c>
      <c r="Z370" s="757">
        <f t="shared" si="43"/>
        <v>18.093165699548681</v>
      </c>
      <c r="AA370" s="757">
        <f t="shared" si="43"/>
        <v>18.093165699548681</v>
      </c>
      <c r="AB370" s="757">
        <f t="shared" si="43"/>
        <v>18.093165699548681</v>
      </c>
      <c r="AC370" s="757">
        <f t="shared" si="43"/>
        <v>18.093165699548681</v>
      </c>
      <c r="AD370" s="757">
        <f t="shared" si="43"/>
        <v>18.093165699548681</v>
      </c>
      <c r="AE370" s="757">
        <f t="shared" si="43"/>
        <v>18.093165699548681</v>
      </c>
      <c r="AF370" s="757">
        <f t="shared" si="43"/>
        <v>18.093165699548681</v>
      </c>
      <c r="AG370" s="757">
        <f t="shared" si="43"/>
        <v>18.093165699548681</v>
      </c>
      <c r="AH370" s="757">
        <f t="shared" si="43"/>
        <v>18.093165699548681</v>
      </c>
      <c r="AI370" s="757">
        <f t="shared" si="43"/>
        <v>18.093165699548681</v>
      </c>
      <c r="AJ370" s="757">
        <f t="shared" si="43"/>
        <v>18.093165699548681</v>
      </c>
      <c r="AK370" s="757">
        <f t="shared" si="43"/>
        <v>18.093165699548681</v>
      </c>
      <c r="AL370" s="757">
        <f t="shared" si="43"/>
        <v>18.093165699548681</v>
      </c>
      <c r="AM370" s="757">
        <f t="shared" si="43"/>
        <v>18.093165699548681</v>
      </c>
      <c r="AN370" s="757">
        <f t="shared" si="43"/>
        <v>18.093165699548681</v>
      </c>
      <c r="AO370" s="757">
        <f t="shared" si="43"/>
        <v>18.093165699548681</v>
      </c>
      <c r="AP370" s="757">
        <f t="shared" si="43"/>
        <v>18.093165699548681</v>
      </c>
      <c r="AQ370" s="757">
        <f t="shared" si="43"/>
        <v>18.093165699548681</v>
      </c>
      <c r="AR370" s="757">
        <f t="shared" si="43"/>
        <v>18.093165699548681</v>
      </c>
      <c r="AS370" s="757">
        <f t="shared" si="43"/>
        <v>18.093165699548681</v>
      </c>
      <c r="AT370" s="757">
        <f t="shared" si="43"/>
        <v>18.093165699548681</v>
      </c>
      <c r="AU370" s="757">
        <f t="shared" si="43"/>
        <v>18.093165699548681</v>
      </c>
      <c r="AV370" s="757">
        <f t="shared" si="43"/>
        <v>18.093165699548681</v>
      </c>
      <c r="AW370" s="757">
        <f t="shared" si="43"/>
        <v>18.093165699548681</v>
      </c>
    </row>
    <row r="371" spans="1:49" x14ac:dyDescent="0.2">
      <c r="A371" s="772" t="s">
        <v>473</v>
      </c>
      <c r="B371" s="757">
        <f t="shared" ref="B371:AW371" si="44">$B$368 + (3*$B$370)</f>
        <v>153.44078742122667</v>
      </c>
      <c r="C371" s="757">
        <f t="shared" si="44"/>
        <v>153.44078742122667</v>
      </c>
      <c r="D371" s="757">
        <f t="shared" si="44"/>
        <v>153.44078742122667</v>
      </c>
      <c r="E371" s="757">
        <f t="shared" si="44"/>
        <v>153.44078742122667</v>
      </c>
      <c r="F371" s="757">
        <f t="shared" si="44"/>
        <v>153.44078742122667</v>
      </c>
      <c r="G371" s="757">
        <f t="shared" si="44"/>
        <v>153.44078742122667</v>
      </c>
      <c r="H371" s="757">
        <f t="shared" si="44"/>
        <v>153.44078742122667</v>
      </c>
      <c r="I371" s="757">
        <f t="shared" si="44"/>
        <v>153.44078742122667</v>
      </c>
      <c r="J371" s="757">
        <f t="shared" si="44"/>
        <v>153.44078742122667</v>
      </c>
      <c r="K371" s="757">
        <f t="shared" si="44"/>
        <v>153.44078742122667</v>
      </c>
      <c r="L371" s="757">
        <f t="shared" si="44"/>
        <v>153.44078742122667</v>
      </c>
      <c r="M371" s="757">
        <f t="shared" si="44"/>
        <v>153.44078742122667</v>
      </c>
      <c r="N371" s="757">
        <f t="shared" si="44"/>
        <v>153.44078742122667</v>
      </c>
      <c r="O371" s="757">
        <f t="shared" si="44"/>
        <v>153.44078742122667</v>
      </c>
      <c r="P371" s="757">
        <f t="shared" si="44"/>
        <v>153.44078742122667</v>
      </c>
      <c r="Q371" s="757">
        <f t="shared" si="44"/>
        <v>153.44078742122667</v>
      </c>
      <c r="R371" s="757">
        <f t="shared" si="44"/>
        <v>153.44078742122667</v>
      </c>
      <c r="S371" s="757">
        <f t="shared" si="44"/>
        <v>153.44078742122667</v>
      </c>
      <c r="T371" s="757">
        <f t="shared" si="44"/>
        <v>153.44078742122667</v>
      </c>
      <c r="U371" s="757">
        <f t="shared" si="44"/>
        <v>153.44078742122667</v>
      </c>
      <c r="V371" s="757">
        <f t="shared" si="44"/>
        <v>153.44078742122667</v>
      </c>
      <c r="W371" s="757">
        <f t="shared" si="44"/>
        <v>153.44078742122667</v>
      </c>
      <c r="X371" s="757">
        <f t="shared" si="44"/>
        <v>153.44078742122667</v>
      </c>
      <c r="Y371" s="757">
        <f t="shared" si="44"/>
        <v>153.44078742122667</v>
      </c>
      <c r="Z371" s="757">
        <f t="shared" si="44"/>
        <v>153.44078742122667</v>
      </c>
      <c r="AA371" s="757">
        <f t="shared" si="44"/>
        <v>153.44078742122667</v>
      </c>
      <c r="AB371" s="757">
        <f t="shared" si="44"/>
        <v>153.44078742122667</v>
      </c>
      <c r="AC371" s="757">
        <f t="shared" si="44"/>
        <v>153.44078742122667</v>
      </c>
      <c r="AD371" s="757">
        <f t="shared" si="44"/>
        <v>153.44078742122667</v>
      </c>
      <c r="AE371" s="757">
        <f t="shared" si="44"/>
        <v>153.44078742122667</v>
      </c>
      <c r="AF371" s="757">
        <f t="shared" si="44"/>
        <v>153.44078742122667</v>
      </c>
      <c r="AG371" s="757">
        <f t="shared" si="44"/>
        <v>153.44078742122667</v>
      </c>
      <c r="AH371" s="757">
        <f t="shared" si="44"/>
        <v>153.44078742122667</v>
      </c>
      <c r="AI371" s="757">
        <f t="shared" si="44"/>
        <v>153.44078742122667</v>
      </c>
      <c r="AJ371" s="757">
        <f t="shared" si="44"/>
        <v>153.44078742122667</v>
      </c>
      <c r="AK371" s="757">
        <f t="shared" si="44"/>
        <v>153.44078742122667</v>
      </c>
      <c r="AL371" s="757">
        <f t="shared" si="44"/>
        <v>153.44078742122667</v>
      </c>
      <c r="AM371" s="757">
        <f t="shared" si="44"/>
        <v>153.44078742122667</v>
      </c>
      <c r="AN371" s="757">
        <f t="shared" si="44"/>
        <v>153.44078742122667</v>
      </c>
      <c r="AO371" s="757">
        <f t="shared" si="44"/>
        <v>153.44078742122667</v>
      </c>
      <c r="AP371" s="757">
        <f t="shared" si="44"/>
        <v>153.44078742122667</v>
      </c>
      <c r="AQ371" s="757">
        <f t="shared" si="44"/>
        <v>153.44078742122667</v>
      </c>
      <c r="AR371" s="757">
        <f t="shared" si="44"/>
        <v>153.44078742122667</v>
      </c>
      <c r="AS371" s="757">
        <f t="shared" si="44"/>
        <v>153.44078742122667</v>
      </c>
      <c r="AT371" s="757">
        <f t="shared" si="44"/>
        <v>153.44078742122667</v>
      </c>
      <c r="AU371" s="757">
        <f t="shared" si="44"/>
        <v>153.44078742122667</v>
      </c>
      <c r="AV371" s="757">
        <f t="shared" si="44"/>
        <v>153.44078742122667</v>
      </c>
      <c r="AW371" s="757">
        <f t="shared" si="44"/>
        <v>153.44078742122667</v>
      </c>
    </row>
    <row r="372" spans="1:49" x14ac:dyDescent="0.2">
      <c r="A372" s="772" t="s">
        <v>475</v>
      </c>
      <c r="B372" s="757">
        <f t="shared" ref="B372:AW372" si="45">$B$368 - (3*$B$370)</f>
        <v>44.881793223934594</v>
      </c>
      <c r="C372" s="757">
        <f t="shared" si="45"/>
        <v>44.881793223934594</v>
      </c>
      <c r="D372" s="757">
        <f t="shared" si="45"/>
        <v>44.881793223934594</v>
      </c>
      <c r="E372" s="757">
        <f t="shared" si="45"/>
        <v>44.881793223934594</v>
      </c>
      <c r="F372" s="757">
        <f t="shared" si="45"/>
        <v>44.881793223934594</v>
      </c>
      <c r="G372" s="757">
        <f t="shared" si="45"/>
        <v>44.881793223934594</v>
      </c>
      <c r="H372" s="757">
        <f t="shared" si="45"/>
        <v>44.881793223934594</v>
      </c>
      <c r="I372" s="757">
        <f t="shared" si="45"/>
        <v>44.881793223934594</v>
      </c>
      <c r="J372" s="757">
        <f t="shared" si="45"/>
        <v>44.881793223934594</v>
      </c>
      <c r="K372" s="757">
        <f t="shared" si="45"/>
        <v>44.881793223934594</v>
      </c>
      <c r="L372" s="757">
        <f t="shared" si="45"/>
        <v>44.881793223934594</v>
      </c>
      <c r="M372" s="757">
        <f t="shared" si="45"/>
        <v>44.881793223934594</v>
      </c>
      <c r="N372" s="757">
        <f t="shared" si="45"/>
        <v>44.881793223934594</v>
      </c>
      <c r="O372" s="757">
        <f t="shared" si="45"/>
        <v>44.881793223934594</v>
      </c>
      <c r="P372" s="757">
        <f t="shared" si="45"/>
        <v>44.881793223934594</v>
      </c>
      <c r="Q372" s="757">
        <f t="shared" si="45"/>
        <v>44.881793223934594</v>
      </c>
      <c r="R372" s="757">
        <f t="shared" si="45"/>
        <v>44.881793223934594</v>
      </c>
      <c r="S372" s="757">
        <f t="shared" si="45"/>
        <v>44.881793223934594</v>
      </c>
      <c r="T372" s="757">
        <f t="shared" si="45"/>
        <v>44.881793223934594</v>
      </c>
      <c r="U372" s="757">
        <f t="shared" si="45"/>
        <v>44.881793223934594</v>
      </c>
      <c r="V372" s="757">
        <f t="shared" si="45"/>
        <v>44.881793223934594</v>
      </c>
      <c r="W372" s="757">
        <f t="shared" si="45"/>
        <v>44.881793223934594</v>
      </c>
      <c r="X372" s="757">
        <f t="shared" si="45"/>
        <v>44.881793223934594</v>
      </c>
      <c r="Y372" s="757">
        <f t="shared" si="45"/>
        <v>44.881793223934594</v>
      </c>
      <c r="Z372" s="757">
        <f t="shared" si="45"/>
        <v>44.881793223934594</v>
      </c>
      <c r="AA372" s="757">
        <f t="shared" si="45"/>
        <v>44.881793223934594</v>
      </c>
      <c r="AB372" s="757">
        <f t="shared" si="45"/>
        <v>44.881793223934594</v>
      </c>
      <c r="AC372" s="757">
        <f t="shared" si="45"/>
        <v>44.881793223934594</v>
      </c>
      <c r="AD372" s="757">
        <f t="shared" si="45"/>
        <v>44.881793223934594</v>
      </c>
      <c r="AE372" s="757">
        <f t="shared" si="45"/>
        <v>44.881793223934594</v>
      </c>
      <c r="AF372" s="757">
        <f t="shared" si="45"/>
        <v>44.881793223934594</v>
      </c>
      <c r="AG372" s="757">
        <f t="shared" si="45"/>
        <v>44.881793223934594</v>
      </c>
      <c r="AH372" s="757">
        <f t="shared" si="45"/>
        <v>44.881793223934594</v>
      </c>
      <c r="AI372" s="757">
        <f t="shared" si="45"/>
        <v>44.881793223934594</v>
      </c>
      <c r="AJ372" s="757">
        <f t="shared" si="45"/>
        <v>44.881793223934594</v>
      </c>
      <c r="AK372" s="757">
        <f t="shared" si="45"/>
        <v>44.881793223934594</v>
      </c>
      <c r="AL372" s="757">
        <f t="shared" si="45"/>
        <v>44.881793223934594</v>
      </c>
      <c r="AM372" s="757">
        <f t="shared" si="45"/>
        <v>44.881793223934594</v>
      </c>
      <c r="AN372" s="757">
        <f t="shared" si="45"/>
        <v>44.881793223934594</v>
      </c>
      <c r="AO372" s="757">
        <f t="shared" si="45"/>
        <v>44.881793223934594</v>
      </c>
      <c r="AP372" s="757">
        <f t="shared" si="45"/>
        <v>44.881793223934594</v>
      </c>
      <c r="AQ372" s="757">
        <f t="shared" si="45"/>
        <v>44.881793223934594</v>
      </c>
      <c r="AR372" s="757">
        <f t="shared" si="45"/>
        <v>44.881793223934594</v>
      </c>
      <c r="AS372" s="757">
        <f t="shared" si="45"/>
        <v>44.881793223934594</v>
      </c>
      <c r="AT372" s="757">
        <f t="shared" si="45"/>
        <v>44.881793223934594</v>
      </c>
      <c r="AU372" s="757">
        <f t="shared" si="45"/>
        <v>44.881793223934594</v>
      </c>
      <c r="AV372" s="757">
        <f t="shared" si="45"/>
        <v>44.881793223934594</v>
      </c>
      <c r="AW372" s="757">
        <f t="shared" si="45"/>
        <v>44.881793223934594</v>
      </c>
    </row>
    <row r="373" spans="1:49" ht="6.75" customHeight="1" x14ac:dyDescent="0.2">
      <c r="A373" s="766"/>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c r="AU373" s="402"/>
      <c r="AV373" s="402"/>
      <c r="AW373" s="402"/>
    </row>
    <row r="374" spans="1:49" ht="25.5" x14ac:dyDescent="0.2">
      <c r="A374" s="766" t="s">
        <v>487</v>
      </c>
      <c r="B374" s="397">
        <f>B20</f>
        <v>0.95412844036697253</v>
      </c>
      <c r="C374" s="397">
        <f>C20</f>
        <v>0.95238095238095222</v>
      </c>
      <c r="D374" s="397">
        <f>D20</f>
        <v>0.95876288659793818</v>
      </c>
      <c r="E374" s="397">
        <f>E20</f>
        <v>0.97938144329896903</v>
      </c>
      <c r="F374" s="397">
        <f>F20</f>
        <v>0.94117647058823517</v>
      </c>
      <c r="G374" s="397">
        <f>G20</f>
        <v>0.96153846153846156</v>
      </c>
      <c r="H374" s="397">
        <f>H20</f>
        <v>0.97478991596638653</v>
      </c>
      <c r="I374" s="397">
        <f>I20</f>
        <v>0.98461538461538467</v>
      </c>
      <c r="J374" s="397">
        <f>J20</f>
        <v>0.95199999999999996</v>
      </c>
      <c r="K374" s="397">
        <f>K20</f>
        <v>0.97699999999999998</v>
      </c>
      <c r="L374" s="397">
        <f>L20</f>
        <v>0.97599999999999998</v>
      </c>
      <c r="M374" s="397">
        <f>M20</f>
        <v>0.94495412844036697</v>
      </c>
      <c r="N374" s="397">
        <f>N20</f>
        <v>0.96212121212121215</v>
      </c>
      <c r="O374" s="397">
        <f>O20</f>
        <v>0.96799999999999997</v>
      </c>
      <c r="P374" s="397">
        <f>P20</f>
        <v>0.93600000000000005</v>
      </c>
      <c r="Q374" s="397">
        <f>Q20</f>
        <v>0.95299999999999996</v>
      </c>
      <c r="R374" s="397">
        <f>R20</f>
        <v>0.98347107438016534</v>
      </c>
      <c r="S374" s="397">
        <f>S20</f>
        <v>0.96946564885496178</v>
      </c>
      <c r="T374" s="397">
        <f>T20</f>
        <v>0.94444444444444442</v>
      </c>
      <c r="U374" s="397">
        <f>U20</f>
        <v>0.9719626168224299</v>
      </c>
      <c r="V374" s="397">
        <f>V20</f>
        <v>0.9858156028368793</v>
      </c>
      <c r="W374" s="397">
        <f>W20</f>
        <v>0.92372881355932213</v>
      </c>
      <c r="X374" s="397">
        <f>X20</f>
        <v>0.98039215686274506</v>
      </c>
      <c r="Y374" s="397">
        <f>Y20</f>
        <v>0.97058823529411764</v>
      </c>
      <c r="Z374" s="397">
        <f>Z20</f>
        <v>0.96062992125984248</v>
      </c>
      <c r="AA374" s="397">
        <f>AA20</f>
        <v>0.9642857142857143</v>
      </c>
      <c r="AB374" s="397">
        <f>AB20</f>
        <v>0.94890510948905105</v>
      </c>
      <c r="AC374" s="397">
        <f>AC20</f>
        <v>0.97560975609756095</v>
      </c>
      <c r="AD374" s="397">
        <f>AD20</f>
        <v>0.9916666666666667</v>
      </c>
      <c r="AE374" s="397">
        <f>AE20</f>
        <v>0.970873786407767</v>
      </c>
      <c r="AF374" s="397">
        <f>AF20</f>
        <v>0.95934959349593496</v>
      </c>
      <c r="AG374" s="397"/>
      <c r="AH374" s="397"/>
      <c r="AI374" s="397"/>
      <c r="AJ374" s="397"/>
      <c r="AK374" s="397"/>
      <c r="AL374" s="397"/>
      <c r="AM374" s="397"/>
      <c r="AN374" s="397"/>
      <c r="AO374" s="397"/>
      <c r="AP374" s="397"/>
      <c r="AQ374" s="397"/>
      <c r="AR374" s="397"/>
      <c r="AS374" s="397"/>
      <c r="AT374" s="397"/>
      <c r="AU374" s="397"/>
      <c r="AV374" s="397"/>
      <c r="AW374" s="397"/>
    </row>
    <row r="375" spans="1:49" x14ac:dyDescent="0.2">
      <c r="A375" s="766" t="s">
        <v>464</v>
      </c>
      <c r="B375" s="402">
        <v>0.9</v>
      </c>
      <c r="C375" s="402">
        <v>0.9</v>
      </c>
      <c r="D375" s="402">
        <v>0.9</v>
      </c>
      <c r="E375" s="402">
        <v>0.9</v>
      </c>
      <c r="F375" s="402">
        <v>0.9</v>
      </c>
      <c r="G375" s="402">
        <v>0.9</v>
      </c>
      <c r="H375" s="402">
        <v>0.9</v>
      </c>
      <c r="I375" s="402">
        <v>0.9</v>
      </c>
      <c r="J375" s="402">
        <v>0.9</v>
      </c>
      <c r="K375" s="402">
        <v>0.9</v>
      </c>
      <c r="L375" s="402">
        <v>0.9</v>
      </c>
      <c r="M375" s="402">
        <v>0.9</v>
      </c>
      <c r="N375" s="402">
        <v>0.95</v>
      </c>
      <c r="O375" s="402">
        <v>0.95</v>
      </c>
      <c r="P375" s="402">
        <v>0.95</v>
      </c>
      <c r="Q375" s="402">
        <v>0.95</v>
      </c>
      <c r="R375" s="402">
        <v>0.95</v>
      </c>
      <c r="S375" s="402">
        <v>0.95</v>
      </c>
      <c r="T375" s="402">
        <v>0.95</v>
      </c>
      <c r="U375" s="402">
        <v>0.95</v>
      </c>
      <c r="V375" s="402">
        <v>0.95</v>
      </c>
      <c r="W375" s="402">
        <v>0.95</v>
      </c>
      <c r="X375" s="402">
        <v>0.95</v>
      </c>
      <c r="Y375" s="402">
        <v>0.95</v>
      </c>
      <c r="Z375" s="402">
        <v>0.95</v>
      </c>
      <c r="AA375" s="402">
        <v>0.95</v>
      </c>
      <c r="AB375" s="402">
        <v>0.95</v>
      </c>
      <c r="AC375" s="402">
        <v>0.95</v>
      </c>
      <c r="AD375" s="402">
        <v>0.95</v>
      </c>
      <c r="AE375" s="402">
        <v>0.95</v>
      </c>
      <c r="AF375" s="402">
        <v>0.95</v>
      </c>
      <c r="AG375" s="402">
        <v>0.95</v>
      </c>
      <c r="AH375" s="402">
        <v>0.95</v>
      </c>
      <c r="AI375" s="402">
        <v>0.95</v>
      </c>
      <c r="AJ375" s="402">
        <v>0.95</v>
      </c>
      <c r="AK375" s="402">
        <v>0.95</v>
      </c>
      <c r="AL375" s="402">
        <v>0.95</v>
      </c>
      <c r="AM375" s="402">
        <v>0.95</v>
      </c>
      <c r="AN375" s="402">
        <v>0.95</v>
      </c>
      <c r="AO375" s="402">
        <v>0.95</v>
      </c>
      <c r="AP375" s="402">
        <v>0.95</v>
      </c>
      <c r="AQ375" s="402">
        <v>0.95</v>
      </c>
      <c r="AR375" s="402">
        <v>0.95</v>
      </c>
      <c r="AS375" s="402">
        <v>0.95</v>
      </c>
      <c r="AT375" s="402">
        <v>0.95</v>
      </c>
      <c r="AU375" s="402">
        <v>0.95</v>
      </c>
      <c r="AV375" s="402">
        <v>0.95</v>
      </c>
      <c r="AW375" s="402">
        <v>0.95</v>
      </c>
    </row>
    <row r="376" spans="1:49" x14ac:dyDescent="0.2">
      <c r="A376" s="766" t="s">
        <v>130</v>
      </c>
      <c r="B376" s="402">
        <f t="shared" ref="B376:M376" si="46">MEDIAN($B$374:$M$374)</f>
        <v>0.96015067406819987</v>
      </c>
      <c r="C376" s="402">
        <f t="shared" si="46"/>
        <v>0.96015067406819987</v>
      </c>
      <c r="D376" s="402">
        <f t="shared" si="46"/>
        <v>0.96015067406819987</v>
      </c>
      <c r="E376" s="402">
        <f t="shared" si="46"/>
        <v>0.96015067406819987</v>
      </c>
      <c r="F376" s="402">
        <f t="shared" si="46"/>
        <v>0.96015067406819987</v>
      </c>
      <c r="G376" s="402">
        <f t="shared" si="46"/>
        <v>0.96015067406819987</v>
      </c>
      <c r="H376" s="402">
        <f t="shared" si="46"/>
        <v>0.96015067406819987</v>
      </c>
      <c r="I376" s="402">
        <f t="shared" si="46"/>
        <v>0.96015067406819987</v>
      </c>
      <c r="J376" s="402">
        <f t="shared" si="46"/>
        <v>0.96015067406819987</v>
      </c>
      <c r="K376" s="402">
        <f t="shared" si="46"/>
        <v>0.96015067406819987</v>
      </c>
      <c r="L376" s="402">
        <f t="shared" si="46"/>
        <v>0.96015067406819987</v>
      </c>
      <c r="M376" s="402">
        <f t="shared" si="46"/>
        <v>0.96015067406819987</v>
      </c>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row>
    <row r="377" spans="1:49" x14ac:dyDescent="0.2">
      <c r="A377" s="766" t="s">
        <v>178</v>
      </c>
      <c r="B377" s="402"/>
      <c r="C377" s="402"/>
      <c r="D377" s="402"/>
      <c r="E377" s="402"/>
      <c r="F377" s="402"/>
      <c r="G377" s="402"/>
      <c r="H377" s="402"/>
      <c r="I377" s="402"/>
      <c r="J377" s="402"/>
      <c r="K377" s="402"/>
      <c r="L377" s="402"/>
      <c r="M377" s="402">
        <f t="shared" ref="M377:AW377" si="47">MEDIAN($B$374:$M$374)</f>
        <v>0.96015067406819987</v>
      </c>
      <c r="N377" s="402">
        <f t="shared" si="47"/>
        <v>0.96015067406819987</v>
      </c>
      <c r="O377" s="402">
        <f t="shared" si="47"/>
        <v>0.96015067406819987</v>
      </c>
      <c r="P377" s="402">
        <f t="shared" si="47"/>
        <v>0.96015067406819987</v>
      </c>
      <c r="Q377" s="402">
        <f t="shared" si="47"/>
        <v>0.96015067406819987</v>
      </c>
      <c r="R377" s="402">
        <f t="shared" si="47"/>
        <v>0.96015067406819987</v>
      </c>
      <c r="S377" s="402">
        <f t="shared" si="47"/>
        <v>0.96015067406819987</v>
      </c>
      <c r="T377" s="402">
        <f t="shared" si="47"/>
        <v>0.96015067406819987</v>
      </c>
      <c r="U377" s="402">
        <f t="shared" si="47"/>
        <v>0.96015067406819987</v>
      </c>
      <c r="V377" s="402">
        <f t="shared" si="47"/>
        <v>0.96015067406819987</v>
      </c>
      <c r="W377" s="402">
        <f t="shared" si="47"/>
        <v>0.96015067406819987</v>
      </c>
      <c r="X377" s="402">
        <f t="shared" si="47"/>
        <v>0.96015067406819987</v>
      </c>
      <c r="Y377" s="402">
        <f t="shared" si="47"/>
        <v>0.96015067406819987</v>
      </c>
      <c r="Z377" s="402">
        <f t="shared" si="47"/>
        <v>0.96015067406819987</v>
      </c>
      <c r="AA377" s="402">
        <f t="shared" si="47"/>
        <v>0.96015067406819987</v>
      </c>
      <c r="AB377" s="402">
        <f t="shared" si="47"/>
        <v>0.96015067406819987</v>
      </c>
      <c r="AC377" s="402">
        <f t="shared" si="47"/>
        <v>0.96015067406819987</v>
      </c>
      <c r="AD377" s="402">
        <f t="shared" si="47"/>
        <v>0.96015067406819987</v>
      </c>
      <c r="AE377" s="402">
        <f t="shared" si="47"/>
        <v>0.96015067406819987</v>
      </c>
      <c r="AF377" s="402">
        <f t="shared" si="47"/>
        <v>0.96015067406819987</v>
      </c>
      <c r="AG377" s="402">
        <f t="shared" si="47"/>
        <v>0.96015067406819987</v>
      </c>
      <c r="AH377" s="402">
        <f t="shared" si="47"/>
        <v>0.96015067406819987</v>
      </c>
      <c r="AI377" s="402">
        <f t="shared" si="47"/>
        <v>0.96015067406819987</v>
      </c>
      <c r="AJ377" s="402">
        <f t="shared" si="47"/>
        <v>0.96015067406819987</v>
      </c>
      <c r="AK377" s="402">
        <f t="shared" si="47"/>
        <v>0.96015067406819987</v>
      </c>
      <c r="AL377" s="402">
        <f t="shared" si="47"/>
        <v>0.96015067406819987</v>
      </c>
      <c r="AM377" s="402">
        <f t="shared" si="47"/>
        <v>0.96015067406819987</v>
      </c>
      <c r="AN377" s="402">
        <f t="shared" si="47"/>
        <v>0.96015067406819987</v>
      </c>
      <c r="AO377" s="402">
        <f t="shared" si="47"/>
        <v>0.96015067406819987</v>
      </c>
      <c r="AP377" s="402">
        <f t="shared" si="47"/>
        <v>0.96015067406819987</v>
      </c>
      <c r="AQ377" s="402">
        <f t="shared" si="47"/>
        <v>0.96015067406819987</v>
      </c>
      <c r="AR377" s="402">
        <f t="shared" si="47"/>
        <v>0.96015067406819987</v>
      </c>
      <c r="AS377" s="402">
        <f t="shared" si="47"/>
        <v>0.96015067406819987</v>
      </c>
      <c r="AT377" s="402">
        <f t="shared" si="47"/>
        <v>0.96015067406819987</v>
      </c>
      <c r="AU377" s="402">
        <f t="shared" si="47"/>
        <v>0.96015067406819987</v>
      </c>
      <c r="AV377" s="402">
        <f t="shared" si="47"/>
        <v>0.96015067406819987</v>
      </c>
      <c r="AW377" s="402">
        <f t="shared" si="47"/>
        <v>0.96015067406819987</v>
      </c>
    </row>
    <row r="378" spans="1:49" x14ac:dyDescent="0.2">
      <c r="A378" s="765" t="s">
        <v>466</v>
      </c>
      <c r="B378" s="402"/>
      <c r="C378" s="402">
        <f>SUM(C374-B374)*-1</f>
        <v>1.747487986020313E-3</v>
      </c>
      <c r="D378" s="402">
        <f t="shared" ref="D378:V378" si="48">SUM(D374-C374)</f>
        <v>6.3819342169859627E-3</v>
      </c>
      <c r="E378" s="402">
        <f t="shared" si="48"/>
        <v>2.0618556701030855E-2</v>
      </c>
      <c r="F378" s="402">
        <f>SUM(F374-E374)*-1</f>
        <v>3.8204972710733864E-2</v>
      </c>
      <c r="G378" s="402">
        <f t="shared" si="48"/>
        <v>2.0361990950226394E-2</v>
      </c>
      <c r="H378" s="402">
        <f t="shared" si="48"/>
        <v>1.3251454427924969E-2</v>
      </c>
      <c r="I378" s="402">
        <f t="shared" si="48"/>
        <v>9.8254686489981369E-3</v>
      </c>
      <c r="J378" s="402">
        <f>SUM(J374-I374)*-1</f>
        <v>3.2615384615384713E-2</v>
      </c>
      <c r="K378" s="402">
        <f t="shared" si="48"/>
        <v>2.5000000000000022E-2</v>
      </c>
      <c r="L378" s="402">
        <f>SUM(L374-K374)*-1</f>
        <v>1.0000000000000009E-3</v>
      </c>
      <c r="M378" s="402">
        <f>SUM(M374-L374)*-1</f>
        <v>3.1045871559633009E-2</v>
      </c>
      <c r="N378" s="402">
        <f t="shared" si="48"/>
        <v>1.7167083680845185E-2</v>
      </c>
      <c r="O378" s="402">
        <f t="shared" si="48"/>
        <v>5.8787878787878167E-3</v>
      </c>
      <c r="P378" s="402">
        <f>SUM(P374-O374)*-1</f>
        <v>3.1999999999999917E-2</v>
      </c>
      <c r="Q378" s="402">
        <f t="shared" si="48"/>
        <v>1.6999999999999904E-2</v>
      </c>
      <c r="R378" s="402">
        <f t="shared" si="48"/>
        <v>3.0471074380165386E-2</v>
      </c>
      <c r="S378" s="402">
        <f>SUM(S374-R374)*-1</f>
        <v>1.4005425525203563E-2</v>
      </c>
      <c r="T378" s="402">
        <f>SUM(T374-S374)*-1</f>
        <v>2.5021204410517361E-2</v>
      </c>
      <c r="U378" s="402">
        <f t="shared" si="48"/>
        <v>2.7518172377985484E-2</v>
      </c>
      <c r="V378" s="402">
        <f t="shared" si="48"/>
        <v>1.3852986014449398E-2</v>
      </c>
      <c r="W378" s="402">
        <f>SUM(W374-V374)*-1</f>
        <v>6.2086789277557175E-2</v>
      </c>
      <c r="X378" s="402">
        <f>SUM(X374-W374)</f>
        <v>5.6663343303422931E-2</v>
      </c>
      <c r="Y378" s="402">
        <f>SUM(Y374-X374)*-1</f>
        <v>9.8039215686274161E-3</v>
      </c>
      <c r="Z378" s="402">
        <f>SUM(Z374-Y374)*-1</f>
        <v>9.9583140342751619E-3</v>
      </c>
      <c r="AA378" s="402">
        <f>SUM(AA374-Z374)</f>
        <v>3.655793025871823E-3</v>
      </c>
      <c r="AB378" s="402">
        <f>SUM(AB374-AA374)*-1</f>
        <v>1.5380604796663255E-2</v>
      </c>
      <c r="AC378" s="402">
        <f>SUM(AC374-AB374)</f>
        <v>2.6704646608509908E-2</v>
      </c>
      <c r="AD378" s="402">
        <f>SUM(AD374-AC374)</f>
        <v>1.6056910569105742E-2</v>
      </c>
      <c r="AE378" s="402">
        <f>SUM(AE374-AD374)*-1</f>
        <v>2.0792880258899693E-2</v>
      </c>
      <c r="AF378" s="402">
        <f>SUM(AF374-AE374)*-1</f>
        <v>1.1524192911832043E-2</v>
      </c>
      <c r="AG378" s="402"/>
      <c r="AH378" s="402"/>
      <c r="AI378" s="402"/>
      <c r="AJ378" s="402"/>
      <c r="AK378" s="402"/>
      <c r="AL378" s="402"/>
      <c r="AM378" s="402"/>
      <c r="AN378" s="402"/>
      <c r="AO378" s="402"/>
      <c r="AP378" s="402"/>
      <c r="AQ378" s="402"/>
      <c r="AR378" s="402"/>
      <c r="AS378" s="402"/>
      <c r="AT378" s="402"/>
      <c r="AU378" s="402"/>
      <c r="AV378" s="402"/>
      <c r="AW378" s="402"/>
    </row>
    <row r="379" spans="1:49" ht="21.75" x14ac:dyDescent="0.2">
      <c r="A379" s="768" t="s">
        <v>469</v>
      </c>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row>
    <row r="380" spans="1:49" x14ac:dyDescent="0.2">
      <c r="A380" s="688" t="s">
        <v>468</v>
      </c>
      <c r="B380" s="402">
        <f t="shared" ref="B380:AW380" si="49">AVERAGE($B$374:$AW$374)</f>
        <v>0.96377543344104777</v>
      </c>
      <c r="C380" s="402">
        <f t="shared" si="49"/>
        <v>0.96377543344104777</v>
      </c>
      <c r="D380" s="402">
        <f t="shared" si="49"/>
        <v>0.96377543344104777</v>
      </c>
      <c r="E380" s="402">
        <f t="shared" si="49"/>
        <v>0.96377543344104777</v>
      </c>
      <c r="F380" s="402">
        <f t="shared" si="49"/>
        <v>0.96377543344104777</v>
      </c>
      <c r="G380" s="402">
        <f t="shared" si="49"/>
        <v>0.96377543344104777</v>
      </c>
      <c r="H380" s="402">
        <f t="shared" si="49"/>
        <v>0.96377543344104777</v>
      </c>
      <c r="I380" s="402">
        <f t="shared" si="49"/>
        <v>0.96377543344104777</v>
      </c>
      <c r="J380" s="402">
        <f t="shared" si="49"/>
        <v>0.96377543344104777</v>
      </c>
      <c r="K380" s="402">
        <f t="shared" si="49"/>
        <v>0.96377543344104777</v>
      </c>
      <c r="L380" s="402">
        <f t="shared" si="49"/>
        <v>0.96377543344104777</v>
      </c>
      <c r="M380" s="402">
        <f t="shared" si="49"/>
        <v>0.96377543344104777</v>
      </c>
      <c r="N380" s="402">
        <f t="shared" si="49"/>
        <v>0.96377543344104777</v>
      </c>
      <c r="O380" s="402">
        <f t="shared" si="49"/>
        <v>0.96377543344104777</v>
      </c>
      <c r="P380" s="402">
        <f t="shared" si="49"/>
        <v>0.96377543344104777</v>
      </c>
      <c r="Q380" s="402">
        <f t="shared" si="49"/>
        <v>0.96377543344104777</v>
      </c>
      <c r="R380" s="402">
        <f t="shared" si="49"/>
        <v>0.96377543344104777</v>
      </c>
      <c r="S380" s="402">
        <f t="shared" si="49"/>
        <v>0.96377543344104777</v>
      </c>
      <c r="T380" s="402">
        <f t="shared" si="49"/>
        <v>0.96377543344104777</v>
      </c>
      <c r="U380" s="402">
        <f t="shared" si="49"/>
        <v>0.96377543344104777</v>
      </c>
      <c r="V380" s="402">
        <f t="shared" si="49"/>
        <v>0.96377543344104777</v>
      </c>
      <c r="W380" s="402">
        <f t="shared" si="49"/>
        <v>0.96377543344104777</v>
      </c>
      <c r="X380" s="402">
        <f t="shared" si="49"/>
        <v>0.96377543344104777</v>
      </c>
      <c r="Y380" s="402">
        <f t="shared" si="49"/>
        <v>0.96377543344104777</v>
      </c>
      <c r="Z380" s="402">
        <f t="shared" si="49"/>
        <v>0.96377543344104777</v>
      </c>
      <c r="AA380" s="402">
        <f t="shared" si="49"/>
        <v>0.96377543344104777</v>
      </c>
      <c r="AB380" s="402">
        <f t="shared" si="49"/>
        <v>0.96377543344104777</v>
      </c>
      <c r="AC380" s="402">
        <f t="shared" si="49"/>
        <v>0.96377543344104777</v>
      </c>
      <c r="AD380" s="402">
        <f t="shared" si="49"/>
        <v>0.96377543344104777</v>
      </c>
      <c r="AE380" s="402">
        <f t="shared" si="49"/>
        <v>0.96377543344104777</v>
      </c>
      <c r="AF380" s="402">
        <f t="shared" si="49"/>
        <v>0.96377543344104777</v>
      </c>
      <c r="AG380" s="402">
        <f t="shared" si="49"/>
        <v>0.96377543344104777</v>
      </c>
      <c r="AH380" s="402">
        <f t="shared" si="49"/>
        <v>0.96377543344104777</v>
      </c>
      <c r="AI380" s="402">
        <f t="shared" si="49"/>
        <v>0.96377543344104777</v>
      </c>
      <c r="AJ380" s="402">
        <f t="shared" si="49"/>
        <v>0.96377543344104777</v>
      </c>
      <c r="AK380" s="402">
        <f t="shared" si="49"/>
        <v>0.96377543344104777</v>
      </c>
      <c r="AL380" s="402">
        <f t="shared" si="49"/>
        <v>0.96377543344104777</v>
      </c>
      <c r="AM380" s="402">
        <f t="shared" si="49"/>
        <v>0.96377543344104777</v>
      </c>
      <c r="AN380" s="402">
        <f t="shared" si="49"/>
        <v>0.96377543344104777</v>
      </c>
      <c r="AO380" s="402">
        <f t="shared" si="49"/>
        <v>0.96377543344104777</v>
      </c>
      <c r="AP380" s="402">
        <f t="shared" si="49"/>
        <v>0.96377543344104777</v>
      </c>
      <c r="AQ380" s="402">
        <f t="shared" si="49"/>
        <v>0.96377543344104777</v>
      </c>
      <c r="AR380" s="402">
        <f t="shared" si="49"/>
        <v>0.96377543344104777</v>
      </c>
      <c r="AS380" s="402">
        <f t="shared" si="49"/>
        <v>0.96377543344104777</v>
      </c>
      <c r="AT380" s="402">
        <f t="shared" si="49"/>
        <v>0.96377543344104777</v>
      </c>
      <c r="AU380" s="402">
        <f t="shared" si="49"/>
        <v>0.96377543344104777</v>
      </c>
      <c r="AV380" s="402">
        <f t="shared" si="49"/>
        <v>0.96377543344104777</v>
      </c>
      <c r="AW380" s="402">
        <f t="shared" si="49"/>
        <v>0.96377543344104777</v>
      </c>
    </row>
    <row r="381" spans="1:49" x14ac:dyDescent="0.2">
      <c r="A381" s="765" t="s">
        <v>467</v>
      </c>
      <c r="B381" s="402">
        <f t="shared" ref="B381:AW381" si="50">SUM($C$378:$AW$378)/22</f>
        <v>2.7981602383620793E-2</v>
      </c>
      <c r="C381" s="402">
        <f t="shared" si="50"/>
        <v>2.7981602383620793E-2</v>
      </c>
      <c r="D381" s="402">
        <f t="shared" si="50"/>
        <v>2.7981602383620793E-2</v>
      </c>
      <c r="E381" s="402">
        <f t="shared" si="50"/>
        <v>2.7981602383620793E-2</v>
      </c>
      <c r="F381" s="402">
        <f t="shared" si="50"/>
        <v>2.7981602383620793E-2</v>
      </c>
      <c r="G381" s="402">
        <f t="shared" si="50"/>
        <v>2.7981602383620793E-2</v>
      </c>
      <c r="H381" s="402">
        <f t="shared" si="50"/>
        <v>2.7981602383620793E-2</v>
      </c>
      <c r="I381" s="402">
        <f t="shared" si="50"/>
        <v>2.7981602383620793E-2</v>
      </c>
      <c r="J381" s="402">
        <f t="shared" si="50"/>
        <v>2.7981602383620793E-2</v>
      </c>
      <c r="K381" s="402">
        <f t="shared" si="50"/>
        <v>2.7981602383620793E-2</v>
      </c>
      <c r="L381" s="402">
        <f t="shared" si="50"/>
        <v>2.7981602383620793E-2</v>
      </c>
      <c r="M381" s="402">
        <f t="shared" si="50"/>
        <v>2.7981602383620793E-2</v>
      </c>
      <c r="N381" s="402">
        <f t="shared" si="50"/>
        <v>2.7981602383620793E-2</v>
      </c>
      <c r="O381" s="402">
        <f t="shared" si="50"/>
        <v>2.7981602383620793E-2</v>
      </c>
      <c r="P381" s="402">
        <f t="shared" si="50"/>
        <v>2.7981602383620793E-2</v>
      </c>
      <c r="Q381" s="402">
        <f t="shared" si="50"/>
        <v>2.7981602383620793E-2</v>
      </c>
      <c r="R381" s="402">
        <f t="shared" si="50"/>
        <v>2.7981602383620793E-2</v>
      </c>
      <c r="S381" s="402">
        <f t="shared" si="50"/>
        <v>2.7981602383620793E-2</v>
      </c>
      <c r="T381" s="402">
        <f t="shared" si="50"/>
        <v>2.7981602383620793E-2</v>
      </c>
      <c r="U381" s="402">
        <f t="shared" si="50"/>
        <v>2.7981602383620793E-2</v>
      </c>
      <c r="V381" s="402">
        <f t="shared" si="50"/>
        <v>2.7981602383620793E-2</v>
      </c>
      <c r="W381" s="402">
        <f t="shared" si="50"/>
        <v>2.7981602383620793E-2</v>
      </c>
      <c r="X381" s="402">
        <f t="shared" si="50"/>
        <v>2.7981602383620793E-2</v>
      </c>
      <c r="Y381" s="402">
        <f t="shared" si="50"/>
        <v>2.7981602383620793E-2</v>
      </c>
      <c r="Z381" s="402">
        <f t="shared" si="50"/>
        <v>2.7981602383620793E-2</v>
      </c>
      <c r="AA381" s="402">
        <f t="shared" si="50"/>
        <v>2.7981602383620793E-2</v>
      </c>
      <c r="AB381" s="402">
        <f t="shared" si="50"/>
        <v>2.7981602383620793E-2</v>
      </c>
      <c r="AC381" s="402">
        <f t="shared" si="50"/>
        <v>2.7981602383620793E-2</v>
      </c>
      <c r="AD381" s="402">
        <f t="shared" si="50"/>
        <v>2.7981602383620793E-2</v>
      </c>
      <c r="AE381" s="402">
        <f t="shared" si="50"/>
        <v>2.7981602383620793E-2</v>
      </c>
      <c r="AF381" s="402">
        <f t="shared" si="50"/>
        <v>2.7981602383620793E-2</v>
      </c>
      <c r="AG381" s="402">
        <f t="shared" si="50"/>
        <v>2.7981602383620793E-2</v>
      </c>
      <c r="AH381" s="402">
        <f t="shared" si="50"/>
        <v>2.7981602383620793E-2</v>
      </c>
      <c r="AI381" s="402">
        <f t="shared" si="50"/>
        <v>2.7981602383620793E-2</v>
      </c>
      <c r="AJ381" s="402">
        <f t="shared" si="50"/>
        <v>2.7981602383620793E-2</v>
      </c>
      <c r="AK381" s="402">
        <f t="shared" si="50"/>
        <v>2.7981602383620793E-2</v>
      </c>
      <c r="AL381" s="402">
        <f t="shared" si="50"/>
        <v>2.7981602383620793E-2</v>
      </c>
      <c r="AM381" s="402">
        <f t="shared" si="50"/>
        <v>2.7981602383620793E-2</v>
      </c>
      <c r="AN381" s="402">
        <f t="shared" si="50"/>
        <v>2.7981602383620793E-2</v>
      </c>
      <c r="AO381" s="402">
        <f t="shared" si="50"/>
        <v>2.7981602383620793E-2</v>
      </c>
      <c r="AP381" s="402">
        <f t="shared" si="50"/>
        <v>2.7981602383620793E-2</v>
      </c>
      <c r="AQ381" s="402">
        <f t="shared" si="50"/>
        <v>2.7981602383620793E-2</v>
      </c>
      <c r="AR381" s="402">
        <f t="shared" si="50"/>
        <v>2.7981602383620793E-2</v>
      </c>
      <c r="AS381" s="402">
        <f t="shared" si="50"/>
        <v>2.7981602383620793E-2</v>
      </c>
      <c r="AT381" s="402">
        <f t="shared" si="50"/>
        <v>2.7981602383620793E-2</v>
      </c>
      <c r="AU381" s="402">
        <f t="shared" si="50"/>
        <v>2.7981602383620793E-2</v>
      </c>
      <c r="AV381" s="402">
        <f t="shared" si="50"/>
        <v>2.7981602383620793E-2</v>
      </c>
      <c r="AW381" s="402">
        <f t="shared" si="50"/>
        <v>2.7981602383620793E-2</v>
      </c>
    </row>
    <row r="382" spans="1:49" ht="25.5" x14ac:dyDescent="0.2">
      <c r="A382" s="765" t="s">
        <v>470</v>
      </c>
      <c r="B382" s="402">
        <f t="shared" ref="B382:AW382" si="51">SUM($B$381/1.128)</f>
        <v>2.4806385091862407E-2</v>
      </c>
      <c r="C382" s="402">
        <f t="shared" si="51"/>
        <v>2.4806385091862407E-2</v>
      </c>
      <c r="D382" s="402">
        <f t="shared" si="51"/>
        <v>2.4806385091862407E-2</v>
      </c>
      <c r="E382" s="402">
        <f t="shared" si="51"/>
        <v>2.4806385091862407E-2</v>
      </c>
      <c r="F382" s="402">
        <f t="shared" si="51"/>
        <v>2.4806385091862407E-2</v>
      </c>
      <c r="G382" s="402">
        <f t="shared" si="51"/>
        <v>2.4806385091862407E-2</v>
      </c>
      <c r="H382" s="402">
        <f t="shared" si="51"/>
        <v>2.4806385091862407E-2</v>
      </c>
      <c r="I382" s="402">
        <f t="shared" si="51"/>
        <v>2.4806385091862407E-2</v>
      </c>
      <c r="J382" s="402">
        <f t="shared" si="51"/>
        <v>2.4806385091862407E-2</v>
      </c>
      <c r="K382" s="402">
        <f t="shared" si="51"/>
        <v>2.4806385091862407E-2</v>
      </c>
      <c r="L382" s="402">
        <f t="shared" si="51"/>
        <v>2.4806385091862407E-2</v>
      </c>
      <c r="M382" s="402">
        <f t="shared" si="51"/>
        <v>2.4806385091862407E-2</v>
      </c>
      <c r="N382" s="402">
        <f t="shared" si="51"/>
        <v>2.4806385091862407E-2</v>
      </c>
      <c r="O382" s="402">
        <f t="shared" si="51"/>
        <v>2.4806385091862407E-2</v>
      </c>
      <c r="P382" s="402">
        <f t="shared" si="51"/>
        <v>2.4806385091862407E-2</v>
      </c>
      <c r="Q382" s="402">
        <f t="shared" si="51"/>
        <v>2.4806385091862407E-2</v>
      </c>
      <c r="R382" s="402">
        <f t="shared" si="51"/>
        <v>2.4806385091862407E-2</v>
      </c>
      <c r="S382" s="402">
        <f t="shared" si="51"/>
        <v>2.4806385091862407E-2</v>
      </c>
      <c r="T382" s="402">
        <f t="shared" si="51"/>
        <v>2.4806385091862407E-2</v>
      </c>
      <c r="U382" s="402">
        <f t="shared" si="51"/>
        <v>2.4806385091862407E-2</v>
      </c>
      <c r="V382" s="402">
        <f t="shared" si="51"/>
        <v>2.4806385091862407E-2</v>
      </c>
      <c r="W382" s="402">
        <f t="shared" si="51"/>
        <v>2.4806385091862407E-2</v>
      </c>
      <c r="X382" s="402">
        <f t="shared" si="51"/>
        <v>2.4806385091862407E-2</v>
      </c>
      <c r="Y382" s="402">
        <f t="shared" si="51"/>
        <v>2.4806385091862407E-2</v>
      </c>
      <c r="Z382" s="402">
        <f t="shared" si="51"/>
        <v>2.4806385091862407E-2</v>
      </c>
      <c r="AA382" s="402">
        <f t="shared" si="51"/>
        <v>2.4806385091862407E-2</v>
      </c>
      <c r="AB382" s="402">
        <f t="shared" si="51"/>
        <v>2.4806385091862407E-2</v>
      </c>
      <c r="AC382" s="402">
        <f t="shared" si="51"/>
        <v>2.4806385091862407E-2</v>
      </c>
      <c r="AD382" s="402">
        <f t="shared" si="51"/>
        <v>2.4806385091862407E-2</v>
      </c>
      <c r="AE382" s="402">
        <f t="shared" si="51"/>
        <v>2.4806385091862407E-2</v>
      </c>
      <c r="AF382" s="402">
        <f t="shared" si="51"/>
        <v>2.4806385091862407E-2</v>
      </c>
      <c r="AG382" s="402">
        <f t="shared" si="51"/>
        <v>2.4806385091862407E-2</v>
      </c>
      <c r="AH382" s="402">
        <f t="shared" si="51"/>
        <v>2.4806385091862407E-2</v>
      </c>
      <c r="AI382" s="402">
        <f t="shared" si="51"/>
        <v>2.4806385091862407E-2</v>
      </c>
      <c r="AJ382" s="402">
        <f t="shared" si="51"/>
        <v>2.4806385091862407E-2</v>
      </c>
      <c r="AK382" s="402">
        <f t="shared" si="51"/>
        <v>2.4806385091862407E-2</v>
      </c>
      <c r="AL382" s="402">
        <f t="shared" si="51"/>
        <v>2.4806385091862407E-2</v>
      </c>
      <c r="AM382" s="402">
        <f t="shared" si="51"/>
        <v>2.4806385091862407E-2</v>
      </c>
      <c r="AN382" s="402">
        <f t="shared" si="51"/>
        <v>2.4806385091862407E-2</v>
      </c>
      <c r="AO382" s="402">
        <f t="shared" si="51"/>
        <v>2.4806385091862407E-2</v>
      </c>
      <c r="AP382" s="402">
        <f t="shared" si="51"/>
        <v>2.4806385091862407E-2</v>
      </c>
      <c r="AQ382" s="402">
        <f t="shared" si="51"/>
        <v>2.4806385091862407E-2</v>
      </c>
      <c r="AR382" s="402">
        <f t="shared" si="51"/>
        <v>2.4806385091862407E-2</v>
      </c>
      <c r="AS382" s="402">
        <f t="shared" si="51"/>
        <v>2.4806385091862407E-2</v>
      </c>
      <c r="AT382" s="402">
        <f t="shared" si="51"/>
        <v>2.4806385091862407E-2</v>
      </c>
      <c r="AU382" s="402">
        <f t="shared" si="51"/>
        <v>2.4806385091862407E-2</v>
      </c>
      <c r="AV382" s="402">
        <f t="shared" si="51"/>
        <v>2.4806385091862407E-2</v>
      </c>
      <c r="AW382" s="402">
        <f t="shared" si="51"/>
        <v>2.4806385091862407E-2</v>
      </c>
    </row>
    <row r="383" spans="1:49" s="186" customFormat="1" ht="25.5" x14ac:dyDescent="0.2">
      <c r="A383" s="459" t="s">
        <v>477</v>
      </c>
      <c r="B383" s="169">
        <f t="shared" ref="B383:AW383" si="52">$B$380+(3*$B$382)</f>
        <v>1.0381945887166351</v>
      </c>
      <c r="C383" s="169">
        <f t="shared" si="52"/>
        <v>1.0381945887166351</v>
      </c>
      <c r="D383" s="169">
        <f t="shared" si="52"/>
        <v>1.0381945887166351</v>
      </c>
      <c r="E383" s="169">
        <f t="shared" si="52"/>
        <v>1.0381945887166351</v>
      </c>
      <c r="F383" s="169">
        <f t="shared" si="52"/>
        <v>1.0381945887166351</v>
      </c>
      <c r="G383" s="169">
        <f t="shared" si="52"/>
        <v>1.0381945887166351</v>
      </c>
      <c r="H383" s="169">
        <f t="shared" si="52"/>
        <v>1.0381945887166351</v>
      </c>
      <c r="I383" s="169">
        <f t="shared" si="52"/>
        <v>1.0381945887166351</v>
      </c>
      <c r="J383" s="169">
        <f t="shared" si="52"/>
        <v>1.0381945887166351</v>
      </c>
      <c r="K383" s="169">
        <f t="shared" si="52"/>
        <v>1.0381945887166351</v>
      </c>
      <c r="L383" s="169">
        <f t="shared" si="52"/>
        <v>1.0381945887166351</v>
      </c>
      <c r="M383" s="169">
        <f t="shared" si="52"/>
        <v>1.0381945887166351</v>
      </c>
      <c r="N383" s="169">
        <f t="shared" si="52"/>
        <v>1.0381945887166351</v>
      </c>
      <c r="O383" s="169">
        <f t="shared" si="52"/>
        <v>1.0381945887166351</v>
      </c>
      <c r="P383" s="169">
        <f t="shared" si="52"/>
        <v>1.0381945887166351</v>
      </c>
      <c r="Q383" s="169">
        <f t="shared" si="52"/>
        <v>1.0381945887166351</v>
      </c>
      <c r="R383" s="169">
        <f t="shared" si="52"/>
        <v>1.0381945887166351</v>
      </c>
      <c r="S383" s="169">
        <f t="shared" si="52"/>
        <v>1.0381945887166351</v>
      </c>
      <c r="T383" s="169">
        <f t="shared" si="52"/>
        <v>1.0381945887166351</v>
      </c>
      <c r="U383" s="169">
        <f t="shared" si="52"/>
        <v>1.0381945887166351</v>
      </c>
      <c r="V383" s="169">
        <f t="shared" si="52"/>
        <v>1.0381945887166351</v>
      </c>
      <c r="W383" s="169">
        <f t="shared" si="52"/>
        <v>1.0381945887166351</v>
      </c>
      <c r="X383" s="169">
        <f t="shared" si="52"/>
        <v>1.0381945887166351</v>
      </c>
      <c r="Y383" s="169">
        <f t="shared" si="52"/>
        <v>1.0381945887166351</v>
      </c>
      <c r="Z383" s="169">
        <f t="shared" si="52"/>
        <v>1.0381945887166351</v>
      </c>
      <c r="AA383" s="169">
        <f t="shared" si="52"/>
        <v>1.0381945887166351</v>
      </c>
      <c r="AB383" s="169">
        <f t="shared" si="52"/>
        <v>1.0381945887166351</v>
      </c>
      <c r="AC383" s="169">
        <f t="shared" si="52"/>
        <v>1.0381945887166351</v>
      </c>
      <c r="AD383" s="169">
        <f t="shared" si="52"/>
        <v>1.0381945887166351</v>
      </c>
      <c r="AE383" s="169">
        <f t="shared" si="52"/>
        <v>1.0381945887166351</v>
      </c>
      <c r="AF383" s="169">
        <f t="shared" si="52"/>
        <v>1.0381945887166351</v>
      </c>
      <c r="AG383" s="169">
        <f t="shared" si="52"/>
        <v>1.0381945887166351</v>
      </c>
      <c r="AH383" s="169">
        <f t="shared" si="52"/>
        <v>1.0381945887166351</v>
      </c>
      <c r="AI383" s="169">
        <f t="shared" si="52"/>
        <v>1.0381945887166351</v>
      </c>
      <c r="AJ383" s="169">
        <f t="shared" si="52"/>
        <v>1.0381945887166351</v>
      </c>
      <c r="AK383" s="169">
        <f t="shared" si="52"/>
        <v>1.0381945887166351</v>
      </c>
      <c r="AL383" s="169">
        <f t="shared" si="52"/>
        <v>1.0381945887166351</v>
      </c>
      <c r="AM383" s="169">
        <f t="shared" si="52"/>
        <v>1.0381945887166351</v>
      </c>
      <c r="AN383" s="169">
        <f t="shared" si="52"/>
        <v>1.0381945887166351</v>
      </c>
      <c r="AO383" s="169">
        <f t="shared" si="52"/>
        <v>1.0381945887166351</v>
      </c>
      <c r="AP383" s="169">
        <f t="shared" si="52"/>
        <v>1.0381945887166351</v>
      </c>
      <c r="AQ383" s="169">
        <f t="shared" si="52"/>
        <v>1.0381945887166351</v>
      </c>
      <c r="AR383" s="169">
        <f t="shared" si="52"/>
        <v>1.0381945887166351</v>
      </c>
      <c r="AS383" s="169">
        <f t="shared" si="52"/>
        <v>1.0381945887166351</v>
      </c>
      <c r="AT383" s="169">
        <f t="shared" si="52"/>
        <v>1.0381945887166351</v>
      </c>
      <c r="AU383" s="169">
        <f t="shared" si="52"/>
        <v>1.0381945887166351</v>
      </c>
      <c r="AV383" s="169">
        <f t="shared" si="52"/>
        <v>1.0381945887166351</v>
      </c>
      <c r="AW383" s="169">
        <f t="shared" si="52"/>
        <v>1.0381945887166351</v>
      </c>
    </row>
    <row r="384" spans="1:49" x14ac:dyDescent="0.2">
      <c r="A384" s="765" t="s">
        <v>475</v>
      </c>
      <c r="B384" s="169">
        <f t="shared" ref="B384:AW384" si="53">$B$380-(3*$B$382)</f>
        <v>0.88935627816546059</v>
      </c>
      <c r="C384" s="169">
        <f t="shared" si="53"/>
        <v>0.88935627816546059</v>
      </c>
      <c r="D384" s="169">
        <f t="shared" si="53"/>
        <v>0.88935627816546059</v>
      </c>
      <c r="E384" s="169">
        <f t="shared" si="53"/>
        <v>0.88935627816546059</v>
      </c>
      <c r="F384" s="169">
        <f t="shared" si="53"/>
        <v>0.88935627816546059</v>
      </c>
      <c r="G384" s="169">
        <f t="shared" si="53"/>
        <v>0.88935627816546059</v>
      </c>
      <c r="H384" s="169">
        <f t="shared" si="53"/>
        <v>0.88935627816546059</v>
      </c>
      <c r="I384" s="169">
        <f t="shared" si="53"/>
        <v>0.88935627816546059</v>
      </c>
      <c r="J384" s="169">
        <f t="shared" si="53"/>
        <v>0.88935627816546059</v>
      </c>
      <c r="K384" s="169">
        <f t="shared" si="53"/>
        <v>0.88935627816546059</v>
      </c>
      <c r="L384" s="169">
        <f t="shared" si="53"/>
        <v>0.88935627816546059</v>
      </c>
      <c r="M384" s="169">
        <f t="shared" si="53"/>
        <v>0.88935627816546059</v>
      </c>
      <c r="N384" s="169">
        <f t="shared" si="53"/>
        <v>0.88935627816546059</v>
      </c>
      <c r="O384" s="169">
        <f t="shared" si="53"/>
        <v>0.88935627816546059</v>
      </c>
      <c r="P384" s="169">
        <f t="shared" si="53"/>
        <v>0.88935627816546059</v>
      </c>
      <c r="Q384" s="169">
        <f t="shared" si="53"/>
        <v>0.88935627816546059</v>
      </c>
      <c r="R384" s="169">
        <f t="shared" si="53"/>
        <v>0.88935627816546059</v>
      </c>
      <c r="S384" s="169">
        <f t="shared" si="53"/>
        <v>0.88935627816546059</v>
      </c>
      <c r="T384" s="169">
        <f t="shared" si="53"/>
        <v>0.88935627816546059</v>
      </c>
      <c r="U384" s="169">
        <f t="shared" si="53"/>
        <v>0.88935627816546059</v>
      </c>
      <c r="V384" s="169">
        <f t="shared" si="53"/>
        <v>0.88935627816546059</v>
      </c>
      <c r="W384" s="169">
        <f t="shared" si="53"/>
        <v>0.88935627816546059</v>
      </c>
      <c r="X384" s="169">
        <f t="shared" si="53"/>
        <v>0.88935627816546059</v>
      </c>
      <c r="Y384" s="169">
        <f t="shared" si="53"/>
        <v>0.88935627816546059</v>
      </c>
      <c r="Z384" s="169">
        <f t="shared" si="53"/>
        <v>0.88935627816546059</v>
      </c>
      <c r="AA384" s="169">
        <f t="shared" si="53"/>
        <v>0.88935627816546059</v>
      </c>
      <c r="AB384" s="169">
        <f t="shared" si="53"/>
        <v>0.88935627816546059</v>
      </c>
      <c r="AC384" s="169">
        <f t="shared" si="53"/>
        <v>0.88935627816546059</v>
      </c>
      <c r="AD384" s="169">
        <f t="shared" si="53"/>
        <v>0.88935627816546059</v>
      </c>
      <c r="AE384" s="169">
        <f t="shared" si="53"/>
        <v>0.88935627816546059</v>
      </c>
      <c r="AF384" s="169">
        <f t="shared" si="53"/>
        <v>0.88935627816546059</v>
      </c>
      <c r="AG384" s="169">
        <f t="shared" si="53"/>
        <v>0.88935627816546059</v>
      </c>
      <c r="AH384" s="169">
        <f t="shared" si="53"/>
        <v>0.88935627816546059</v>
      </c>
      <c r="AI384" s="169">
        <f t="shared" si="53"/>
        <v>0.88935627816546059</v>
      </c>
      <c r="AJ384" s="169">
        <f t="shared" si="53"/>
        <v>0.88935627816546059</v>
      </c>
      <c r="AK384" s="169">
        <f t="shared" si="53"/>
        <v>0.88935627816546059</v>
      </c>
      <c r="AL384" s="169">
        <f t="shared" si="53"/>
        <v>0.88935627816546059</v>
      </c>
      <c r="AM384" s="169">
        <f t="shared" si="53"/>
        <v>0.88935627816546059</v>
      </c>
      <c r="AN384" s="169">
        <f t="shared" si="53"/>
        <v>0.88935627816546059</v>
      </c>
      <c r="AO384" s="169">
        <f t="shared" si="53"/>
        <v>0.88935627816546059</v>
      </c>
      <c r="AP384" s="169">
        <f t="shared" si="53"/>
        <v>0.88935627816546059</v>
      </c>
      <c r="AQ384" s="169">
        <f t="shared" si="53"/>
        <v>0.88935627816546059</v>
      </c>
      <c r="AR384" s="169">
        <f t="shared" si="53"/>
        <v>0.88935627816546059</v>
      </c>
      <c r="AS384" s="169">
        <f t="shared" si="53"/>
        <v>0.88935627816546059</v>
      </c>
      <c r="AT384" s="169">
        <f t="shared" si="53"/>
        <v>0.88935627816546059</v>
      </c>
      <c r="AU384" s="169">
        <f t="shared" si="53"/>
        <v>0.88935627816546059</v>
      </c>
      <c r="AV384" s="169">
        <f t="shared" si="53"/>
        <v>0.88935627816546059</v>
      </c>
      <c r="AW384" s="169">
        <f t="shared" si="53"/>
        <v>0.88935627816546059</v>
      </c>
    </row>
    <row r="385" spans="1:49" ht="25.5" x14ac:dyDescent="0.2">
      <c r="A385" s="770" t="s">
        <v>471</v>
      </c>
      <c r="B385" s="758">
        <v>104</v>
      </c>
      <c r="C385" s="758">
        <v>120</v>
      </c>
      <c r="D385" s="758">
        <v>93</v>
      </c>
      <c r="E385" s="758">
        <v>95</v>
      </c>
      <c r="F385" s="758">
        <v>96</v>
      </c>
      <c r="G385" s="758">
        <v>100</v>
      </c>
      <c r="H385" s="758">
        <v>116</v>
      </c>
      <c r="I385" s="758">
        <v>128</v>
      </c>
      <c r="J385" s="758">
        <v>100</v>
      </c>
      <c r="K385" s="758">
        <v>125</v>
      </c>
      <c r="L385" s="758">
        <v>120</v>
      </c>
      <c r="M385" s="758">
        <v>103</v>
      </c>
      <c r="N385" s="758">
        <v>128</v>
      </c>
      <c r="O385" s="758">
        <v>121</v>
      </c>
      <c r="P385" s="758">
        <v>117</v>
      </c>
      <c r="Q385" s="758">
        <v>121</v>
      </c>
      <c r="R385" s="758">
        <v>119</v>
      </c>
      <c r="S385" s="758">
        <v>127</v>
      </c>
      <c r="T385" s="758">
        <v>119</v>
      </c>
      <c r="U385" s="758">
        <v>104</v>
      </c>
      <c r="V385" s="758">
        <v>139</v>
      </c>
      <c r="W385" s="758">
        <v>109</v>
      </c>
      <c r="X385" s="758">
        <v>100</v>
      </c>
      <c r="Y385" s="758">
        <v>132</v>
      </c>
      <c r="Z385" s="758">
        <v>122</v>
      </c>
      <c r="AA385" s="758">
        <v>135</v>
      </c>
      <c r="AB385" s="758">
        <v>130</v>
      </c>
      <c r="AC385" s="758">
        <v>120</v>
      </c>
      <c r="AD385" s="758">
        <v>119</v>
      </c>
      <c r="AE385" s="758">
        <v>100</v>
      </c>
      <c r="AF385" s="758">
        <v>118</v>
      </c>
      <c r="AG385" s="758"/>
      <c r="AH385" s="758"/>
      <c r="AI385" s="758"/>
      <c r="AJ385" s="758"/>
      <c r="AK385" s="758"/>
      <c r="AL385" s="758"/>
      <c r="AM385" s="758"/>
      <c r="AN385" s="758"/>
      <c r="AO385" s="758"/>
      <c r="AP385" s="758"/>
      <c r="AQ385" s="758"/>
      <c r="AR385" s="758"/>
      <c r="AS385" s="758"/>
      <c r="AT385" s="758"/>
      <c r="AU385" s="758"/>
      <c r="AV385" s="758"/>
      <c r="AW385" s="758"/>
    </row>
    <row r="386" spans="1:49" x14ac:dyDescent="0.2">
      <c r="A386" s="770" t="s">
        <v>466</v>
      </c>
      <c r="B386" s="758"/>
      <c r="C386" s="758">
        <f>SUM(C385-B385)</f>
        <v>16</v>
      </c>
      <c r="D386" s="758">
        <f>SUM(D385-C385)*-1</f>
        <v>27</v>
      </c>
      <c r="E386" s="758">
        <f t="shared" ref="E386:V386" si="54">SUM(E385-D385)</f>
        <v>2</v>
      </c>
      <c r="F386" s="758">
        <f t="shared" si="54"/>
        <v>1</v>
      </c>
      <c r="G386" s="758">
        <f t="shared" si="54"/>
        <v>4</v>
      </c>
      <c r="H386" s="758">
        <f t="shared" si="54"/>
        <v>16</v>
      </c>
      <c r="I386" s="758">
        <f t="shared" si="54"/>
        <v>12</v>
      </c>
      <c r="J386" s="758">
        <f>SUM(J385-I385)*-1</f>
        <v>28</v>
      </c>
      <c r="K386" s="758">
        <f t="shared" si="54"/>
        <v>25</v>
      </c>
      <c r="L386" s="758">
        <f>SUM(L385-K385)*-1</f>
        <v>5</v>
      </c>
      <c r="M386" s="758">
        <f>SUM(M385-L385)*-1</f>
        <v>17</v>
      </c>
      <c r="N386" s="758">
        <f t="shared" si="54"/>
        <v>25</v>
      </c>
      <c r="O386" s="758">
        <f>SUM(O385-N385)*-1</f>
        <v>7</v>
      </c>
      <c r="P386" s="758">
        <f>SUM(P385-O385)*-1</f>
        <v>4</v>
      </c>
      <c r="Q386" s="758">
        <f t="shared" si="54"/>
        <v>4</v>
      </c>
      <c r="R386" s="758">
        <f>SUM(R385-Q385)*-1</f>
        <v>2</v>
      </c>
      <c r="S386" s="758">
        <f t="shared" si="54"/>
        <v>8</v>
      </c>
      <c r="T386" s="758">
        <f>SUM(T385-S385)*-1</f>
        <v>8</v>
      </c>
      <c r="U386" s="758">
        <f>SUM(U385-T385)*-1</f>
        <v>15</v>
      </c>
      <c r="V386" s="758">
        <f t="shared" si="54"/>
        <v>35</v>
      </c>
      <c r="W386" s="758">
        <f>SUM(W385-V385)*-1</f>
        <v>30</v>
      </c>
      <c r="X386" s="758">
        <f>SUM(X385-W385)*-1</f>
        <v>9</v>
      </c>
      <c r="Y386" s="758">
        <f>SUM(Y385-X385)</f>
        <v>32</v>
      </c>
      <c r="Z386" s="758">
        <f>SUM(Z385-Y385)*-1</f>
        <v>10</v>
      </c>
      <c r="AA386" s="758">
        <f>SUM(AA385-Z385)</f>
        <v>13</v>
      </c>
      <c r="AB386" s="758">
        <f>SUM(AB385-AA385)*-1</f>
        <v>5</v>
      </c>
      <c r="AC386" s="758">
        <f>SUM(AC385-AB385)*-1</f>
        <v>10</v>
      </c>
      <c r="AD386" s="758">
        <f>SUM(AD385-AC385)*-1</f>
        <v>1</v>
      </c>
      <c r="AE386" s="758">
        <f>SUM(AE385-AD385)*-1</f>
        <v>19</v>
      </c>
      <c r="AF386" s="758">
        <f>SUM(AF385-AE385)</f>
        <v>18</v>
      </c>
      <c r="AG386" s="758"/>
      <c r="AH386" s="758"/>
      <c r="AI386" s="758"/>
      <c r="AJ386" s="758"/>
      <c r="AK386" s="758"/>
      <c r="AL386" s="758"/>
      <c r="AM386" s="758"/>
      <c r="AN386" s="758"/>
      <c r="AO386" s="758"/>
      <c r="AP386" s="758"/>
      <c r="AQ386" s="758"/>
      <c r="AR386" s="758"/>
      <c r="AS386" s="758"/>
      <c r="AT386" s="758"/>
      <c r="AU386" s="758"/>
      <c r="AV386" s="758"/>
      <c r="AW386" s="758"/>
    </row>
    <row r="387" spans="1:49" s="186" customFormat="1" ht="21.75" x14ac:dyDescent="0.2">
      <c r="A387" s="768" t="s">
        <v>469</v>
      </c>
      <c r="B387" s="753"/>
      <c r="C387" s="753"/>
      <c r="D387" s="753"/>
      <c r="E387" s="753"/>
      <c r="F387" s="753"/>
      <c r="G387" s="753"/>
      <c r="H387" s="753"/>
      <c r="I387" s="753"/>
      <c r="J387" s="753"/>
      <c r="K387" s="753"/>
      <c r="L387" s="753"/>
      <c r="M387" s="753"/>
      <c r="N387" s="753"/>
      <c r="O387" s="753"/>
      <c r="P387" s="753"/>
      <c r="Q387" s="753"/>
      <c r="R387" s="753"/>
      <c r="S387" s="753"/>
      <c r="T387" s="753"/>
      <c r="U387" s="753"/>
      <c r="V387" s="753"/>
      <c r="W387" s="753"/>
      <c r="X387" s="753"/>
      <c r="Y387" s="753"/>
      <c r="Z387" s="753"/>
      <c r="AA387" s="753"/>
      <c r="AB387" s="753"/>
      <c r="AC387" s="753"/>
      <c r="AD387" s="753"/>
      <c r="AE387" s="753"/>
      <c r="AF387" s="753"/>
      <c r="AG387" s="753"/>
      <c r="AH387" s="753"/>
      <c r="AI387" s="753"/>
      <c r="AJ387" s="753"/>
      <c r="AK387" s="753"/>
      <c r="AL387" s="753"/>
      <c r="AM387" s="753"/>
      <c r="AN387" s="753"/>
      <c r="AO387" s="753"/>
      <c r="AP387" s="753"/>
      <c r="AQ387" s="753"/>
      <c r="AR387" s="753"/>
      <c r="AS387" s="753"/>
      <c r="AT387" s="753"/>
      <c r="AU387" s="753"/>
      <c r="AV387" s="753"/>
      <c r="AW387" s="753"/>
    </row>
    <row r="388" spans="1:49" x14ac:dyDescent="0.2">
      <c r="A388" s="771" t="s">
        <v>468</v>
      </c>
      <c r="B388" s="758">
        <f t="shared" ref="B388:AW388" si="55">AVERAGE($B$385:$AW$385)</f>
        <v>115.48387096774194</v>
      </c>
      <c r="C388" s="758">
        <f t="shared" si="55"/>
        <v>115.48387096774194</v>
      </c>
      <c r="D388" s="758">
        <f t="shared" si="55"/>
        <v>115.48387096774194</v>
      </c>
      <c r="E388" s="758">
        <f t="shared" si="55"/>
        <v>115.48387096774194</v>
      </c>
      <c r="F388" s="758">
        <f t="shared" si="55"/>
        <v>115.48387096774194</v>
      </c>
      <c r="G388" s="758">
        <f t="shared" si="55"/>
        <v>115.48387096774194</v>
      </c>
      <c r="H388" s="758">
        <f t="shared" si="55"/>
        <v>115.48387096774194</v>
      </c>
      <c r="I388" s="758">
        <f t="shared" si="55"/>
        <v>115.48387096774194</v>
      </c>
      <c r="J388" s="758">
        <f t="shared" si="55"/>
        <v>115.48387096774194</v>
      </c>
      <c r="K388" s="758">
        <f t="shared" si="55"/>
        <v>115.48387096774194</v>
      </c>
      <c r="L388" s="758">
        <f t="shared" si="55"/>
        <v>115.48387096774194</v>
      </c>
      <c r="M388" s="758">
        <f t="shared" si="55"/>
        <v>115.48387096774194</v>
      </c>
      <c r="N388" s="758">
        <f t="shared" si="55"/>
        <v>115.48387096774194</v>
      </c>
      <c r="O388" s="758">
        <f t="shared" si="55"/>
        <v>115.48387096774194</v>
      </c>
      <c r="P388" s="758">
        <f t="shared" si="55"/>
        <v>115.48387096774194</v>
      </c>
      <c r="Q388" s="758">
        <f t="shared" si="55"/>
        <v>115.48387096774194</v>
      </c>
      <c r="R388" s="758">
        <f t="shared" si="55"/>
        <v>115.48387096774194</v>
      </c>
      <c r="S388" s="758">
        <f t="shared" si="55"/>
        <v>115.48387096774194</v>
      </c>
      <c r="T388" s="758">
        <f t="shared" si="55"/>
        <v>115.48387096774194</v>
      </c>
      <c r="U388" s="758">
        <f t="shared" si="55"/>
        <v>115.48387096774194</v>
      </c>
      <c r="V388" s="758">
        <f t="shared" si="55"/>
        <v>115.48387096774194</v>
      </c>
      <c r="W388" s="758">
        <f t="shared" si="55"/>
        <v>115.48387096774194</v>
      </c>
      <c r="X388" s="758">
        <f t="shared" si="55"/>
        <v>115.48387096774194</v>
      </c>
      <c r="Y388" s="758">
        <f t="shared" si="55"/>
        <v>115.48387096774194</v>
      </c>
      <c r="Z388" s="758">
        <f t="shared" si="55"/>
        <v>115.48387096774194</v>
      </c>
      <c r="AA388" s="758">
        <f t="shared" si="55"/>
        <v>115.48387096774194</v>
      </c>
      <c r="AB388" s="758">
        <f t="shared" si="55"/>
        <v>115.48387096774194</v>
      </c>
      <c r="AC388" s="758">
        <f t="shared" si="55"/>
        <v>115.48387096774194</v>
      </c>
      <c r="AD388" s="758">
        <f t="shared" si="55"/>
        <v>115.48387096774194</v>
      </c>
      <c r="AE388" s="758">
        <f t="shared" si="55"/>
        <v>115.48387096774194</v>
      </c>
      <c r="AF388" s="758">
        <f t="shared" si="55"/>
        <v>115.48387096774194</v>
      </c>
      <c r="AG388" s="758">
        <f t="shared" si="55"/>
        <v>115.48387096774194</v>
      </c>
      <c r="AH388" s="758">
        <f t="shared" si="55"/>
        <v>115.48387096774194</v>
      </c>
      <c r="AI388" s="758">
        <f t="shared" si="55"/>
        <v>115.48387096774194</v>
      </c>
      <c r="AJ388" s="758">
        <f t="shared" si="55"/>
        <v>115.48387096774194</v>
      </c>
      <c r="AK388" s="758">
        <f t="shared" si="55"/>
        <v>115.48387096774194</v>
      </c>
      <c r="AL388" s="758">
        <f t="shared" si="55"/>
        <v>115.48387096774194</v>
      </c>
      <c r="AM388" s="758">
        <f t="shared" si="55"/>
        <v>115.48387096774194</v>
      </c>
      <c r="AN388" s="758">
        <f t="shared" si="55"/>
        <v>115.48387096774194</v>
      </c>
      <c r="AO388" s="758">
        <f t="shared" si="55"/>
        <v>115.48387096774194</v>
      </c>
      <c r="AP388" s="758">
        <f t="shared" si="55"/>
        <v>115.48387096774194</v>
      </c>
      <c r="AQ388" s="758">
        <f t="shared" si="55"/>
        <v>115.48387096774194</v>
      </c>
      <c r="AR388" s="758">
        <f t="shared" si="55"/>
        <v>115.48387096774194</v>
      </c>
      <c r="AS388" s="758">
        <f t="shared" si="55"/>
        <v>115.48387096774194</v>
      </c>
      <c r="AT388" s="758">
        <f t="shared" si="55"/>
        <v>115.48387096774194</v>
      </c>
      <c r="AU388" s="758">
        <f t="shared" si="55"/>
        <v>115.48387096774194</v>
      </c>
      <c r="AV388" s="758">
        <f t="shared" si="55"/>
        <v>115.48387096774194</v>
      </c>
      <c r="AW388" s="758">
        <f t="shared" si="55"/>
        <v>115.48387096774194</v>
      </c>
    </row>
    <row r="389" spans="1:49" x14ac:dyDescent="0.2">
      <c r="A389" s="770" t="s">
        <v>467</v>
      </c>
      <c r="B389" s="758">
        <f t="shared" ref="B389:AW389" si="56">SUM($C$386:$AW$386)/22</f>
        <v>18.545454545454547</v>
      </c>
      <c r="C389" s="758">
        <f t="shared" si="56"/>
        <v>18.545454545454547</v>
      </c>
      <c r="D389" s="758">
        <f t="shared" si="56"/>
        <v>18.545454545454547</v>
      </c>
      <c r="E389" s="758">
        <f t="shared" si="56"/>
        <v>18.545454545454547</v>
      </c>
      <c r="F389" s="758">
        <f t="shared" si="56"/>
        <v>18.545454545454547</v>
      </c>
      <c r="G389" s="758">
        <f t="shared" si="56"/>
        <v>18.545454545454547</v>
      </c>
      <c r="H389" s="758">
        <f t="shared" si="56"/>
        <v>18.545454545454547</v>
      </c>
      <c r="I389" s="758">
        <f t="shared" si="56"/>
        <v>18.545454545454547</v>
      </c>
      <c r="J389" s="758">
        <f t="shared" si="56"/>
        <v>18.545454545454547</v>
      </c>
      <c r="K389" s="758">
        <f t="shared" si="56"/>
        <v>18.545454545454547</v>
      </c>
      <c r="L389" s="758">
        <f t="shared" si="56"/>
        <v>18.545454545454547</v>
      </c>
      <c r="M389" s="758">
        <f t="shared" si="56"/>
        <v>18.545454545454547</v>
      </c>
      <c r="N389" s="758">
        <f t="shared" si="56"/>
        <v>18.545454545454547</v>
      </c>
      <c r="O389" s="758">
        <f t="shared" si="56"/>
        <v>18.545454545454547</v>
      </c>
      <c r="P389" s="758">
        <f t="shared" si="56"/>
        <v>18.545454545454547</v>
      </c>
      <c r="Q389" s="758">
        <f t="shared" si="56"/>
        <v>18.545454545454547</v>
      </c>
      <c r="R389" s="758">
        <f t="shared" si="56"/>
        <v>18.545454545454547</v>
      </c>
      <c r="S389" s="758">
        <f t="shared" si="56"/>
        <v>18.545454545454547</v>
      </c>
      <c r="T389" s="758">
        <f t="shared" si="56"/>
        <v>18.545454545454547</v>
      </c>
      <c r="U389" s="758">
        <f t="shared" si="56"/>
        <v>18.545454545454547</v>
      </c>
      <c r="V389" s="758">
        <f t="shared" si="56"/>
        <v>18.545454545454547</v>
      </c>
      <c r="W389" s="758">
        <f t="shared" si="56"/>
        <v>18.545454545454547</v>
      </c>
      <c r="X389" s="758">
        <f t="shared" si="56"/>
        <v>18.545454545454547</v>
      </c>
      <c r="Y389" s="758">
        <f t="shared" si="56"/>
        <v>18.545454545454547</v>
      </c>
      <c r="Z389" s="758">
        <f t="shared" si="56"/>
        <v>18.545454545454547</v>
      </c>
      <c r="AA389" s="758">
        <f t="shared" si="56"/>
        <v>18.545454545454547</v>
      </c>
      <c r="AB389" s="758">
        <f t="shared" si="56"/>
        <v>18.545454545454547</v>
      </c>
      <c r="AC389" s="758">
        <f t="shared" si="56"/>
        <v>18.545454545454547</v>
      </c>
      <c r="AD389" s="758">
        <f t="shared" si="56"/>
        <v>18.545454545454547</v>
      </c>
      <c r="AE389" s="758">
        <f t="shared" si="56"/>
        <v>18.545454545454547</v>
      </c>
      <c r="AF389" s="758">
        <f t="shared" si="56"/>
        <v>18.545454545454547</v>
      </c>
      <c r="AG389" s="758">
        <f t="shared" si="56"/>
        <v>18.545454545454547</v>
      </c>
      <c r="AH389" s="758">
        <f t="shared" si="56"/>
        <v>18.545454545454547</v>
      </c>
      <c r="AI389" s="758">
        <f t="shared" si="56"/>
        <v>18.545454545454547</v>
      </c>
      <c r="AJ389" s="758">
        <f t="shared" si="56"/>
        <v>18.545454545454547</v>
      </c>
      <c r="AK389" s="758">
        <f t="shared" si="56"/>
        <v>18.545454545454547</v>
      </c>
      <c r="AL389" s="758">
        <f t="shared" si="56"/>
        <v>18.545454545454547</v>
      </c>
      <c r="AM389" s="758">
        <f t="shared" si="56"/>
        <v>18.545454545454547</v>
      </c>
      <c r="AN389" s="758">
        <f t="shared" si="56"/>
        <v>18.545454545454547</v>
      </c>
      <c r="AO389" s="758">
        <f t="shared" si="56"/>
        <v>18.545454545454547</v>
      </c>
      <c r="AP389" s="758">
        <f t="shared" si="56"/>
        <v>18.545454545454547</v>
      </c>
      <c r="AQ389" s="758">
        <f t="shared" si="56"/>
        <v>18.545454545454547</v>
      </c>
      <c r="AR389" s="758">
        <f t="shared" si="56"/>
        <v>18.545454545454547</v>
      </c>
      <c r="AS389" s="758">
        <f t="shared" si="56"/>
        <v>18.545454545454547</v>
      </c>
      <c r="AT389" s="758">
        <f t="shared" si="56"/>
        <v>18.545454545454547</v>
      </c>
      <c r="AU389" s="758">
        <f t="shared" si="56"/>
        <v>18.545454545454547</v>
      </c>
      <c r="AV389" s="758">
        <f t="shared" si="56"/>
        <v>18.545454545454547</v>
      </c>
      <c r="AW389" s="758">
        <f t="shared" si="56"/>
        <v>18.545454545454547</v>
      </c>
    </row>
    <row r="390" spans="1:49" x14ac:dyDescent="0.2">
      <c r="A390" s="770" t="s">
        <v>472</v>
      </c>
      <c r="B390" s="758">
        <f>SUM(B389)/1.128</f>
        <v>16.441005802707934</v>
      </c>
      <c r="C390" s="758">
        <f t="shared" ref="C390:Y390" si="57">SUM(C389)/1.128</f>
        <v>16.441005802707934</v>
      </c>
      <c r="D390" s="758">
        <f t="shared" si="57"/>
        <v>16.441005802707934</v>
      </c>
      <c r="E390" s="758">
        <f t="shared" si="57"/>
        <v>16.441005802707934</v>
      </c>
      <c r="F390" s="758">
        <f t="shared" si="57"/>
        <v>16.441005802707934</v>
      </c>
      <c r="G390" s="758">
        <f t="shared" si="57"/>
        <v>16.441005802707934</v>
      </c>
      <c r="H390" s="758">
        <f t="shared" si="57"/>
        <v>16.441005802707934</v>
      </c>
      <c r="I390" s="758">
        <f t="shared" si="57"/>
        <v>16.441005802707934</v>
      </c>
      <c r="J390" s="758">
        <f t="shared" si="57"/>
        <v>16.441005802707934</v>
      </c>
      <c r="K390" s="758">
        <f t="shared" si="57"/>
        <v>16.441005802707934</v>
      </c>
      <c r="L390" s="758">
        <f t="shared" si="57"/>
        <v>16.441005802707934</v>
      </c>
      <c r="M390" s="758">
        <f t="shared" si="57"/>
        <v>16.441005802707934</v>
      </c>
      <c r="N390" s="758">
        <f t="shared" si="57"/>
        <v>16.441005802707934</v>
      </c>
      <c r="O390" s="758">
        <f t="shared" si="57"/>
        <v>16.441005802707934</v>
      </c>
      <c r="P390" s="758">
        <f t="shared" si="57"/>
        <v>16.441005802707934</v>
      </c>
      <c r="Q390" s="758">
        <f t="shared" si="57"/>
        <v>16.441005802707934</v>
      </c>
      <c r="R390" s="758">
        <f t="shared" si="57"/>
        <v>16.441005802707934</v>
      </c>
      <c r="S390" s="758">
        <f t="shared" si="57"/>
        <v>16.441005802707934</v>
      </c>
      <c r="T390" s="758">
        <f t="shared" si="57"/>
        <v>16.441005802707934</v>
      </c>
      <c r="U390" s="758">
        <f t="shared" si="57"/>
        <v>16.441005802707934</v>
      </c>
      <c r="V390" s="758">
        <f t="shared" si="57"/>
        <v>16.441005802707934</v>
      </c>
      <c r="W390" s="758">
        <f t="shared" si="57"/>
        <v>16.441005802707934</v>
      </c>
      <c r="X390" s="758">
        <f t="shared" si="57"/>
        <v>16.441005802707934</v>
      </c>
      <c r="Y390" s="758">
        <f t="shared" si="57"/>
        <v>16.441005802707934</v>
      </c>
      <c r="Z390" s="758">
        <f t="shared" ref="Z390:AW390" si="58">SUM(Z389)/1.128</f>
        <v>16.441005802707934</v>
      </c>
      <c r="AA390" s="758">
        <f t="shared" si="58"/>
        <v>16.441005802707934</v>
      </c>
      <c r="AB390" s="758">
        <f t="shared" si="58"/>
        <v>16.441005802707934</v>
      </c>
      <c r="AC390" s="758">
        <f t="shared" si="58"/>
        <v>16.441005802707934</v>
      </c>
      <c r="AD390" s="758">
        <f t="shared" si="58"/>
        <v>16.441005802707934</v>
      </c>
      <c r="AE390" s="758">
        <f t="shared" si="58"/>
        <v>16.441005802707934</v>
      </c>
      <c r="AF390" s="758">
        <f t="shared" si="58"/>
        <v>16.441005802707934</v>
      </c>
      <c r="AG390" s="758">
        <f t="shared" si="58"/>
        <v>16.441005802707934</v>
      </c>
      <c r="AH390" s="758">
        <f t="shared" si="58"/>
        <v>16.441005802707934</v>
      </c>
      <c r="AI390" s="758">
        <f t="shared" si="58"/>
        <v>16.441005802707934</v>
      </c>
      <c r="AJ390" s="758">
        <f t="shared" si="58"/>
        <v>16.441005802707934</v>
      </c>
      <c r="AK390" s="758">
        <f t="shared" si="58"/>
        <v>16.441005802707934</v>
      </c>
      <c r="AL390" s="758">
        <f t="shared" si="58"/>
        <v>16.441005802707934</v>
      </c>
      <c r="AM390" s="758">
        <f t="shared" si="58"/>
        <v>16.441005802707934</v>
      </c>
      <c r="AN390" s="758">
        <f t="shared" si="58"/>
        <v>16.441005802707934</v>
      </c>
      <c r="AO390" s="758">
        <f t="shared" si="58"/>
        <v>16.441005802707934</v>
      </c>
      <c r="AP390" s="758">
        <f t="shared" si="58"/>
        <v>16.441005802707934</v>
      </c>
      <c r="AQ390" s="758">
        <f t="shared" si="58"/>
        <v>16.441005802707934</v>
      </c>
      <c r="AR390" s="758">
        <f t="shared" si="58"/>
        <v>16.441005802707934</v>
      </c>
      <c r="AS390" s="758">
        <f t="shared" si="58"/>
        <v>16.441005802707934</v>
      </c>
      <c r="AT390" s="758">
        <f t="shared" si="58"/>
        <v>16.441005802707934</v>
      </c>
      <c r="AU390" s="758">
        <f t="shared" si="58"/>
        <v>16.441005802707934</v>
      </c>
      <c r="AV390" s="758">
        <f t="shared" si="58"/>
        <v>16.441005802707934</v>
      </c>
      <c r="AW390" s="758">
        <f t="shared" si="58"/>
        <v>16.441005802707934</v>
      </c>
    </row>
    <row r="391" spans="1:49" x14ac:dyDescent="0.2">
      <c r="A391" s="770" t="s">
        <v>473</v>
      </c>
      <c r="B391" s="758">
        <f t="shared" ref="B391:AW391" si="59">SUM($B$388)+ (3*$B$390)</f>
        <v>164.80688837586575</v>
      </c>
      <c r="C391" s="758">
        <f t="shared" si="59"/>
        <v>164.80688837586575</v>
      </c>
      <c r="D391" s="758">
        <f t="shared" si="59"/>
        <v>164.80688837586575</v>
      </c>
      <c r="E391" s="758">
        <f t="shared" si="59"/>
        <v>164.80688837586575</v>
      </c>
      <c r="F391" s="758">
        <f t="shared" si="59"/>
        <v>164.80688837586575</v>
      </c>
      <c r="G391" s="758">
        <f t="shared" si="59"/>
        <v>164.80688837586575</v>
      </c>
      <c r="H391" s="758">
        <f t="shared" si="59"/>
        <v>164.80688837586575</v>
      </c>
      <c r="I391" s="758">
        <f t="shared" si="59"/>
        <v>164.80688837586575</v>
      </c>
      <c r="J391" s="758">
        <f t="shared" si="59"/>
        <v>164.80688837586575</v>
      </c>
      <c r="K391" s="758">
        <f t="shared" si="59"/>
        <v>164.80688837586575</v>
      </c>
      <c r="L391" s="758">
        <f t="shared" si="59"/>
        <v>164.80688837586575</v>
      </c>
      <c r="M391" s="758">
        <f t="shared" si="59"/>
        <v>164.80688837586575</v>
      </c>
      <c r="N391" s="758">
        <f t="shared" si="59"/>
        <v>164.80688837586575</v>
      </c>
      <c r="O391" s="758">
        <f t="shared" si="59"/>
        <v>164.80688837586575</v>
      </c>
      <c r="P391" s="758">
        <f t="shared" si="59"/>
        <v>164.80688837586575</v>
      </c>
      <c r="Q391" s="758">
        <f t="shared" si="59"/>
        <v>164.80688837586575</v>
      </c>
      <c r="R391" s="758">
        <f t="shared" si="59"/>
        <v>164.80688837586575</v>
      </c>
      <c r="S391" s="758">
        <f t="shared" si="59"/>
        <v>164.80688837586575</v>
      </c>
      <c r="T391" s="758">
        <f t="shared" si="59"/>
        <v>164.80688837586575</v>
      </c>
      <c r="U391" s="758">
        <f t="shared" si="59"/>
        <v>164.80688837586575</v>
      </c>
      <c r="V391" s="758">
        <f t="shared" si="59"/>
        <v>164.80688837586575</v>
      </c>
      <c r="W391" s="758">
        <f t="shared" si="59"/>
        <v>164.80688837586575</v>
      </c>
      <c r="X391" s="758">
        <f t="shared" si="59"/>
        <v>164.80688837586575</v>
      </c>
      <c r="Y391" s="758">
        <f t="shared" si="59"/>
        <v>164.80688837586575</v>
      </c>
      <c r="Z391" s="758">
        <f t="shared" si="59"/>
        <v>164.80688837586575</v>
      </c>
      <c r="AA391" s="758">
        <f t="shared" si="59"/>
        <v>164.80688837586575</v>
      </c>
      <c r="AB391" s="758">
        <f t="shared" si="59"/>
        <v>164.80688837586575</v>
      </c>
      <c r="AC391" s="758">
        <f t="shared" si="59"/>
        <v>164.80688837586575</v>
      </c>
      <c r="AD391" s="758">
        <f t="shared" si="59"/>
        <v>164.80688837586575</v>
      </c>
      <c r="AE391" s="758">
        <f t="shared" si="59"/>
        <v>164.80688837586575</v>
      </c>
      <c r="AF391" s="758">
        <f t="shared" si="59"/>
        <v>164.80688837586575</v>
      </c>
      <c r="AG391" s="758">
        <f t="shared" si="59"/>
        <v>164.80688837586575</v>
      </c>
      <c r="AH391" s="758">
        <f t="shared" si="59"/>
        <v>164.80688837586575</v>
      </c>
      <c r="AI391" s="758">
        <f t="shared" si="59"/>
        <v>164.80688837586575</v>
      </c>
      <c r="AJ391" s="758">
        <f t="shared" si="59"/>
        <v>164.80688837586575</v>
      </c>
      <c r="AK391" s="758">
        <f t="shared" si="59"/>
        <v>164.80688837586575</v>
      </c>
      <c r="AL391" s="758">
        <f t="shared" si="59"/>
        <v>164.80688837586575</v>
      </c>
      <c r="AM391" s="758">
        <f t="shared" si="59"/>
        <v>164.80688837586575</v>
      </c>
      <c r="AN391" s="758">
        <f t="shared" si="59"/>
        <v>164.80688837586575</v>
      </c>
      <c r="AO391" s="758">
        <f t="shared" si="59"/>
        <v>164.80688837586575</v>
      </c>
      <c r="AP391" s="758">
        <f t="shared" si="59"/>
        <v>164.80688837586575</v>
      </c>
      <c r="AQ391" s="758">
        <f t="shared" si="59"/>
        <v>164.80688837586575</v>
      </c>
      <c r="AR391" s="758">
        <f t="shared" si="59"/>
        <v>164.80688837586575</v>
      </c>
      <c r="AS391" s="758">
        <f t="shared" si="59"/>
        <v>164.80688837586575</v>
      </c>
      <c r="AT391" s="758">
        <f t="shared" si="59"/>
        <v>164.80688837586575</v>
      </c>
      <c r="AU391" s="758">
        <f t="shared" si="59"/>
        <v>164.80688837586575</v>
      </c>
      <c r="AV391" s="758">
        <f t="shared" si="59"/>
        <v>164.80688837586575</v>
      </c>
      <c r="AW391" s="758">
        <f t="shared" si="59"/>
        <v>164.80688837586575</v>
      </c>
    </row>
    <row r="392" spans="1:49" x14ac:dyDescent="0.2">
      <c r="A392" s="770" t="s">
        <v>474</v>
      </c>
      <c r="B392" s="758">
        <f t="shared" ref="B392:AW392" si="60">SUM($B$388)+- (3*$B$390)</f>
        <v>66.160853559618133</v>
      </c>
      <c r="C392" s="758">
        <f t="shared" si="60"/>
        <v>66.160853559618133</v>
      </c>
      <c r="D392" s="758">
        <f t="shared" si="60"/>
        <v>66.160853559618133</v>
      </c>
      <c r="E392" s="758">
        <f t="shared" si="60"/>
        <v>66.160853559618133</v>
      </c>
      <c r="F392" s="758">
        <f t="shared" si="60"/>
        <v>66.160853559618133</v>
      </c>
      <c r="G392" s="758">
        <f t="shared" si="60"/>
        <v>66.160853559618133</v>
      </c>
      <c r="H392" s="758">
        <f t="shared" si="60"/>
        <v>66.160853559618133</v>
      </c>
      <c r="I392" s="758">
        <f t="shared" si="60"/>
        <v>66.160853559618133</v>
      </c>
      <c r="J392" s="758">
        <f t="shared" si="60"/>
        <v>66.160853559618133</v>
      </c>
      <c r="K392" s="758">
        <f t="shared" si="60"/>
        <v>66.160853559618133</v>
      </c>
      <c r="L392" s="758">
        <f t="shared" si="60"/>
        <v>66.160853559618133</v>
      </c>
      <c r="M392" s="758">
        <f t="shared" si="60"/>
        <v>66.160853559618133</v>
      </c>
      <c r="N392" s="758">
        <f t="shared" si="60"/>
        <v>66.160853559618133</v>
      </c>
      <c r="O392" s="758">
        <f t="shared" si="60"/>
        <v>66.160853559618133</v>
      </c>
      <c r="P392" s="758">
        <f t="shared" si="60"/>
        <v>66.160853559618133</v>
      </c>
      <c r="Q392" s="758">
        <f t="shared" si="60"/>
        <v>66.160853559618133</v>
      </c>
      <c r="R392" s="758">
        <f t="shared" si="60"/>
        <v>66.160853559618133</v>
      </c>
      <c r="S392" s="758">
        <f t="shared" si="60"/>
        <v>66.160853559618133</v>
      </c>
      <c r="T392" s="758">
        <f t="shared" si="60"/>
        <v>66.160853559618133</v>
      </c>
      <c r="U392" s="758">
        <f t="shared" si="60"/>
        <v>66.160853559618133</v>
      </c>
      <c r="V392" s="758">
        <f t="shared" si="60"/>
        <v>66.160853559618133</v>
      </c>
      <c r="W392" s="758">
        <f t="shared" si="60"/>
        <v>66.160853559618133</v>
      </c>
      <c r="X392" s="758">
        <f t="shared" si="60"/>
        <v>66.160853559618133</v>
      </c>
      <c r="Y392" s="758">
        <f t="shared" si="60"/>
        <v>66.160853559618133</v>
      </c>
      <c r="Z392" s="758">
        <f t="shared" si="60"/>
        <v>66.160853559618133</v>
      </c>
      <c r="AA392" s="758">
        <f t="shared" si="60"/>
        <v>66.160853559618133</v>
      </c>
      <c r="AB392" s="758">
        <f t="shared" si="60"/>
        <v>66.160853559618133</v>
      </c>
      <c r="AC392" s="758">
        <f t="shared" si="60"/>
        <v>66.160853559618133</v>
      </c>
      <c r="AD392" s="758">
        <f t="shared" si="60"/>
        <v>66.160853559618133</v>
      </c>
      <c r="AE392" s="758">
        <f t="shared" si="60"/>
        <v>66.160853559618133</v>
      </c>
      <c r="AF392" s="758">
        <f t="shared" si="60"/>
        <v>66.160853559618133</v>
      </c>
      <c r="AG392" s="758">
        <f t="shared" si="60"/>
        <v>66.160853559618133</v>
      </c>
      <c r="AH392" s="758">
        <f t="shared" si="60"/>
        <v>66.160853559618133</v>
      </c>
      <c r="AI392" s="758">
        <f t="shared" si="60"/>
        <v>66.160853559618133</v>
      </c>
      <c r="AJ392" s="758">
        <f t="shared" si="60"/>
        <v>66.160853559618133</v>
      </c>
      <c r="AK392" s="758">
        <f t="shared" si="60"/>
        <v>66.160853559618133</v>
      </c>
      <c r="AL392" s="758">
        <f t="shared" si="60"/>
        <v>66.160853559618133</v>
      </c>
      <c r="AM392" s="758">
        <f t="shared" si="60"/>
        <v>66.160853559618133</v>
      </c>
      <c r="AN392" s="758">
        <f t="shared" si="60"/>
        <v>66.160853559618133</v>
      </c>
      <c r="AO392" s="758">
        <f t="shared" si="60"/>
        <v>66.160853559618133</v>
      </c>
      <c r="AP392" s="758">
        <f t="shared" si="60"/>
        <v>66.160853559618133</v>
      </c>
      <c r="AQ392" s="758">
        <f t="shared" si="60"/>
        <v>66.160853559618133</v>
      </c>
      <c r="AR392" s="758">
        <f t="shared" si="60"/>
        <v>66.160853559618133</v>
      </c>
      <c r="AS392" s="758">
        <f t="shared" si="60"/>
        <v>66.160853559618133</v>
      </c>
      <c r="AT392" s="758">
        <f t="shared" si="60"/>
        <v>66.160853559618133</v>
      </c>
      <c r="AU392" s="758">
        <f t="shared" si="60"/>
        <v>66.160853559618133</v>
      </c>
      <c r="AV392" s="758">
        <f t="shared" si="60"/>
        <v>66.160853559618133</v>
      </c>
      <c r="AW392" s="758">
        <f t="shared" si="60"/>
        <v>66.160853559618133</v>
      </c>
    </row>
    <row r="393" spans="1:49" ht="7.5" customHeight="1" x14ac:dyDescent="0.2">
      <c r="A393" s="765"/>
      <c r="B393" s="759"/>
      <c r="C393" s="759"/>
      <c r="D393" s="759"/>
      <c r="E393" s="759"/>
      <c r="F393" s="759"/>
      <c r="G393" s="759"/>
      <c r="H393" s="759"/>
      <c r="I393" s="759"/>
      <c r="J393" s="759"/>
      <c r="K393" s="759"/>
      <c r="L393" s="759"/>
      <c r="M393" s="759"/>
      <c r="N393" s="759"/>
      <c r="O393" s="759"/>
      <c r="P393" s="759"/>
      <c r="Q393" s="759"/>
      <c r="R393" s="759"/>
      <c r="S393" s="759"/>
      <c r="T393" s="759"/>
      <c r="U393" s="759"/>
      <c r="V393" s="759"/>
      <c r="W393" s="759"/>
      <c r="X393" s="759"/>
      <c r="Y393" s="759"/>
      <c r="Z393" s="759"/>
      <c r="AA393" s="759"/>
      <c r="AB393" s="759"/>
      <c r="AC393" s="759"/>
      <c r="AD393" s="759"/>
      <c r="AE393" s="759"/>
      <c r="AF393" s="759"/>
      <c r="AG393" s="759"/>
      <c r="AH393" s="759"/>
      <c r="AI393" s="759"/>
      <c r="AJ393" s="759"/>
      <c r="AK393" s="759"/>
      <c r="AL393" s="759"/>
      <c r="AM393" s="759"/>
      <c r="AN393" s="759"/>
      <c r="AO393" s="759"/>
      <c r="AP393" s="759"/>
      <c r="AQ393" s="759"/>
      <c r="AR393" s="759"/>
      <c r="AS393" s="759"/>
      <c r="AT393" s="759"/>
      <c r="AU393" s="759"/>
      <c r="AV393" s="759"/>
      <c r="AW393" s="759"/>
    </row>
    <row r="394" spans="1:49" ht="25.5" x14ac:dyDescent="0.2">
      <c r="A394" s="765" t="s">
        <v>482</v>
      </c>
      <c r="B394" s="760">
        <f>B21</f>
        <v>0.92753623188405798</v>
      </c>
      <c r="C394" s="760">
        <f>C21</f>
        <v>0.90909090909090906</v>
      </c>
      <c r="D394" s="760">
        <f>D21</f>
        <v>0.95081967213114749</v>
      </c>
      <c r="E394" s="760">
        <f>E21</f>
        <v>0.8771929824561403</v>
      </c>
      <c r="F394" s="760">
        <f>F21</f>
        <v>0.94915254237288138</v>
      </c>
      <c r="G394" s="760">
        <f>G21</f>
        <v>0.92063492063492058</v>
      </c>
      <c r="H394" s="760">
        <f>H21</f>
        <v>0.9552238805970148</v>
      </c>
      <c r="I394" s="760">
        <f>I21</f>
        <v>0.93827160493827155</v>
      </c>
      <c r="J394" s="760">
        <f>J21</f>
        <v>0.9</v>
      </c>
      <c r="K394" s="760">
        <f>K21</f>
        <v>0.93333333333333324</v>
      </c>
      <c r="L394" s="760">
        <f>L21</f>
        <v>0.92300000000000004</v>
      </c>
      <c r="M394" s="760">
        <f>M21</f>
        <v>0.81666666666666676</v>
      </c>
      <c r="N394" s="760">
        <f>N21</f>
        <v>0.90700000000000003</v>
      </c>
      <c r="O394" s="760">
        <f>O21</f>
        <v>0.93421052631578949</v>
      </c>
      <c r="P394" s="760">
        <f>P21</f>
        <v>0.92400000000000004</v>
      </c>
      <c r="Q394" s="760">
        <f>Q21</f>
        <v>0.92200000000000004</v>
      </c>
      <c r="R394" s="760">
        <f>R21</f>
        <v>0.9285714285714286</v>
      </c>
      <c r="S394" s="760">
        <f>S21</f>
        <v>0.90476190476190477</v>
      </c>
      <c r="T394" s="760">
        <f>T21</f>
        <v>0.88461538461538458</v>
      </c>
      <c r="U394" s="760">
        <f>U21</f>
        <v>0.8771929824561403</v>
      </c>
      <c r="V394" s="760">
        <f>V21</f>
        <v>0.88749999999999996</v>
      </c>
      <c r="W394" s="760">
        <f>W21</f>
        <v>0.9152542372881356</v>
      </c>
      <c r="X394" s="760">
        <f>X21</f>
        <v>0.96226415094339623</v>
      </c>
      <c r="Y394" s="760">
        <f>Y21</f>
        <v>0.94736842105263153</v>
      </c>
      <c r="Z394" s="760">
        <f>Z21</f>
        <v>0.93055555555555558</v>
      </c>
      <c r="AA394" s="760">
        <f>AA21</f>
        <v>0.90588235294117647</v>
      </c>
      <c r="AB394" s="760">
        <f>AB21</f>
        <v>0.95454545454545459</v>
      </c>
      <c r="AC394" s="760">
        <f>AC21</f>
        <v>0.89393939393939392</v>
      </c>
      <c r="AD394" s="760">
        <f>AD21</f>
        <v>0.93103448275862066</v>
      </c>
      <c r="AE394" s="760">
        <f>AE21</f>
        <v>0.93333333333333324</v>
      </c>
      <c r="AF394" s="760">
        <f>AF21</f>
        <v>0.875</v>
      </c>
      <c r="AG394" s="760"/>
      <c r="AH394" s="760"/>
      <c r="AI394" s="760"/>
      <c r="AJ394" s="760"/>
      <c r="AK394" s="760"/>
      <c r="AL394" s="760"/>
      <c r="AM394" s="760"/>
      <c r="AN394" s="760"/>
      <c r="AO394" s="760"/>
      <c r="AP394" s="760"/>
      <c r="AQ394" s="760"/>
      <c r="AR394" s="760"/>
      <c r="AS394" s="760"/>
      <c r="AT394" s="760"/>
      <c r="AU394" s="760"/>
      <c r="AV394" s="760"/>
      <c r="AW394" s="760"/>
    </row>
    <row r="395" spans="1:49" x14ac:dyDescent="0.2">
      <c r="A395" s="765" t="s">
        <v>464</v>
      </c>
      <c r="B395" s="169">
        <v>0.95</v>
      </c>
      <c r="C395" s="169">
        <v>0.95</v>
      </c>
      <c r="D395" s="169">
        <v>0.95</v>
      </c>
      <c r="E395" s="169">
        <v>0.95</v>
      </c>
      <c r="F395" s="169">
        <v>0.95</v>
      </c>
      <c r="G395" s="169">
        <v>0.95</v>
      </c>
      <c r="H395" s="169">
        <v>0.95</v>
      </c>
      <c r="I395" s="169">
        <v>0.95</v>
      </c>
      <c r="J395" s="169">
        <v>0.95</v>
      </c>
      <c r="K395" s="169">
        <v>0.95</v>
      </c>
      <c r="L395" s="169">
        <v>0.95</v>
      </c>
      <c r="M395" s="169">
        <v>0.95</v>
      </c>
      <c r="N395" s="169">
        <v>0.95</v>
      </c>
      <c r="O395" s="169">
        <v>0.95</v>
      </c>
      <c r="P395" s="169">
        <v>0.95</v>
      </c>
      <c r="Q395" s="169">
        <v>0.95</v>
      </c>
      <c r="R395" s="169">
        <v>0.95</v>
      </c>
      <c r="S395" s="169">
        <v>0.95</v>
      </c>
      <c r="T395" s="169">
        <v>0.95</v>
      </c>
      <c r="U395" s="169">
        <v>0.95</v>
      </c>
      <c r="V395" s="169">
        <v>0.95</v>
      </c>
      <c r="W395" s="169">
        <v>0.95</v>
      </c>
      <c r="X395" s="169">
        <v>0.95</v>
      </c>
      <c r="Y395" s="169">
        <v>0.95</v>
      </c>
      <c r="Z395" s="169">
        <v>0.95</v>
      </c>
      <c r="AA395" s="169">
        <v>0.95</v>
      </c>
      <c r="AB395" s="169">
        <v>0.95</v>
      </c>
      <c r="AC395" s="169">
        <v>0.95</v>
      </c>
      <c r="AD395" s="169">
        <v>0.95</v>
      </c>
      <c r="AE395" s="169">
        <v>0.95</v>
      </c>
      <c r="AF395" s="169">
        <v>0.95</v>
      </c>
      <c r="AG395" s="169">
        <v>0.95</v>
      </c>
      <c r="AH395" s="169">
        <v>0.95</v>
      </c>
      <c r="AI395" s="169">
        <v>0.95</v>
      </c>
      <c r="AJ395" s="169">
        <v>0.95</v>
      </c>
      <c r="AK395" s="169">
        <v>0.95</v>
      </c>
      <c r="AL395" s="169">
        <v>0.95</v>
      </c>
      <c r="AM395" s="169">
        <v>0.95</v>
      </c>
      <c r="AN395" s="169">
        <v>0.95</v>
      </c>
      <c r="AO395" s="169">
        <v>0.95</v>
      </c>
      <c r="AP395" s="169">
        <v>0.95</v>
      </c>
      <c r="AQ395" s="169">
        <v>0.95</v>
      </c>
      <c r="AR395" s="169">
        <v>0.95</v>
      </c>
      <c r="AS395" s="169">
        <v>0.95</v>
      </c>
      <c r="AT395" s="169">
        <v>0.95</v>
      </c>
      <c r="AU395" s="169">
        <v>0.95</v>
      </c>
      <c r="AV395" s="169">
        <v>0.95</v>
      </c>
      <c r="AW395" s="169">
        <v>0.95</v>
      </c>
    </row>
    <row r="396" spans="1:49" x14ac:dyDescent="0.2">
      <c r="A396" s="766" t="s">
        <v>130</v>
      </c>
      <c r="B396" s="761">
        <f t="shared" ref="B396:M396" si="61">MEDIAN($B$394:$M$394)</f>
        <v>0.92526811594202907</v>
      </c>
      <c r="C396" s="761">
        <f t="shared" si="61"/>
        <v>0.92526811594202907</v>
      </c>
      <c r="D396" s="761">
        <f t="shared" si="61"/>
        <v>0.92526811594202907</v>
      </c>
      <c r="E396" s="761">
        <f t="shared" si="61"/>
        <v>0.92526811594202907</v>
      </c>
      <c r="F396" s="761">
        <f t="shared" si="61"/>
        <v>0.92526811594202907</v>
      </c>
      <c r="G396" s="761">
        <f t="shared" si="61"/>
        <v>0.92526811594202907</v>
      </c>
      <c r="H396" s="761">
        <f t="shared" si="61"/>
        <v>0.92526811594202907</v>
      </c>
      <c r="I396" s="761">
        <f t="shared" si="61"/>
        <v>0.92526811594202907</v>
      </c>
      <c r="J396" s="761">
        <f t="shared" si="61"/>
        <v>0.92526811594202907</v>
      </c>
      <c r="K396" s="761">
        <f t="shared" si="61"/>
        <v>0.92526811594202907</v>
      </c>
      <c r="L396" s="761">
        <f t="shared" si="61"/>
        <v>0.92526811594202907</v>
      </c>
      <c r="M396" s="761">
        <f t="shared" si="61"/>
        <v>0.92526811594202907</v>
      </c>
      <c r="N396" s="762"/>
      <c r="O396" s="762"/>
      <c r="P396" s="762"/>
      <c r="Q396" s="762"/>
      <c r="R396" s="762"/>
      <c r="S396" s="762"/>
      <c r="T396" s="762"/>
      <c r="U396" s="762"/>
      <c r="V396" s="762"/>
      <c r="W396" s="762"/>
      <c r="X396" s="762"/>
      <c r="Y396" s="762"/>
      <c r="Z396" s="762"/>
      <c r="AA396" s="762"/>
      <c r="AB396" s="762"/>
      <c r="AC396" s="762"/>
      <c r="AD396" s="762"/>
      <c r="AE396" s="762"/>
      <c r="AF396" s="762"/>
      <c r="AG396" s="762"/>
      <c r="AH396" s="762"/>
      <c r="AI396" s="762"/>
      <c r="AJ396" s="762"/>
      <c r="AK396" s="762"/>
      <c r="AL396" s="762"/>
      <c r="AM396" s="762"/>
      <c r="AN396" s="762"/>
      <c r="AO396" s="762"/>
      <c r="AP396" s="762"/>
      <c r="AQ396" s="762"/>
      <c r="AR396" s="762"/>
      <c r="AS396" s="762"/>
      <c r="AT396" s="762"/>
      <c r="AU396" s="762"/>
      <c r="AV396" s="762"/>
      <c r="AW396" s="762"/>
    </row>
    <row r="397" spans="1:49" x14ac:dyDescent="0.2">
      <c r="A397" s="766" t="s">
        <v>178</v>
      </c>
      <c r="B397" s="762"/>
      <c r="C397" s="762"/>
      <c r="D397" s="762"/>
      <c r="E397" s="762"/>
      <c r="F397" s="762"/>
      <c r="G397" s="762"/>
      <c r="H397" s="762"/>
      <c r="I397" s="762"/>
      <c r="J397" s="762"/>
      <c r="K397" s="762"/>
      <c r="L397" s="762"/>
      <c r="M397" s="761">
        <f t="shared" ref="M397:AW397" si="62">MEDIAN($B$394:$M$394)</f>
        <v>0.92526811594202907</v>
      </c>
      <c r="N397" s="761">
        <f t="shared" si="62"/>
        <v>0.92526811594202907</v>
      </c>
      <c r="O397" s="761">
        <f t="shared" si="62"/>
        <v>0.92526811594202907</v>
      </c>
      <c r="P397" s="761">
        <f t="shared" si="62"/>
        <v>0.92526811594202907</v>
      </c>
      <c r="Q397" s="761">
        <f t="shared" si="62"/>
        <v>0.92526811594202907</v>
      </c>
      <c r="R397" s="761">
        <f t="shared" si="62"/>
        <v>0.92526811594202907</v>
      </c>
      <c r="S397" s="761">
        <f t="shared" si="62"/>
        <v>0.92526811594202907</v>
      </c>
      <c r="T397" s="761">
        <f t="shared" si="62"/>
        <v>0.92526811594202907</v>
      </c>
      <c r="U397" s="761">
        <f t="shared" si="62"/>
        <v>0.92526811594202907</v>
      </c>
      <c r="V397" s="761">
        <f t="shared" si="62"/>
        <v>0.92526811594202907</v>
      </c>
      <c r="W397" s="761">
        <f t="shared" si="62"/>
        <v>0.92526811594202907</v>
      </c>
      <c r="X397" s="761">
        <f t="shared" si="62"/>
        <v>0.92526811594202907</v>
      </c>
      <c r="Y397" s="761">
        <f t="shared" si="62"/>
        <v>0.92526811594202907</v>
      </c>
      <c r="Z397" s="761">
        <f t="shared" si="62"/>
        <v>0.92526811594202907</v>
      </c>
      <c r="AA397" s="761">
        <f t="shared" si="62"/>
        <v>0.92526811594202907</v>
      </c>
      <c r="AB397" s="761">
        <f t="shared" si="62"/>
        <v>0.92526811594202907</v>
      </c>
      <c r="AC397" s="761">
        <f t="shared" si="62"/>
        <v>0.92526811594202907</v>
      </c>
      <c r="AD397" s="761">
        <f t="shared" si="62"/>
        <v>0.92526811594202907</v>
      </c>
      <c r="AE397" s="761">
        <f t="shared" si="62"/>
        <v>0.92526811594202907</v>
      </c>
      <c r="AF397" s="761">
        <f t="shared" si="62"/>
        <v>0.92526811594202907</v>
      </c>
      <c r="AG397" s="761">
        <f t="shared" si="62"/>
        <v>0.92526811594202907</v>
      </c>
      <c r="AH397" s="761">
        <f t="shared" si="62"/>
        <v>0.92526811594202907</v>
      </c>
      <c r="AI397" s="761">
        <f t="shared" si="62"/>
        <v>0.92526811594202907</v>
      </c>
      <c r="AJ397" s="761">
        <f t="shared" si="62"/>
        <v>0.92526811594202907</v>
      </c>
      <c r="AK397" s="761">
        <f t="shared" si="62"/>
        <v>0.92526811594202907</v>
      </c>
      <c r="AL397" s="761">
        <f t="shared" si="62"/>
        <v>0.92526811594202907</v>
      </c>
      <c r="AM397" s="761">
        <f t="shared" si="62"/>
        <v>0.92526811594202907</v>
      </c>
      <c r="AN397" s="761">
        <f t="shared" si="62"/>
        <v>0.92526811594202907</v>
      </c>
      <c r="AO397" s="761">
        <f t="shared" si="62"/>
        <v>0.92526811594202907</v>
      </c>
      <c r="AP397" s="761">
        <f t="shared" si="62"/>
        <v>0.92526811594202907</v>
      </c>
      <c r="AQ397" s="761">
        <f t="shared" si="62"/>
        <v>0.92526811594202907</v>
      </c>
      <c r="AR397" s="761">
        <f t="shared" si="62"/>
        <v>0.92526811594202907</v>
      </c>
      <c r="AS397" s="761">
        <f t="shared" si="62"/>
        <v>0.92526811594202907</v>
      </c>
      <c r="AT397" s="761">
        <f t="shared" si="62"/>
        <v>0.92526811594202907</v>
      </c>
      <c r="AU397" s="761">
        <f t="shared" si="62"/>
        <v>0.92526811594202907</v>
      </c>
      <c r="AV397" s="761">
        <f t="shared" si="62"/>
        <v>0.92526811594202907</v>
      </c>
      <c r="AW397" s="761">
        <f t="shared" si="62"/>
        <v>0.92526811594202907</v>
      </c>
    </row>
    <row r="398" spans="1:49" x14ac:dyDescent="0.2">
      <c r="A398" s="765" t="s">
        <v>466</v>
      </c>
      <c r="B398" s="762"/>
      <c r="C398" s="761">
        <f>SUM(C394-B394)*-1</f>
        <v>1.8445322793148922E-2</v>
      </c>
      <c r="D398" s="761">
        <f t="shared" ref="D398:W398" si="63">SUM(D394-C394)</f>
        <v>4.1728763040238426E-2</v>
      </c>
      <c r="E398" s="761">
        <f>SUM(E394-D394)*-1</f>
        <v>7.3626689675007184E-2</v>
      </c>
      <c r="F398" s="761">
        <f t="shared" si="63"/>
        <v>7.1959559916741078E-2</v>
      </c>
      <c r="G398" s="761">
        <f>SUM(G394-F394)*-1</f>
        <v>2.8517621737960797E-2</v>
      </c>
      <c r="H398" s="761">
        <f t="shared" si="63"/>
        <v>3.4588959962094212E-2</v>
      </c>
      <c r="I398" s="761">
        <f>SUM(I394-H394)*-1</f>
        <v>1.6952275658743243E-2</v>
      </c>
      <c r="J398" s="761">
        <f>SUM(J394-I394)*-1</f>
        <v>3.8271604938271531E-2</v>
      </c>
      <c r="K398" s="761">
        <f t="shared" si="63"/>
        <v>3.3333333333333215E-2</v>
      </c>
      <c r="L398" s="761">
        <f>SUM(L394-K394)*-1</f>
        <v>1.0333333333333194E-2</v>
      </c>
      <c r="M398" s="761">
        <f>SUM(M394-L394)*-1</f>
        <v>0.10633333333333328</v>
      </c>
      <c r="N398" s="761">
        <f t="shared" si="63"/>
        <v>9.0333333333333266E-2</v>
      </c>
      <c r="O398" s="761">
        <f t="shared" si="63"/>
        <v>2.7210526315789463E-2</v>
      </c>
      <c r="P398" s="761">
        <f>SUM(P394-O394)*-1</f>
        <v>1.0210526315789448E-2</v>
      </c>
      <c r="Q398" s="761">
        <f>SUM(Q394-P394)*-1</f>
        <v>2.0000000000000018E-3</v>
      </c>
      <c r="R398" s="761">
        <f t="shared" si="63"/>
        <v>6.5714285714285614E-3</v>
      </c>
      <c r="S398" s="761">
        <f>SUM(S394-R394)*-1</f>
        <v>2.3809523809523836E-2</v>
      </c>
      <c r="T398" s="761">
        <f>SUM(T394-S394)*-1</f>
        <v>2.0146520146520186E-2</v>
      </c>
      <c r="U398" s="761">
        <f>SUM(U394-T394)*-1</f>
        <v>7.422402159244279E-3</v>
      </c>
      <c r="V398" s="761">
        <f t="shared" si="63"/>
        <v>1.0307017543859653E-2</v>
      </c>
      <c r="W398" s="761">
        <f t="shared" si="63"/>
        <v>2.7754237288135641E-2</v>
      </c>
      <c r="X398" s="761">
        <f>SUM(X394-W394)</f>
        <v>4.7009913655260638E-2</v>
      </c>
      <c r="Y398" s="761">
        <f>SUM(Y394-X394)*-1</f>
        <v>1.4895729890764708E-2</v>
      </c>
      <c r="Z398" s="761">
        <f>SUM(Z394-Y394)</f>
        <v>-1.6812865497075946E-2</v>
      </c>
      <c r="AA398" s="761">
        <f>SUM(AA394-Z394)*-1</f>
        <v>2.4673202614379108E-2</v>
      </c>
      <c r="AB398" s="761">
        <f>SUM(AB394-AA394)</f>
        <v>4.8663101604278114E-2</v>
      </c>
      <c r="AC398" s="761">
        <f>SUM(AC394-AB394)*-1</f>
        <v>6.0606060606060663E-2</v>
      </c>
      <c r="AD398" s="761">
        <f>SUM(AD394-AC394)</f>
        <v>3.709508881922674E-2</v>
      </c>
      <c r="AE398" s="761">
        <f>SUM(AE394-AD394)</f>
        <v>2.2988505747125743E-3</v>
      </c>
      <c r="AF398" s="761">
        <f>SUM(AF394-AE394)*-1</f>
        <v>5.8333333333333237E-2</v>
      </c>
      <c r="AG398" s="761"/>
      <c r="AH398" s="761"/>
      <c r="AI398" s="761"/>
      <c r="AJ398" s="761"/>
      <c r="AK398" s="761"/>
      <c r="AL398" s="761"/>
      <c r="AM398" s="761"/>
      <c r="AN398" s="761"/>
      <c r="AO398" s="761"/>
      <c r="AP398" s="761"/>
      <c r="AQ398" s="761"/>
      <c r="AR398" s="761"/>
      <c r="AS398" s="761"/>
      <c r="AT398" s="761"/>
      <c r="AU398" s="761"/>
      <c r="AV398" s="761"/>
      <c r="AW398" s="761"/>
    </row>
    <row r="399" spans="1:49" ht="21.75" x14ac:dyDescent="0.2">
      <c r="A399" s="768" t="s">
        <v>469</v>
      </c>
      <c r="B399" s="762"/>
      <c r="C399" s="762"/>
      <c r="D399" s="762"/>
      <c r="E399" s="762"/>
      <c r="F399" s="762"/>
      <c r="G399" s="762"/>
      <c r="H399" s="762"/>
      <c r="I399" s="762"/>
      <c r="J399" s="762"/>
      <c r="K399" s="762"/>
      <c r="L399" s="762"/>
      <c r="M399" s="761"/>
      <c r="N399" s="761"/>
      <c r="O399" s="761"/>
      <c r="P399" s="761"/>
      <c r="Q399" s="761"/>
      <c r="R399" s="761"/>
      <c r="S399" s="761"/>
      <c r="T399" s="761"/>
      <c r="U399" s="761"/>
      <c r="V399" s="761"/>
      <c r="W399" s="761"/>
      <c r="X399" s="761"/>
      <c r="Y399" s="761"/>
      <c r="Z399" s="761"/>
      <c r="AA399" s="761"/>
      <c r="AB399" s="761"/>
      <c r="AC399" s="761"/>
      <c r="AD399" s="761"/>
      <c r="AE399" s="761"/>
      <c r="AF399" s="761"/>
      <c r="AG399" s="761"/>
      <c r="AH399" s="761"/>
      <c r="AI399" s="761"/>
      <c r="AJ399" s="761"/>
      <c r="AK399" s="761"/>
      <c r="AL399" s="761"/>
      <c r="AM399" s="761"/>
      <c r="AN399" s="761"/>
      <c r="AO399" s="761"/>
      <c r="AP399" s="761"/>
      <c r="AQ399" s="761"/>
      <c r="AR399" s="761"/>
      <c r="AS399" s="761"/>
      <c r="AT399" s="761"/>
      <c r="AU399" s="761"/>
      <c r="AV399" s="761"/>
      <c r="AW399" s="761"/>
    </row>
    <row r="400" spans="1:49" x14ac:dyDescent="0.2">
      <c r="A400" s="610" t="s">
        <v>468</v>
      </c>
      <c r="B400" s="761">
        <f t="shared" ref="B400:AW400" si="64">AVERAGE($B$394:$AW$394)</f>
        <v>0.91677265655431239</v>
      </c>
      <c r="C400" s="761">
        <f t="shared" si="64"/>
        <v>0.91677265655431239</v>
      </c>
      <c r="D400" s="761">
        <f t="shared" si="64"/>
        <v>0.91677265655431239</v>
      </c>
      <c r="E400" s="761">
        <f t="shared" si="64"/>
        <v>0.91677265655431239</v>
      </c>
      <c r="F400" s="761">
        <f t="shared" si="64"/>
        <v>0.91677265655431239</v>
      </c>
      <c r="G400" s="761">
        <f t="shared" si="64"/>
        <v>0.91677265655431239</v>
      </c>
      <c r="H400" s="761">
        <f t="shared" si="64"/>
        <v>0.91677265655431239</v>
      </c>
      <c r="I400" s="761">
        <f t="shared" si="64"/>
        <v>0.91677265655431239</v>
      </c>
      <c r="J400" s="761">
        <f t="shared" si="64"/>
        <v>0.91677265655431239</v>
      </c>
      <c r="K400" s="761">
        <f t="shared" si="64"/>
        <v>0.91677265655431239</v>
      </c>
      <c r="L400" s="761">
        <f t="shared" si="64"/>
        <v>0.91677265655431239</v>
      </c>
      <c r="M400" s="761">
        <f t="shared" si="64"/>
        <v>0.91677265655431239</v>
      </c>
      <c r="N400" s="761">
        <f t="shared" si="64"/>
        <v>0.91677265655431239</v>
      </c>
      <c r="O400" s="761">
        <f t="shared" si="64"/>
        <v>0.91677265655431239</v>
      </c>
      <c r="P400" s="761">
        <f t="shared" si="64"/>
        <v>0.91677265655431239</v>
      </c>
      <c r="Q400" s="761">
        <f t="shared" si="64"/>
        <v>0.91677265655431239</v>
      </c>
      <c r="R400" s="761">
        <f t="shared" si="64"/>
        <v>0.91677265655431239</v>
      </c>
      <c r="S400" s="761">
        <f t="shared" si="64"/>
        <v>0.91677265655431239</v>
      </c>
      <c r="T400" s="761">
        <f t="shared" si="64"/>
        <v>0.91677265655431239</v>
      </c>
      <c r="U400" s="761">
        <f t="shared" si="64"/>
        <v>0.91677265655431239</v>
      </c>
      <c r="V400" s="761">
        <f t="shared" si="64"/>
        <v>0.91677265655431239</v>
      </c>
      <c r="W400" s="761">
        <f t="shared" si="64"/>
        <v>0.91677265655431239</v>
      </c>
      <c r="X400" s="761">
        <f t="shared" si="64"/>
        <v>0.91677265655431239</v>
      </c>
      <c r="Y400" s="761">
        <f t="shared" si="64"/>
        <v>0.91677265655431239</v>
      </c>
      <c r="Z400" s="761">
        <f t="shared" si="64"/>
        <v>0.91677265655431239</v>
      </c>
      <c r="AA400" s="761">
        <f t="shared" si="64"/>
        <v>0.91677265655431239</v>
      </c>
      <c r="AB400" s="761">
        <f t="shared" si="64"/>
        <v>0.91677265655431239</v>
      </c>
      <c r="AC400" s="761">
        <f t="shared" si="64"/>
        <v>0.91677265655431239</v>
      </c>
      <c r="AD400" s="761">
        <f t="shared" si="64"/>
        <v>0.91677265655431239</v>
      </c>
      <c r="AE400" s="761">
        <f t="shared" si="64"/>
        <v>0.91677265655431239</v>
      </c>
      <c r="AF400" s="761">
        <f t="shared" si="64"/>
        <v>0.91677265655431239</v>
      </c>
      <c r="AG400" s="761">
        <f t="shared" si="64"/>
        <v>0.91677265655431239</v>
      </c>
      <c r="AH400" s="761">
        <f t="shared" si="64"/>
        <v>0.91677265655431239</v>
      </c>
      <c r="AI400" s="761">
        <f t="shared" si="64"/>
        <v>0.91677265655431239</v>
      </c>
      <c r="AJ400" s="761">
        <f t="shared" si="64"/>
        <v>0.91677265655431239</v>
      </c>
      <c r="AK400" s="761">
        <f t="shared" si="64"/>
        <v>0.91677265655431239</v>
      </c>
      <c r="AL400" s="761">
        <f t="shared" si="64"/>
        <v>0.91677265655431239</v>
      </c>
      <c r="AM400" s="761">
        <f t="shared" si="64"/>
        <v>0.91677265655431239</v>
      </c>
      <c r="AN400" s="761">
        <f t="shared" si="64"/>
        <v>0.91677265655431239</v>
      </c>
      <c r="AO400" s="761">
        <f t="shared" si="64"/>
        <v>0.91677265655431239</v>
      </c>
      <c r="AP400" s="761">
        <f t="shared" si="64"/>
        <v>0.91677265655431239</v>
      </c>
      <c r="AQ400" s="761">
        <f t="shared" si="64"/>
        <v>0.91677265655431239</v>
      </c>
      <c r="AR400" s="761">
        <f t="shared" si="64"/>
        <v>0.91677265655431239</v>
      </c>
      <c r="AS400" s="761">
        <f t="shared" si="64"/>
        <v>0.91677265655431239</v>
      </c>
      <c r="AT400" s="761">
        <f t="shared" si="64"/>
        <v>0.91677265655431239</v>
      </c>
      <c r="AU400" s="761">
        <f t="shared" si="64"/>
        <v>0.91677265655431239</v>
      </c>
      <c r="AV400" s="761">
        <f t="shared" si="64"/>
        <v>0.91677265655431239</v>
      </c>
      <c r="AW400" s="761">
        <f t="shared" si="64"/>
        <v>0.91677265655431239</v>
      </c>
    </row>
    <row r="401" spans="1:49" x14ac:dyDescent="0.2">
      <c r="A401" s="765" t="s">
        <v>467</v>
      </c>
      <c r="B401" s="761">
        <f t="shared" ref="B401:AW401" si="65">SUM($C$398:$AW$398)/22</f>
        <v>4.4391760400307692E-2</v>
      </c>
      <c r="C401" s="761">
        <f t="shared" si="65"/>
        <v>4.4391760400307692E-2</v>
      </c>
      <c r="D401" s="761">
        <f t="shared" si="65"/>
        <v>4.4391760400307692E-2</v>
      </c>
      <c r="E401" s="761">
        <f t="shared" si="65"/>
        <v>4.4391760400307692E-2</v>
      </c>
      <c r="F401" s="761">
        <f t="shared" si="65"/>
        <v>4.4391760400307692E-2</v>
      </c>
      <c r="G401" s="761">
        <f t="shared" si="65"/>
        <v>4.4391760400307692E-2</v>
      </c>
      <c r="H401" s="761">
        <f t="shared" si="65"/>
        <v>4.4391760400307692E-2</v>
      </c>
      <c r="I401" s="761">
        <f t="shared" si="65"/>
        <v>4.4391760400307692E-2</v>
      </c>
      <c r="J401" s="761">
        <f t="shared" si="65"/>
        <v>4.4391760400307692E-2</v>
      </c>
      <c r="K401" s="761">
        <f t="shared" si="65"/>
        <v>4.4391760400307692E-2</v>
      </c>
      <c r="L401" s="761">
        <f t="shared" si="65"/>
        <v>4.4391760400307692E-2</v>
      </c>
      <c r="M401" s="761">
        <f t="shared" si="65"/>
        <v>4.4391760400307692E-2</v>
      </c>
      <c r="N401" s="761">
        <f t="shared" si="65"/>
        <v>4.4391760400307692E-2</v>
      </c>
      <c r="O401" s="761">
        <f t="shared" si="65"/>
        <v>4.4391760400307692E-2</v>
      </c>
      <c r="P401" s="761">
        <f t="shared" si="65"/>
        <v>4.4391760400307692E-2</v>
      </c>
      <c r="Q401" s="761">
        <f t="shared" si="65"/>
        <v>4.4391760400307692E-2</v>
      </c>
      <c r="R401" s="761">
        <f t="shared" si="65"/>
        <v>4.4391760400307692E-2</v>
      </c>
      <c r="S401" s="761">
        <f t="shared" si="65"/>
        <v>4.4391760400307692E-2</v>
      </c>
      <c r="T401" s="761">
        <f t="shared" si="65"/>
        <v>4.4391760400307692E-2</v>
      </c>
      <c r="U401" s="761">
        <f t="shared" si="65"/>
        <v>4.4391760400307692E-2</v>
      </c>
      <c r="V401" s="761">
        <f t="shared" si="65"/>
        <v>4.4391760400307692E-2</v>
      </c>
      <c r="W401" s="761">
        <f t="shared" si="65"/>
        <v>4.4391760400307692E-2</v>
      </c>
      <c r="X401" s="761">
        <f t="shared" si="65"/>
        <v>4.4391760400307692E-2</v>
      </c>
      <c r="Y401" s="761">
        <f t="shared" si="65"/>
        <v>4.4391760400307692E-2</v>
      </c>
      <c r="Z401" s="761">
        <f t="shared" si="65"/>
        <v>4.4391760400307692E-2</v>
      </c>
      <c r="AA401" s="761">
        <f t="shared" si="65"/>
        <v>4.4391760400307692E-2</v>
      </c>
      <c r="AB401" s="761">
        <f t="shared" si="65"/>
        <v>4.4391760400307692E-2</v>
      </c>
      <c r="AC401" s="761">
        <f t="shared" si="65"/>
        <v>4.4391760400307692E-2</v>
      </c>
      <c r="AD401" s="761">
        <f t="shared" si="65"/>
        <v>4.4391760400307692E-2</v>
      </c>
      <c r="AE401" s="761">
        <f t="shared" si="65"/>
        <v>4.4391760400307692E-2</v>
      </c>
      <c r="AF401" s="761">
        <f t="shared" si="65"/>
        <v>4.4391760400307692E-2</v>
      </c>
      <c r="AG401" s="761">
        <f t="shared" si="65"/>
        <v>4.4391760400307692E-2</v>
      </c>
      <c r="AH401" s="761">
        <f t="shared" si="65"/>
        <v>4.4391760400307692E-2</v>
      </c>
      <c r="AI401" s="761">
        <f t="shared" si="65"/>
        <v>4.4391760400307692E-2</v>
      </c>
      <c r="AJ401" s="761">
        <f t="shared" si="65"/>
        <v>4.4391760400307692E-2</v>
      </c>
      <c r="AK401" s="761">
        <f t="shared" si="65"/>
        <v>4.4391760400307692E-2</v>
      </c>
      <c r="AL401" s="761">
        <f t="shared" si="65"/>
        <v>4.4391760400307692E-2</v>
      </c>
      <c r="AM401" s="761">
        <f t="shared" si="65"/>
        <v>4.4391760400307692E-2</v>
      </c>
      <c r="AN401" s="761">
        <f t="shared" si="65"/>
        <v>4.4391760400307692E-2</v>
      </c>
      <c r="AO401" s="761">
        <f t="shared" si="65"/>
        <v>4.4391760400307692E-2</v>
      </c>
      <c r="AP401" s="761">
        <f t="shared" si="65"/>
        <v>4.4391760400307692E-2</v>
      </c>
      <c r="AQ401" s="761">
        <f t="shared" si="65"/>
        <v>4.4391760400307692E-2</v>
      </c>
      <c r="AR401" s="761">
        <f t="shared" si="65"/>
        <v>4.4391760400307692E-2</v>
      </c>
      <c r="AS401" s="761">
        <f t="shared" si="65"/>
        <v>4.4391760400307692E-2</v>
      </c>
      <c r="AT401" s="761">
        <f t="shared" si="65"/>
        <v>4.4391760400307692E-2</v>
      </c>
      <c r="AU401" s="761">
        <f t="shared" si="65"/>
        <v>4.4391760400307692E-2</v>
      </c>
      <c r="AV401" s="761">
        <f t="shared" si="65"/>
        <v>4.4391760400307692E-2</v>
      </c>
      <c r="AW401" s="761">
        <f t="shared" si="65"/>
        <v>4.4391760400307692E-2</v>
      </c>
    </row>
    <row r="402" spans="1:49" ht="25.5" x14ac:dyDescent="0.2">
      <c r="A402" s="765" t="s">
        <v>470</v>
      </c>
      <c r="B402" s="761">
        <f t="shared" ref="B402:AW402" si="66">$B$401/1.128</f>
        <v>3.9354397518003278E-2</v>
      </c>
      <c r="C402" s="761">
        <f t="shared" si="66"/>
        <v>3.9354397518003278E-2</v>
      </c>
      <c r="D402" s="761">
        <f t="shared" si="66"/>
        <v>3.9354397518003278E-2</v>
      </c>
      <c r="E402" s="761">
        <f t="shared" si="66"/>
        <v>3.9354397518003278E-2</v>
      </c>
      <c r="F402" s="761">
        <f t="shared" si="66"/>
        <v>3.9354397518003278E-2</v>
      </c>
      <c r="G402" s="761">
        <f t="shared" si="66"/>
        <v>3.9354397518003278E-2</v>
      </c>
      <c r="H402" s="761">
        <f t="shared" si="66"/>
        <v>3.9354397518003278E-2</v>
      </c>
      <c r="I402" s="761">
        <f t="shared" si="66"/>
        <v>3.9354397518003278E-2</v>
      </c>
      <c r="J402" s="761">
        <f t="shared" si="66"/>
        <v>3.9354397518003278E-2</v>
      </c>
      <c r="K402" s="761">
        <f t="shared" si="66"/>
        <v>3.9354397518003278E-2</v>
      </c>
      <c r="L402" s="761">
        <f t="shared" si="66"/>
        <v>3.9354397518003278E-2</v>
      </c>
      <c r="M402" s="761">
        <f t="shared" si="66"/>
        <v>3.9354397518003278E-2</v>
      </c>
      <c r="N402" s="761">
        <f t="shared" si="66"/>
        <v>3.9354397518003278E-2</v>
      </c>
      <c r="O402" s="761">
        <f t="shared" si="66"/>
        <v>3.9354397518003278E-2</v>
      </c>
      <c r="P402" s="761">
        <f t="shared" si="66"/>
        <v>3.9354397518003278E-2</v>
      </c>
      <c r="Q402" s="761">
        <f t="shared" si="66"/>
        <v>3.9354397518003278E-2</v>
      </c>
      <c r="R402" s="761">
        <f t="shared" si="66"/>
        <v>3.9354397518003278E-2</v>
      </c>
      <c r="S402" s="761">
        <f t="shared" si="66"/>
        <v>3.9354397518003278E-2</v>
      </c>
      <c r="T402" s="761">
        <f t="shared" si="66"/>
        <v>3.9354397518003278E-2</v>
      </c>
      <c r="U402" s="761">
        <f t="shared" si="66"/>
        <v>3.9354397518003278E-2</v>
      </c>
      <c r="V402" s="761">
        <f t="shared" si="66"/>
        <v>3.9354397518003278E-2</v>
      </c>
      <c r="W402" s="761">
        <f t="shared" si="66"/>
        <v>3.9354397518003278E-2</v>
      </c>
      <c r="X402" s="761">
        <f t="shared" si="66"/>
        <v>3.9354397518003278E-2</v>
      </c>
      <c r="Y402" s="761">
        <f t="shared" si="66"/>
        <v>3.9354397518003278E-2</v>
      </c>
      <c r="Z402" s="761">
        <f t="shared" si="66"/>
        <v>3.9354397518003278E-2</v>
      </c>
      <c r="AA402" s="761">
        <f t="shared" si="66"/>
        <v>3.9354397518003278E-2</v>
      </c>
      <c r="AB402" s="761">
        <f t="shared" si="66"/>
        <v>3.9354397518003278E-2</v>
      </c>
      <c r="AC402" s="761">
        <f t="shared" si="66"/>
        <v>3.9354397518003278E-2</v>
      </c>
      <c r="AD402" s="761">
        <f t="shared" si="66"/>
        <v>3.9354397518003278E-2</v>
      </c>
      <c r="AE402" s="761">
        <f t="shared" si="66"/>
        <v>3.9354397518003278E-2</v>
      </c>
      <c r="AF402" s="761">
        <f t="shared" si="66"/>
        <v>3.9354397518003278E-2</v>
      </c>
      <c r="AG402" s="761">
        <f t="shared" si="66"/>
        <v>3.9354397518003278E-2</v>
      </c>
      <c r="AH402" s="761">
        <f t="shared" si="66"/>
        <v>3.9354397518003278E-2</v>
      </c>
      <c r="AI402" s="761">
        <f t="shared" si="66"/>
        <v>3.9354397518003278E-2</v>
      </c>
      <c r="AJ402" s="761">
        <f t="shared" si="66"/>
        <v>3.9354397518003278E-2</v>
      </c>
      <c r="AK402" s="761">
        <f t="shared" si="66"/>
        <v>3.9354397518003278E-2</v>
      </c>
      <c r="AL402" s="761">
        <f t="shared" si="66"/>
        <v>3.9354397518003278E-2</v>
      </c>
      <c r="AM402" s="761">
        <f t="shared" si="66"/>
        <v>3.9354397518003278E-2</v>
      </c>
      <c r="AN402" s="761">
        <f t="shared" si="66"/>
        <v>3.9354397518003278E-2</v>
      </c>
      <c r="AO402" s="761">
        <f t="shared" si="66"/>
        <v>3.9354397518003278E-2</v>
      </c>
      <c r="AP402" s="761">
        <f t="shared" si="66"/>
        <v>3.9354397518003278E-2</v>
      </c>
      <c r="AQ402" s="761">
        <f t="shared" si="66"/>
        <v>3.9354397518003278E-2</v>
      </c>
      <c r="AR402" s="761">
        <f t="shared" si="66"/>
        <v>3.9354397518003278E-2</v>
      </c>
      <c r="AS402" s="761">
        <f t="shared" si="66"/>
        <v>3.9354397518003278E-2</v>
      </c>
      <c r="AT402" s="761">
        <f t="shared" si="66"/>
        <v>3.9354397518003278E-2</v>
      </c>
      <c r="AU402" s="761">
        <f t="shared" si="66"/>
        <v>3.9354397518003278E-2</v>
      </c>
      <c r="AV402" s="761">
        <f t="shared" si="66"/>
        <v>3.9354397518003278E-2</v>
      </c>
      <c r="AW402" s="761">
        <f t="shared" si="66"/>
        <v>3.9354397518003278E-2</v>
      </c>
    </row>
    <row r="403" spans="1:49" ht="25.5" x14ac:dyDescent="0.2">
      <c r="A403" s="459" t="s">
        <v>477</v>
      </c>
      <c r="B403" s="761">
        <f t="shared" ref="B403:AW403" si="67">$B$400+(3*$B$402)</f>
        <v>1.0348358491083223</v>
      </c>
      <c r="C403" s="761">
        <f t="shared" si="67"/>
        <v>1.0348358491083223</v>
      </c>
      <c r="D403" s="761">
        <f t="shared" si="67"/>
        <v>1.0348358491083223</v>
      </c>
      <c r="E403" s="761">
        <f t="shared" si="67"/>
        <v>1.0348358491083223</v>
      </c>
      <c r="F403" s="761">
        <f t="shared" si="67"/>
        <v>1.0348358491083223</v>
      </c>
      <c r="G403" s="761">
        <f t="shared" si="67"/>
        <v>1.0348358491083223</v>
      </c>
      <c r="H403" s="761">
        <f t="shared" si="67"/>
        <v>1.0348358491083223</v>
      </c>
      <c r="I403" s="761">
        <f t="shared" si="67"/>
        <v>1.0348358491083223</v>
      </c>
      <c r="J403" s="761">
        <f t="shared" si="67"/>
        <v>1.0348358491083223</v>
      </c>
      <c r="K403" s="761">
        <f t="shared" si="67"/>
        <v>1.0348358491083223</v>
      </c>
      <c r="L403" s="761">
        <f t="shared" si="67"/>
        <v>1.0348358491083223</v>
      </c>
      <c r="M403" s="761">
        <f t="shared" si="67"/>
        <v>1.0348358491083223</v>
      </c>
      <c r="N403" s="761">
        <f t="shared" si="67"/>
        <v>1.0348358491083223</v>
      </c>
      <c r="O403" s="761">
        <f t="shared" si="67"/>
        <v>1.0348358491083223</v>
      </c>
      <c r="P403" s="761">
        <f t="shared" si="67"/>
        <v>1.0348358491083223</v>
      </c>
      <c r="Q403" s="761">
        <f t="shared" si="67"/>
        <v>1.0348358491083223</v>
      </c>
      <c r="R403" s="761">
        <f t="shared" si="67"/>
        <v>1.0348358491083223</v>
      </c>
      <c r="S403" s="761">
        <f t="shared" si="67"/>
        <v>1.0348358491083223</v>
      </c>
      <c r="T403" s="761">
        <f t="shared" si="67"/>
        <v>1.0348358491083223</v>
      </c>
      <c r="U403" s="761">
        <f t="shared" si="67"/>
        <v>1.0348358491083223</v>
      </c>
      <c r="V403" s="761">
        <f t="shared" si="67"/>
        <v>1.0348358491083223</v>
      </c>
      <c r="W403" s="761">
        <f t="shared" si="67"/>
        <v>1.0348358491083223</v>
      </c>
      <c r="X403" s="761">
        <f t="shared" si="67"/>
        <v>1.0348358491083223</v>
      </c>
      <c r="Y403" s="761">
        <f t="shared" si="67"/>
        <v>1.0348358491083223</v>
      </c>
      <c r="Z403" s="761">
        <f t="shared" si="67"/>
        <v>1.0348358491083223</v>
      </c>
      <c r="AA403" s="761">
        <f t="shared" si="67"/>
        <v>1.0348358491083223</v>
      </c>
      <c r="AB403" s="761">
        <f t="shared" si="67"/>
        <v>1.0348358491083223</v>
      </c>
      <c r="AC403" s="761">
        <f t="shared" si="67"/>
        <v>1.0348358491083223</v>
      </c>
      <c r="AD403" s="761">
        <f t="shared" si="67"/>
        <v>1.0348358491083223</v>
      </c>
      <c r="AE403" s="761">
        <f t="shared" si="67"/>
        <v>1.0348358491083223</v>
      </c>
      <c r="AF403" s="761">
        <f t="shared" si="67"/>
        <v>1.0348358491083223</v>
      </c>
      <c r="AG403" s="761">
        <f t="shared" si="67"/>
        <v>1.0348358491083223</v>
      </c>
      <c r="AH403" s="761">
        <f t="shared" si="67"/>
        <v>1.0348358491083223</v>
      </c>
      <c r="AI403" s="761">
        <f t="shared" si="67"/>
        <v>1.0348358491083223</v>
      </c>
      <c r="AJ403" s="761">
        <f t="shared" si="67"/>
        <v>1.0348358491083223</v>
      </c>
      <c r="AK403" s="761">
        <f t="shared" si="67"/>
        <v>1.0348358491083223</v>
      </c>
      <c r="AL403" s="761">
        <f t="shared" si="67"/>
        <v>1.0348358491083223</v>
      </c>
      <c r="AM403" s="761">
        <f t="shared" si="67"/>
        <v>1.0348358491083223</v>
      </c>
      <c r="AN403" s="761">
        <f t="shared" si="67"/>
        <v>1.0348358491083223</v>
      </c>
      <c r="AO403" s="761">
        <f t="shared" si="67"/>
        <v>1.0348358491083223</v>
      </c>
      <c r="AP403" s="761">
        <f t="shared" si="67"/>
        <v>1.0348358491083223</v>
      </c>
      <c r="AQ403" s="761">
        <f t="shared" si="67"/>
        <v>1.0348358491083223</v>
      </c>
      <c r="AR403" s="761">
        <f t="shared" si="67"/>
        <v>1.0348358491083223</v>
      </c>
      <c r="AS403" s="761">
        <f t="shared" si="67"/>
        <v>1.0348358491083223</v>
      </c>
      <c r="AT403" s="761">
        <f t="shared" si="67"/>
        <v>1.0348358491083223</v>
      </c>
      <c r="AU403" s="761">
        <f t="shared" si="67"/>
        <v>1.0348358491083223</v>
      </c>
      <c r="AV403" s="761">
        <f t="shared" si="67"/>
        <v>1.0348358491083223</v>
      </c>
      <c r="AW403" s="761">
        <f t="shared" si="67"/>
        <v>1.0348358491083223</v>
      </c>
    </row>
    <row r="404" spans="1:49" x14ac:dyDescent="0.2">
      <c r="A404" s="765" t="s">
        <v>475</v>
      </c>
      <c r="B404" s="761">
        <f t="shared" ref="B404:AW404" si="68">$B$400-(3*$B$402)</f>
        <v>0.79870946400030252</v>
      </c>
      <c r="C404" s="761">
        <f t="shared" si="68"/>
        <v>0.79870946400030252</v>
      </c>
      <c r="D404" s="761">
        <f t="shared" si="68"/>
        <v>0.79870946400030252</v>
      </c>
      <c r="E404" s="761">
        <f t="shared" si="68"/>
        <v>0.79870946400030252</v>
      </c>
      <c r="F404" s="761">
        <f t="shared" si="68"/>
        <v>0.79870946400030252</v>
      </c>
      <c r="G404" s="761">
        <f t="shared" si="68"/>
        <v>0.79870946400030252</v>
      </c>
      <c r="H404" s="761">
        <f t="shared" si="68"/>
        <v>0.79870946400030252</v>
      </c>
      <c r="I404" s="761">
        <f t="shared" si="68"/>
        <v>0.79870946400030252</v>
      </c>
      <c r="J404" s="761">
        <f t="shared" si="68"/>
        <v>0.79870946400030252</v>
      </c>
      <c r="K404" s="761">
        <f t="shared" si="68"/>
        <v>0.79870946400030252</v>
      </c>
      <c r="L404" s="761">
        <f t="shared" si="68"/>
        <v>0.79870946400030252</v>
      </c>
      <c r="M404" s="761">
        <f t="shared" si="68"/>
        <v>0.79870946400030252</v>
      </c>
      <c r="N404" s="761">
        <f t="shared" si="68"/>
        <v>0.79870946400030252</v>
      </c>
      <c r="O404" s="761">
        <f t="shared" si="68"/>
        <v>0.79870946400030252</v>
      </c>
      <c r="P404" s="761">
        <f t="shared" si="68"/>
        <v>0.79870946400030252</v>
      </c>
      <c r="Q404" s="761">
        <f t="shared" si="68"/>
        <v>0.79870946400030252</v>
      </c>
      <c r="R404" s="761">
        <f t="shared" si="68"/>
        <v>0.79870946400030252</v>
      </c>
      <c r="S404" s="761">
        <f t="shared" si="68"/>
        <v>0.79870946400030252</v>
      </c>
      <c r="T404" s="761">
        <f t="shared" si="68"/>
        <v>0.79870946400030252</v>
      </c>
      <c r="U404" s="761">
        <f t="shared" si="68"/>
        <v>0.79870946400030252</v>
      </c>
      <c r="V404" s="761">
        <f t="shared" si="68"/>
        <v>0.79870946400030252</v>
      </c>
      <c r="W404" s="761">
        <f t="shared" si="68"/>
        <v>0.79870946400030252</v>
      </c>
      <c r="X404" s="761">
        <f t="shared" si="68"/>
        <v>0.79870946400030252</v>
      </c>
      <c r="Y404" s="761">
        <f t="shared" si="68"/>
        <v>0.79870946400030252</v>
      </c>
      <c r="Z404" s="761">
        <f t="shared" si="68"/>
        <v>0.79870946400030252</v>
      </c>
      <c r="AA404" s="761">
        <f t="shared" si="68"/>
        <v>0.79870946400030252</v>
      </c>
      <c r="AB404" s="761">
        <f t="shared" si="68"/>
        <v>0.79870946400030252</v>
      </c>
      <c r="AC404" s="761">
        <f t="shared" si="68"/>
        <v>0.79870946400030252</v>
      </c>
      <c r="AD404" s="761">
        <f t="shared" si="68"/>
        <v>0.79870946400030252</v>
      </c>
      <c r="AE404" s="761">
        <f t="shared" si="68"/>
        <v>0.79870946400030252</v>
      </c>
      <c r="AF404" s="761">
        <f t="shared" si="68"/>
        <v>0.79870946400030252</v>
      </c>
      <c r="AG404" s="761">
        <f t="shared" si="68"/>
        <v>0.79870946400030252</v>
      </c>
      <c r="AH404" s="761">
        <f t="shared" si="68"/>
        <v>0.79870946400030252</v>
      </c>
      <c r="AI404" s="761">
        <f t="shared" si="68"/>
        <v>0.79870946400030252</v>
      </c>
      <c r="AJ404" s="761">
        <f t="shared" si="68"/>
        <v>0.79870946400030252</v>
      </c>
      <c r="AK404" s="761">
        <f t="shared" si="68"/>
        <v>0.79870946400030252</v>
      </c>
      <c r="AL404" s="761">
        <f t="shared" si="68"/>
        <v>0.79870946400030252</v>
      </c>
      <c r="AM404" s="761">
        <f t="shared" si="68"/>
        <v>0.79870946400030252</v>
      </c>
      <c r="AN404" s="761">
        <f t="shared" si="68"/>
        <v>0.79870946400030252</v>
      </c>
      <c r="AO404" s="761">
        <f t="shared" si="68"/>
        <v>0.79870946400030252</v>
      </c>
      <c r="AP404" s="761">
        <f t="shared" si="68"/>
        <v>0.79870946400030252</v>
      </c>
      <c r="AQ404" s="761">
        <f t="shared" si="68"/>
        <v>0.79870946400030252</v>
      </c>
      <c r="AR404" s="761">
        <f t="shared" si="68"/>
        <v>0.79870946400030252</v>
      </c>
      <c r="AS404" s="761">
        <f t="shared" si="68"/>
        <v>0.79870946400030252</v>
      </c>
      <c r="AT404" s="761">
        <f t="shared" si="68"/>
        <v>0.79870946400030252</v>
      </c>
      <c r="AU404" s="761">
        <f t="shared" si="68"/>
        <v>0.79870946400030252</v>
      </c>
      <c r="AV404" s="761">
        <f t="shared" si="68"/>
        <v>0.79870946400030252</v>
      </c>
      <c r="AW404" s="761">
        <f t="shared" si="68"/>
        <v>0.79870946400030252</v>
      </c>
    </row>
    <row r="405" spans="1:49" x14ac:dyDescent="0.2">
      <c r="A405" s="766"/>
      <c r="B405" s="762"/>
      <c r="C405" s="762"/>
      <c r="D405" s="762"/>
      <c r="E405" s="762"/>
      <c r="F405" s="762"/>
      <c r="G405" s="762"/>
      <c r="H405" s="762"/>
      <c r="I405" s="762"/>
      <c r="J405" s="762"/>
      <c r="K405" s="762"/>
      <c r="L405" s="762"/>
      <c r="M405" s="761"/>
      <c r="N405" s="761"/>
      <c r="O405" s="761"/>
      <c r="P405" s="761"/>
      <c r="Q405" s="761"/>
      <c r="R405" s="761"/>
      <c r="S405" s="761"/>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761"/>
      <c r="AT405" s="761"/>
      <c r="AU405" s="761"/>
      <c r="AV405" s="761"/>
      <c r="AW405" s="761"/>
    </row>
    <row r="406" spans="1:49" ht="25.5" x14ac:dyDescent="0.2">
      <c r="A406" s="767" t="s">
        <v>483</v>
      </c>
      <c r="B406" s="763">
        <v>64</v>
      </c>
      <c r="C406" s="763">
        <v>70</v>
      </c>
      <c r="D406" s="763">
        <v>58</v>
      </c>
      <c r="E406" s="763">
        <v>50</v>
      </c>
      <c r="F406" s="763">
        <v>56</v>
      </c>
      <c r="G406" s="763">
        <v>58</v>
      </c>
      <c r="H406" s="763">
        <v>64</v>
      </c>
      <c r="I406" s="763">
        <v>76</v>
      </c>
      <c r="J406" s="763">
        <v>54</v>
      </c>
      <c r="K406" s="763">
        <v>70</v>
      </c>
      <c r="L406" s="763">
        <v>60</v>
      </c>
      <c r="M406" s="763">
        <v>49</v>
      </c>
      <c r="N406" s="763">
        <v>68</v>
      </c>
      <c r="O406" s="763">
        <v>71</v>
      </c>
      <c r="P406" s="763">
        <v>61</v>
      </c>
      <c r="Q406" s="763">
        <v>59</v>
      </c>
      <c r="R406" s="763">
        <v>52</v>
      </c>
      <c r="S406" s="763">
        <v>57</v>
      </c>
      <c r="T406" s="763">
        <v>46</v>
      </c>
      <c r="U406" s="763">
        <v>50</v>
      </c>
      <c r="V406" s="763">
        <v>71</v>
      </c>
      <c r="W406" s="763">
        <v>54</v>
      </c>
      <c r="X406" s="763">
        <v>51</v>
      </c>
      <c r="Y406" s="763">
        <v>72</v>
      </c>
      <c r="Z406" s="763">
        <v>67</v>
      </c>
      <c r="AA406" s="763">
        <v>77</v>
      </c>
      <c r="AB406" s="763">
        <v>63</v>
      </c>
      <c r="AC406" s="763">
        <v>59</v>
      </c>
      <c r="AD406" s="763">
        <v>54</v>
      </c>
      <c r="AE406" s="763">
        <v>42</v>
      </c>
      <c r="AF406" s="763">
        <v>49</v>
      </c>
      <c r="AG406" s="763"/>
      <c r="AH406" s="763"/>
      <c r="AI406" s="763"/>
      <c r="AJ406" s="763"/>
      <c r="AK406" s="763"/>
      <c r="AL406" s="763"/>
      <c r="AM406" s="763"/>
      <c r="AN406" s="763"/>
      <c r="AO406" s="763"/>
      <c r="AP406" s="763"/>
      <c r="AQ406" s="763"/>
      <c r="AR406" s="763"/>
      <c r="AS406" s="763"/>
      <c r="AT406" s="763"/>
      <c r="AU406" s="763"/>
      <c r="AV406" s="763"/>
      <c r="AW406" s="763"/>
    </row>
    <row r="407" spans="1:49" x14ac:dyDescent="0.2">
      <c r="A407" s="767" t="s">
        <v>466</v>
      </c>
      <c r="B407" s="763"/>
      <c r="C407" s="763">
        <f>SUM(C406-B406)</f>
        <v>6</v>
      </c>
      <c r="D407" s="763">
        <f>SUM(D406-C406)*-1</f>
        <v>12</v>
      </c>
      <c r="E407" s="763">
        <f>SUM(E406-D406)*-1</f>
        <v>8</v>
      </c>
      <c r="F407" s="763">
        <f t="shared" ref="F407:V407" si="69">SUM(F406-E406)</f>
        <v>6</v>
      </c>
      <c r="G407" s="763">
        <f t="shared" si="69"/>
        <v>2</v>
      </c>
      <c r="H407" s="763">
        <f t="shared" si="69"/>
        <v>6</v>
      </c>
      <c r="I407" s="763">
        <f t="shared" si="69"/>
        <v>12</v>
      </c>
      <c r="J407" s="763">
        <f>SUM(J406-I406)*-1</f>
        <v>22</v>
      </c>
      <c r="K407" s="763">
        <f t="shared" si="69"/>
        <v>16</v>
      </c>
      <c r="L407" s="763">
        <f>SUM(L406-K406)*-1</f>
        <v>10</v>
      </c>
      <c r="M407" s="763">
        <f>SUM(M406-L406)*-1</f>
        <v>11</v>
      </c>
      <c r="N407" s="763">
        <f t="shared" si="69"/>
        <v>19</v>
      </c>
      <c r="O407" s="763">
        <f t="shared" si="69"/>
        <v>3</v>
      </c>
      <c r="P407" s="763">
        <f>SUM(P406-O406)*-1</f>
        <v>10</v>
      </c>
      <c r="Q407" s="763">
        <f>SUM(Q406-P406)*-1</f>
        <v>2</v>
      </c>
      <c r="R407" s="763">
        <f>SUM(R406-Q406)*-1</f>
        <v>7</v>
      </c>
      <c r="S407" s="763">
        <f t="shared" si="69"/>
        <v>5</v>
      </c>
      <c r="T407" s="763">
        <f>SUM(T406-S406)*-1</f>
        <v>11</v>
      </c>
      <c r="U407" s="763">
        <f t="shared" si="69"/>
        <v>4</v>
      </c>
      <c r="V407" s="763">
        <f t="shared" si="69"/>
        <v>21</v>
      </c>
      <c r="W407" s="763">
        <f>SUM(W406-V406)*-1</f>
        <v>17</v>
      </c>
      <c r="X407" s="763">
        <f>SUM(X406-W406)*-1</f>
        <v>3</v>
      </c>
      <c r="Y407" s="763">
        <f>SUM(Y406-X406)</f>
        <v>21</v>
      </c>
      <c r="Z407" s="763">
        <f>SUM(Z406-Y406)*-1</f>
        <v>5</v>
      </c>
      <c r="AA407" s="763">
        <f>SUM(AA406-Z406)</f>
        <v>10</v>
      </c>
      <c r="AB407" s="763">
        <f>SUM(AB406-AA406)*-1</f>
        <v>14</v>
      </c>
      <c r="AC407" s="763">
        <f>SUM(AC406-AB406)*-1</f>
        <v>4</v>
      </c>
      <c r="AD407" s="763">
        <f t="shared" ref="AD407:AE407" si="70">SUM(AD406-AC406)*-1</f>
        <v>5</v>
      </c>
      <c r="AE407" s="763">
        <f t="shared" si="70"/>
        <v>12</v>
      </c>
      <c r="AF407" s="763">
        <f>SUM(AF406-AE406)</f>
        <v>7</v>
      </c>
      <c r="AG407" s="763"/>
      <c r="AH407" s="763"/>
      <c r="AI407" s="763"/>
      <c r="AJ407" s="763"/>
      <c r="AK407" s="763"/>
      <c r="AL407" s="763"/>
      <c r="AM407" s="763"/>
      <c r="AN407" s="763"/>
      <c r="AO407" s="763"/>
      <c r="AP407" s="763"/>
      <c r="AQ407" s="763"/>
      <c r="AR407" s="763"/>
      <c r="AS407" s="763"/>
      <c r="AT407" s="763"/>
      <c r="AU407" s="763"/>
      <c r="AV407" s="763"/>
      <c r="AW407" s="763"/>
    </row>
    <row r="408" spans="1:49" s="186" customFormat="1" ht="21.75" x14ac:dyDescent="0.2">
      <c r="A408" s="768" t="s">
        <v>469</v>
      </c>
      <c r="B408" s="764"/>
      <c r="C408" s="764"/>
      <c r="D408" s="764"/>
      <c r="E408" s="764"/>
      <c r="F408" s="764"/>
      <c r="G408" s="764"/>
      <c r="H408" s="764"/>
      <c r="I408" s="764"/>
      <c r="J408" s="764"/>
      <c r="K408" s="764"/>
      <c r="L408" s="764"/>
      <c r="M408" s="764"/>
      <c r="N408" s="764"/>
      <c r="O408" s="764"/>
      <c r="P408" s="764"/>
      <c r="Q408" s="764"/>
      <c r="R408" s="764"/>
      <c r="S408" s="764"/>
      <c r="T408" s="764"/>
      <c r="U408" s="764"/>
      <c r="V408" s="764"/>
      <c r="W408" s="764"/>
      <c r="X408" s="764"/>
      <c r="Y408" s="764"/>
      <c r="Z408" s="764"/>
      <c r="AA408" s="764"/>
      <c r="AB408" s="764"/>
      <c r="AC408" s="764"/>
      <c r="AD408" s="764"/>
      <c r="AE408" s="764"/>
      <c r="AF408" s="764"/>
      <c r="AG408" s="764"/>
      <c r="AH408" s="764"/>
      <c r="AI408" s="764"/>
      <c r="AJ408" s="764"/>
      <c r="AK408" s="764"/>
      <c r="AL408" s="764"/>
      <c r="AM408" s="764"/>
      <c r="AN408" s="764"/>
      <c r="AO408" s="764"/>
      <c r="AP408" s="764"/>
      <c r="AQ408" s="764"/>
      <c r="AR408" s="764"/>
      <c r="AS408" s="764"/>
      <c r="AT408" s="764"/>
      <c r="AU408" s="764"/>
      <c r="AV408" s="764"/>
      <c r="AW408" s="764"/>
    </row>
    <row r="409" spans="1:49" x14ac:dyDescent="0.2">
      <c r="A409" s="769" t="s">
        <v>468</v>
      </c>
      <c r="B409" s="763">
        <f>SUM($B$406:$AW$406)/23</f>
        <v>80.521739130434781</v>
      </c>
      <c r="C409" s="763">
        <f t="shared" ref="C409:AW409" si="71">SUM($B$406:$AW$406)/23</f>
        <v>80.521739130434781</v>
      </c>
      <c r="D409" s="763">
        <f t="shared" si="71"/>
        <v>80.521739130434781</v>
      </c>
      <c r="E409" s="763">
        <f t="shared" si="71"/>
        <v>80.521739130434781</v>
      </c>
      <c r="F409" s="763">
        <f t="shared" si="71"/>
        <v>80.521739130434781</v>
      </c>
      <c r="G409" s="763">
        <f t="shared" si="71"/>
        <v>80.521739130434781</v>
      </c>
      <c r="H409" s="763">
        <f t="shared" si="71"/>
        <v>80.521739130434781</v>
      </c>
      <c r="I409" s="763">
        <f t="shared" si="71"/>
        <v>80.521739130434781</v>
      </c>
      <c r="J409" s="763">
        <f t="shared" si="71"/>
        <v>80.521739130434781</v>
      </c>
      <c r="K409" s="763">
        <f t="shared" si="71"/>
        <v>80.521739130434781</v>
      </c>
      <c r="L409" s="763">
        <f t="shared" si="71"/>
        <v>80.521739130434781</v>
      </c>
      <c r="M409" s="763">
        <f t="shared" si="71"/>
        <v>80.521739130434781</v>
      </c>
      <c r="N409" s="763">
        <f t="shared" si="71"/>
        <v>80.521739130434781</v>
      </c>
      <c r="O409" s="763">
        <f t="shared" si="71"/>
        <v>80.521739130434781</v>
      </c>
      <c r="P409" s="763">
        <f t="shared" si="71"/>
        <v>80.521739130434781</v>
      </c>
      <c r="Q409" s="763">
        <f t="shared" si="71"/>
        <v>80.521739130434781</v>
      </c>
      <c r="R409" s="763">
        <f t="shared" si="71"/>
        <v>80.521739130434781</v>
      </c>
      <c r="S409" s="763">
        <f t="shared" si="71"/>
        <v>80.521739130434781</v>
      </c>
      <c r="T409" s="763">
        <f t="shared" si="71"/>
        <v>80.521739130434781</v>
      </c>
      <c r="U409" s="763">
        <f t="shared" si="71"/>
        <v>80.521739130434781</v>
      </c>
      <c r="V409" s="763">
        <f t="shared" si="71"/>
        <v>80.521739130434781</v>
      </c>
      <c r="W409" s="763">
        <f t="shared" si="71"/>
        <v>80.521739130434781</v>
      </c>
      <c r="X409" s="763">
        <f t="shared" si="71"/>
        <v>80.521739130434781</v>
      </c>
      <c r="Y409" s="763">
        <f t="shared" si="71"/>
        <v>80.521739130434781</v>
      </c>
      <c r="Z409" s="763">
        <f t="shared" si="71"/>
        <v>80.521739130434781</v>
      </c>
      <c r="AA409" s="763">
        <f t="shared" si="71"/>
        <v>80.521739130434781</v>
      </c>
      <c r="AB409" s="763">
        <f t="shared" si="71"/>
        <v>80.521739130434781</v>
      </c>
      <c r="AC409" s="763">
        <f t="shared" si="71"/>
        <v>80.521739130434781</v>
      </c>
      <c r="AD409" s="763">
        <f t="shared" si="71"/>
        <v>80.521739130434781</v>
      </c>
      <c r="AE409" s="763">
        <f t="shared" si="71"/>
        <v>80.521739130434781</v>
      </c>
      <c r="AF409" s="763">
        <f t="shared" si="71"/>
        <v>80.521739130434781</v>
      </c>
      <c r="AG409" s="763">
        <f t="shared" si="71"/>
        <v>80.521739130434781</v>
      </c>
      <c r="AH409" s="763">
        <f t="shared" si="71"/>
        <v>80.521739130434781</v>
      </c>
      <c r="AI409" s="763">
        <f t="shared" si="71"/>
        <v>80.521739130434781</v>
      </c>
      <c r="AJ409" s="763">
        <f t="shared" si="71"/>
        <v>80.521739130434781</v>
      </c>
      <c r="AK409" s="763">
        <f t="shared" si="71"/>
        <v>80.521739130434781</v>
      </c>
      <c r="AL409" s="763">
        <f t="shared" si="71"/>
        <v>80.521739130434781</v>
      </c>
      <c r="AM409" s="763">
        <f t="shared" si="71"/>
        <v>80.521739130434781</v>
      </c>
      <c r="AN409" s="763">
        <f t="shared" si="71"/>
        <v>80.521739130434781</v>
      </c>
      <c r="AO409" s="763">
        <f t="shared" si="71"/>
        <v>80.521739130434781</v>
      </c>
      <c r="AP409" s="763">
        <f t="shared" si="71"/>
        <v>80.521739130434781</v>
      </c>
      <c r="AQ409" s="763">
        <f t="shared" si="71"/>
        <v>80.521739130434781</v>
      </c>
      <c r="AR409" s="763">
        <f t="shared" si="71"/>
        <v>80.521739130434781</v>
      </c>
      <c r="AS409" s="763">
        <f t="shared" si="71"/>
        <v>80.521739130434781</v>
      </c>
      <c r="AT409" s="763">
        <f t="shared" si="71"/>
        <v>80.521739130434781</v>
      </c>
      <c r="AU409" s="763">
        <f t="shared" si="71"/>
        <v>80.521739130434781</v>
      </c>
      <c r="AV409" s="763">
        <f t="shared" si="71"/>
        <v>80.521739130434781</v>
      </c>
      <c r="AW409" s="763">
        <f t="shared" si="71"/>
        <v>80.521739130434781</v>
      </c>
    </row>
    <row r="410" spans="1:49" x14ac:dyDescent="0.2">
      <c r="A410" s="767" t="s">
        <v>467</v>
      </c>
      <c r="B410" s="763">
        <f>SUM($C$407:$AW$407)/22</f>
        <v>13.227272727272727</v>
      </c>
      <c r="C410" s="763">
        <f t="shared" ref="C410:AW410" si="72">SUM($C$407:$AW$407)/22</f>
        <v>13.227272727272727</v>
      </c>
      <c r="D410" s="763">
        <f t="shared" si="72"/>
        <v>13.227272727272727</v>
      </c>
      <c r="E410" s="763">
        <f t="shared" si="72"/>
        <v>13.227272727272727</v>
      </c>
      <c r="F410" s="763">
        <f t="shared" si="72"/>
        <v>13.227272727272727</v>
      </c>
      <c r="G410" s="763">
        <f t="shared" si="72"/>
        <v>13.227272727272727</v>
      </c>
      <c r="H410" s="763">
        <f t="shared" si="72"/>
        <v>13.227272727272727</v>
      </c>
      <c r="I410" s="763">
        <f t="shared" si="72"/>
        <v>13.227272727272727</v>
      </c>
      <c r="J410" s="763">
        <f t="shared" si="72"/>
        <v>13.227272727272727</v>
      </c>
      <c r="K410" s="763">
        <f t="shared" si="72"/>
        <v>13.227272727272727</v>
      </c>
      <c r="L410" s="763">
        <f t="shared" si="72"/>
        <v>13.227272727272727</v>
      </c>
      <c r="M410" s="763">
        <f t="shared" si="72"/>
        <v>13.227272727272727</v>
      </c>
      <c r="N410" s="763">
        <f t="shared" si="72"/>
        <v>13.227272727272727</v>
      </c>
      <c r="O410" s="763">
        <f t="shared" si="72"/>
        <v>13.227272727272727</v>
      </c>
      <c r="P410" s="763">
        <f t="shared" si="72"/>
        <v>13.227272727272727</v>
      </c>
      <c r="Q410" s="763">
        <f t="shared" si="72"/>
        <v>13.227272727272727</v>
      </c>
      <c r="R410" s="763">
        <f t="shared" si="72"/>
        <v>13.227272727272727</v>
      </c>
      <c r="S410" s="763">
        <f t="shared" si="72"/>
        <v>13.227272727272727</v>
      </c>
      <c r="T410" s="763">
        <f t="shared" si="72"/>
        <v>13.227272727272727</v>
      </c>
      <c r="U410" s="763">
        <f t="shared" si="72"/>
        <v>13.227272727272727</v>
      </c>
      <c r="V410" s="763">
        <f t="shared" si="72"/>
        <v>13.227272727272727</v>
      </c>
      <c r="W410" s="763">
        <f t="shared" si="72"/>
        <v>13.227272727272727</v>
      </c>
      <c r="X410" s="763">
        <f t="shared" si="72"/>
        <v>13.227272727272727</v>
      </c>
      <c r="Y410" s="763">
        <f t="shared" si="72"/>
        <v>13.227272727272727</v>
      </c>
      <c r="Z410" s="763">
        <f t="shared" si="72"/>
        <v>13.227272727272727</v>
      </c>
      <c r="AA410" s="763">
        <f t="shared" si="72"/>
        <v>13.227272727272727</v>
      </c>
      <c r="AB410" s="763">
        <f t="shared" si="72"/>
        <v>13.227272727272727</v>
      </c>
      <c r="AC410" s="763">
        <f t="shared" si="72"/>
        <v>13.227272727272727</v>
      </c>
      <c r="AD410" s="763">
        <f t="shared" si="72"/>
        <v>13.227272727272727</v>
      </c>
      <c r="AE410" s="763">
        <f t="shared" si="72"/>
        <v>13.227272727272727</v>
      </c>
      <c r="AF410" s="763">
        <f t="shared" si="72"/>
        <v>13.227272727272727</v>
      </c>
      <c r="AG410" s="763">
        <f t="shared" si="72"/>
        <v>13.227272727272727</v>
      </c>
      <c r="AH410" s="763">
        <f t="shared" si="72"/>
        <v>13.227272727272727</v>
      </c>
      <c r="AI410" s="763">
        <f t="shared" si="72"/>
        <v>13.227272727272727</v>
      </c>
      <c r="AJ410" s="763">
        <f t="shared" si="72"/>
        <v>13.227272727272727</v>
      </c>
      <c r="AK410" s="763">
        <f t="shared" si="72"/>
        <v>13.227272727272727</v>
      </c>
      <c r="AL410" s="763">
        <f t="shared" si="72"/>
        <v>13.227272727272727</v>
      </c>
      <c r="AM410" s="763">
        <f t="shared" si="72"/>
        <v>13.227272727272727</v>
      </c>
      <c r="AN410" s="763">
        <f t="shared" si="72"/>
        <v>13.227272727272727</v>
      </c>
      <c r="AO410" s="763">
        <f t="shared" si="72"/>
        <v>13.227272727272727</v>
      </c>
      <c r="AP410" s="763">
        <f t="shared" si="72"/>
        <v>13.227272727272727</v>
      </c>
      <c r="AQ410" s="763">
        <f t="shared" si="72"/>
        <v>13.227272727272727</v>
      </c>
      <c r="AR410" s="763">
        <f t="shared" si="72"/>
        <v>13.227272727272727</v>
      </c>
      <c r="AS410" s="763">
        <f t="shared" si="72"/>
        <v>13.227272727272727</v>
      </c>
      <c r="AT410" s="763">
        <f t="shared" si="72"/>
        <v>13.227272727272727</v>
      </c>
      <c r="AU410" s="763">
        <f t="shared" si="72"/>
        <v>13.227272727272727</v>
      </c>
      <c r="AV410" s="763">
        <f t="shared" si="72"/>
        <v>13.227272727272727</v>
      </c>
      <c r="AW410" s="763">
        <f t="shared" si="72"/>
        <v>13.227272727272727</v>
      </c>
    </row>
    <row r="411" spans="1:49" ht="25.5" x14ac:dyDescent="0.2">
      <c r="A411" s="767" t="s">
        <v>470</v>
      </c>
      <c r="B411" s="763">
        <f t="shared" ref="B411:AW411" si="73">SUM($B$410)/1.128</f>
        <v>11.726305609284333</v>
      </c>
      <c r="C411" s="763">
        <f t="shared" si="73"/>
        <v>11.726305609284333</v>
      </c>
      <c r="D411" s="763">
        <f t="shared" si="73"/>
        <v>11.726305609284333</v>
      </c>
      <c r="E411" s="763">
        <f t="shared" si="73"/>
        <v>11.726305609284333</v>
      </c>
      <c r="F411" s="763">
        <f t="shared" si="73"/>
        <v>11.726305609284333</v>
      </c>
      <c r="G411" s="763">
        <f t="shared" si="73"/>
        <v>11.726305609284333</v>
      </c>
      <c r="H411" s="763">
        <f t="shared" si="73"/>
        <v>11.726305609284333</v>
      </c>
      <c r="I411" s="763">
        <f t="shared" si="73"/>
        <v>11.726305609284333</v>
      </c>
      <c r="J411" s="763">
        <f t="shared" si="73"/>
        <v>11.726305609284333</v>
      </c>
      <c r="K411" s="763">
        <f t="shared" si="73"/>
        <v>11.726305609284333</v>
      </c>
      <c r="L411" s="763">
        <f t="shared" si="73"/>
        <v>11.726305609284333</v>
      </c>
      <c r="M411" s="763">
        <f t="shared" si="73"/>
        <v>11.726305609284333</v>
      </c>
      <c r="N411" s="763">
        <f t="shared" si="73"/>
        <v>11.726305609284333</v>
      </c>
      <c r="O411" s="763">
        <f t="shared" si="73"/>
        <v>11.726305609284333</v>
      </c>
      <c r="P411" s="763">
        <f t="shared" si="73"/>
        <v>11.726305609284333</v>
      </c>
      <c r="Q411" s="763">
        <f t="shared" si="73"/>
        <v>11.726305609284333</v>
      </c>
      <c r="R411" s="763">
        <f t="shared" si="73"/>
        <v>11.726305609284333</v>
      </c>
      <c r="S411" s="763">
        <f t="shared" si="73"/>
        <v>11.726305609284333</v>
      </c>
      <c r="T411" s="763">
        <f t="shared" si="73"/>
        <v>11.726305609284333</v>
      </c>
      <c r="U411" s="763">
        <f t="shared" si="73"/>
        <v>11.726305609284333</v>
      </c>
      <c r="V411" s="763">
        <f t="shared" si="73"/>
        <v>11.726305609284333</v>
      </c>
      <c r="W411" s="763">
        <f t="shared" si="73"/>
        <v>11.726305609284333</v>
      </c>
      <c r="X411" s="763">
        <f t="shared" si="73"/>
        <v>11.726305609284333</v>
      </c>
      <c r="Y411" s="763">
        <f t="shared" si="73"/>
        <v>11.726305609284333</v>
      </c>
      <c r="Z411" s="763">
        <f t="shared" si="73"/>
        <v>11.726305609284333</v>
      </c>
      <c r="AA411" s="763">
        <f t="shared" si="73"/>
        <v>11.726305609284333</v>
      </c>
      <c r="AB411" s="763">
        <f t="shared" si="73"/>
        <v>11.726305609284333</v>
      </c>
      <c r="AC411" s="763">
        <f t="shared" si="73"/>
        <v>11.726305609284333</v>
      </c>
      <c r="AD411" s="763">
        <f t="shared" si="73"/>
        <v>11.726305609284333</v>
      </c>
      <c r="AE411" s="763">
        <f t="shared" si="73"/>
        <v>11.726305609284333</v>
      </c>
      <c r="AF411" s="763">
        <f t="shared" si="73"/>
        <v>11.726305609284333</v>
      </c>
      <c r="AG411" s="763">
        <f t="shared" si="73"/>
        <v>11.726305609284333</v>
      </c>
      <c r="AH411" s="763">
        <f t="shared" si="73"/>
        <v>11.726305609284333</v>
      </c>
      <c r="AI411" s="763">
        <f t="shared" si="73"/>
        <v>11.726305609284333</v>
      </c>
      <c r="AJ411" s="763">
        <f t="shared" si="73"/>
        <v>11.726305609284333</v>
      </c>
      <c r="AK411" s="763">
        <f t="shared" si="73"/>
        <v>11.726305609284333</v>
      </c>
      <c r="AL411" s="763">
        <f t="shared" si="73"/>
        <v>11.726305609284333</v>
      </c>
      <c r="AM411" s="763">
        <f t="shared" si="73"/>
        <v>11.726305609284333</v>
      </c>
      <c r="AN411" s="763">
        <f t="shared" si="73"/>
        <v>11.726305609284333</v>
      </c>
      <c r="AO411" s="763">
        <f t="shared" si="73"/>
        <v>11.726305609284333</v>
      </c>
      <c r="AP411" s="763">
        <f t="shared" si="73"/>
        <v>11.726305609284333</v>
      </c>
      <c r="AQ411" s="763">
        <f t="shared" si="73"/>
        <v>11.726305609284333</v>
      </c>
      <c r="AR411" s="763">
        <f t="shared" si="73"/>
        <v>11.726305609284333</v>
      </c>
      <c r="AS411" s="763">
        <f t="shared" si="73"/>
        <v>11.726305609284333</v>
      </c>
      <c r="AT411" s="763">
        <f t="shared" si="73"/>
        <v>11.726305609284333</v>
      </c>
      <c r="AU411" s="763">
        <f t="shared" si="73"/>
        <v>11.726305609284333</v>
      </c>
      <c r="AV411" s="763">
        <f t="shared" si="73"/>
        <v>11.726305609284333</v>
      </c>
      <c r="AW411" s="763">
        <f t="shared" si="73"/>
        <v>11.726305609284333</v>
      </c>
    </row>
    <row r="412" spans="1:49" x14ac:dyDescent="0.2">
      <c r="A412" s="767" t="s">
        <v>476</v>
      </c>
      <c r="B412" s="763">
        <f t="shared" ref="B412:AW412" si="74">SUM($B$409)+ (3*$B$411)</f>
        <v>115.70065595828778</v>
      </c>
      <c r="C412" s="763">
        <f t="shared" si="74"/>
        <v>115.70065595828778</v>
      </c>
      <c r="D412" s="763">
        <f t="shared" si="74"/>
        <v>115.70065595828778</v>
      </c>
      <c r="E412" s="763">
        <f t="shared" si="74"/>
        <v>115.70065595828778</v>
      </c>
      <c r="F412" s="763">
        <f t="shared" si="74"/>
        <v>115.70065595828778</v>
      </c>
      <c r="G412" s="763">
        <f t="shared" si="74"/>
        <v>115.70065595828778</v>
      </c>
      <c r="H412" s="763">
        <f t="shared" si="74"/>
        <v>115.70065595828778</v>
      </c>
      <c r="I412" s="763">
        <f t="shared" si="74"/>
        <v>115.70065595828778</v>
      </c>
      <c r="J412" s="763">
        <f t="shared" si="74"/>
        <v>115.70065595828778</v>
      </c>
      <c r="K412" s="763">
        <f t="shared" si="74"/>
        <v>115.70065595828778</v>
      </c>
      <c r="L412" s="763">
        <f t="shared" si="74"/>
        <v>115.70065595828778</v>
      </c>
      <c r="M412" s="763">
        <f t="shared" si="74"/>
        <v>115.70065595828778</v>
      </c>
      <c r="N412" s="763">
        <f t="shared" si="74"/>
        <v>115.70065595828778</v>
      </c>
      <c r="O412" s="763">
        <f t="shared" si="74"/>
        <v>115.70065595828778</v>
      </c>
      <c r="P412" s="763">
        <f t="shared" si="74"/>
        <v>115.70065595828778</v>
      </c>
      <c r="Q412" s="763">
        <f t="shared" si="74"/>
        <v>115.70065595828778</v>
      </c>
      <c r="R412" s="763">
        <f t="shared" si="74"/>
        <v>115.70065595828778</v>
      </c>
      <c r="S412" s="763">
        <f t="shared" si="74"/>
        <v>115.70065595828778</v>
      </c>
      <c r="T412" s="763">
        <f t="shared" si="74"/>
        <v>115.70065595828778</v>
      </c>
      <c r="U412" s="763">
        <f t="shared" si="74"/>
        <v>115.70065595828778</v>
      </c>
      <c r="V412" s="763">
        <f t="shared" si="74"/>
        <v>115.70065595828778</v>
      </c>
      <c r="W412" s="763">
        <f t="shared" si="74"/>
        <v>115.70065595828778</v>
      </c>
      <c r="X412" s="763">
        <f t="shared" si="74"/>
        <v>115.70065595828778</v>
      </c>
      <c r="Y412" s="763">
        <f t="shared" si="74"/>
        <v>115.70065595828778</v>
      </c>
      <c r="Z412" s="763">
        <f t="shared" si="74"/>
        <v>115.70065595828778</v>
      </c>
      <c r="AA412" s="763">
        <f t="shared" si="74"/>
        <v>115.70065595828778</v>
      </c>
      <c r="AB412" s="763">
        <f t="shared" si="74"/>
        <v>115.70065595828778</v>
      </c>
      <c r="AC412" s="763">
        <f t="shared" si="74"/>
        <v>115.70065595828778</v>
      </c>
      <c r="AD412" s="763">
        <f t="shared" si="74"/>
        <v>115.70065595828778</v>
      </c>
      <c r="AE412" s="763">
        <f t="shared" si="74"/>
        <v>115.70065595828778</v>
      </c>
      <c r="AF412" s="763">
        <f t="shared" si="74"/>
        <v>115.70065595828778</v>
      </c>
      <c r="AG412" s="763">
        <f t="shared" si="74"/>
        <v>115.70065595828778</v>
      </c>
      <c r="AH412" s="763">
        <f t="shared" si="74"/>
        <v>115.70065595828778</v>
      </c>
      <c r="AI412" s="763">
        <f t="shared" si="74"/>
        <v>115.70065595828778</v>
      </c>
      <c r="AJ412" s="763">
        <f t="shared" si="74"/>
        <v>115.70065595828778</v>
      </c>
      <c r="AK412" s="763">
        <f t="shared" si="74"/>
        <v>115.70065595828778</v>
      </c>
      <c r="AL412" s="763">
        <f t="shared" si="74"/>
        <v>115.70065595828778</v>
      </c>
      <c r="AM412" s="763">
        <f t="shared" si="74"/>
        <v>115.70065595828778</v>
      </c>
      <c r="AN412" s="763">
        <f t="shared" si="74"/>
        <v>115.70065595828778</v>
      </c>
      <c r="AO412" s="763">
        <f t="shared" si="74"/>
        <v>115.70065595828778</v>
      </c>
      <c r="AP412" s="763">
        <f t="shared" si="74"/>
        <v>115.70065595828778</v>
      </c>
      <c r="AQ412" s="763">
        <f t="shared" si="74"/>
        <v>115.70065595828778</v>
      </c>
      <c r="AR412" s="763">
        <f t="shared" si="74"/>
        <v>115.70065595828778</v>
      </c>
      <c r="AS412" s="763">
        <f t="shared" si="74"/>
        <v>115.70065595828778</v>
      </c>
      <c r="AT412" s="763">
        <f t="shared" si="74"/>
        <v>115.70065595828778</v>
      </c>
      <c r="AU412" s="763">
        <f t="shared" si="74"/>
        <v>115.70065595828778</v>
      </c>
      <c r="AV412" s="763">
        <f t="shared" si="74"/>
        <v>115.70065595828778</v>
      </c>
      <c r="AW412" s="763">
        <f t="shared" si="74"/>
        <v>115.70065595828778</v>
      </c>
    </row>
    <row r="413" spans="1:49" x14ac:dyDescent="0.2">
      <c r="A413" s="767" t="s">
        <v>475</v>
      </c>
      <c r="B413" s="763">
        <f t="shared" ref="B413:AW413" si="75">SUM($B$409)- (3*$B$411)</f>
        <v>45.34282230258178</v>
      </c>
      <c r="C413" s="763">
        <f t="shared" si="75"/>
        <v>45.34282230258178</v>
      </c>
      <c r="D413" s="763">
        <f t="shared" si="75"/>
        <v>45.34282230258178</v>
      </c>
      <c r="E413" s="763">
        <f t="shared" si="75"/>
        <v>45.34282230258178</v>
      </c>
      <c r="F413" s="763">
        <f t="shared" si="75"/>
        <v>45.34282230258178</v>
      </c>
      <c r="G413" s="763">
        <f t="shared" si="75"/>
        <v>45.34282230258178</v>
      </c>
      <c r="H413" s="763">
        <f t="shared" si="75"/>
        <v>45.34282230258178</v>
      </c>
      <c r="I413" s="763">
        <f t="shared" si="75"/>
        <v>45.34282230258178</v>
      </c>
      <c r="J413" s="763">
        <f t="shared" si="75"/>
        <v>45.34282230258178</v>
      </c>
      <c r="K413" s="763">
        <f t="shared" si="75"/>
        <v>45.34282230258178</v>
      </c>
      <c r="L413" s="763">
        <f t="shared" si="75"/>
        <v>45.34282230258178</v>
      </c>
      <c r="M413" s="763">
        <f t="shared" si="75"/>
        <v>45.34282230258178</v>
      </c>
      <c r="N413" s="763">
        <f t="shared" si="75"/>
        <v>45.34282230258178</v>
      </c>
      <c r="O413" s="763">
        <f t="shared" si="75"/>
        <v>45.34282230258178</v>
      </c>
      <c r="P413" s="763">
        <f t="shared" si="75"/>
        <v>45.34282230258178</v>
      </c>
      <c r="Q413" s="763">
        <f t="shared" si="75"/>
        <v>45.34282230258178</v>
      </c>
      <c r="R413" s="763">
        <f t="shared" si="75"/>
        <v>45.34282230258178</v>
      </c>
      <c r="S413" s="763">
        <f t="shared" si="75"/>
        <v>45.34282230258178</v>
      </c>
      <c r="T413" s="763">
        <f t="shared" si="75"/>
        <v>45.34282230258178</v>
      </c>
      <c r="U413" s="763">
        <f t="shared" si="75"/>
        <v>45.34282230258178</v>
      </c>
      <c r="V413" s="763">
        <f t="shared" si="75"/>
        <v>45.34282230258178</v>
      </c>
      <c r="W413" s="763">
        <f t="shared" si="75"/>
        <v>45.34282230258178</v>
      </c>
      <c r="X413" s="763">
        <f t="shared" si="75"/>
        <v>45.34282230258178</v>
      </c>
      <c r="Y413" s="763">
        <f t="shared" si="75"/>
        <v>45.34282230258178</v>
      </c>
      <c r="Z413" s="763">
        <f t="shared" si="75"/>
        <v>45.34282230258178</v>
      </c>
      <c r="AA413" s="763">
        <f t="shared" si="75"/>
        <v>45.34282230258178</v>
      </c>
      <c r="AB413" s="763">
        <f t="shared" si="75"/>
        <v>45.34282230258178</v>
      </c>
      <c r="AC413" s="763">
        <f t="shared" si="75"/>
        <v>45.34282230258178</v>
      </c>
      <c r="AD413" s="763">
        <f t="shared" si="75"/>
        <v>45.34282230258178</v>
      </c>
      <c r="AE413" s="763">
        <f t="shared" si="75"/>
        <v>45.34282230258178</v>
      </c>
      <c r="AF413" s="763">
        <f t="shared" si="75"/>
        <v>45.34282230258178</v>
      </c>
      <c r="AG413" s="763">
        <f t="shared" si="75"/>
        <v>45.34282230258178</v>
      </c>
      <c r="AH413" s="763">
        <f t="shared" si="75"/>
        <v>45.34282230258178</v>
      </c>
      <c r="AI413" s="763">
        <f t="shared" si="75"/>
        <v>45.34282230258178</v>
      </c>
      <c r="AJ413" s="763">
        <f t="shared" si="75"/>
        <v>45.34282230258178</v>
      </c>
      <c r="AK413" s="763">
        <f t="shared" si="75"/>
        <v>45.34282230258178</v>
      </c>
      <c r="AL413" s="763">
        <f t="shared" si="75"/>
        <v>45.34282230258178</v>
      </c>
      <c r="AM413" s="763">
        <f t="shared" si="75"/>
        <v>45.34282230258178</v>
      </c>
      <c r="AN413" s="763">
        <f t="shared" si="75"/>
        <v>45.34282230258178</v>
      </c>
      <c r="AO413" s="763">
        <f t="shared" si="75"/>
        <v>45.34282230258178</v>
      </c>
      <c r="AP413" s="763">
        <f t="shared" si="75"/>
        <v>45.34282230258178</v>
      </c>
      <c r="AQ413" s="763">
        <f t="shared" si="75"/>
        <v>45.34282230258178</v>
      </c>
      <c r="AR413" s="763">
        <f t="shared" si="75"/>
        <v>45.34282230258178</v>
      </c>
      <c r="AS413" s="763">
        <f t="shared" si="75"/>
        <v>45.34282230258178</v>
      </c>
      <c r="AT413" s="763">
        <f t="shared" si="75"/>
        <v>45.34282230258178</v>
      </c>
      <c r="AU413" s="763">
        <f t="shared" si="75"/>
        <v>45.34282230258178</v>
      </c>
      <c r="AV413" s="763">
        <f t="shared" si="75"/>
        <v>45.34282230258178</v>
      </c>
      <c r="AW413" s="763">
        <f t="shared" si="75"/>
        <v>45.34282230258178</v>
      </c>
    </row>
    <row r="417" spans="13:17" x14ac:dyDescent="0.2">
      <c r="M417" s="124"/>
      <c r="N417" s="124"/>
      <c r="O417" s="124"/>
      <c r="P417" s="124"/>
      <c r="Q417" s="124"/>
    </row>
    <row r="418" spans="13:17" x14ac:dyDescent="0.2">
      <c r="M418" s="124"/>
      <c r="N418" s="124"/>
      <c r="O418" s="822"/>
      <c r="P418" s="124"/>
      <c r="Q418" s="124"/>
    </row>
    <row r="419" spans="13:17" x14ac:dyDescent="0.2">
      <c r="M419" s="124"/>
      <c r="N419" s="124"/>
      <c r="O419" s="822"/>
      <c r="P419" s="124"/>
      <c r="Q419" s="124"/>
    </row>
    <row r="420" spans="13:17" x14ac:dyDescent="0.2">
      <c r="M420" s="124"/>
      <c r="N420" s="124"/>
      <c r="O420" s="822"/>
      <c r="P420" s="124"/>
      <c r="Q420" s="124"/>
    </row>
    <row r="421" spans="13:17" x14ac:dyDescent="0.2">
      <c r="M421" s="124"/>
      <c r="N421" s="124"/>
      <c r="O421" s="822"/>
      <c r="P421" s="124"/>
      <c r="Q421" s="124"/>
    </row>
    <row r="422" spans="13:17" x14ac:dyDescent="0.2">
      <c r="M422" s="124"/>
      <c r="N422" s="124"/>
      <c r="O422" s="822"/>
      <c r="P422" s="124"/>
      <c r="Q422" s="124"/>
    </row>
    <row r="423" spans="13:17" x14ac:dyDescent="0.2">
      <c r="M423" s="124"/>
      <c r="N423" s="124"/>
      <c r="O423" s="822"/>
      <c r="P423" s="124"/>
      <c r="Q423" s="124"/>
    </row>
    <row r="424" spans="13:17" x14ac:dyDescent="0.2">
      <c r="M424" s="124"/>
      <c r="N424" s="124"/>
      <c r="O424" s="822"/>
      <c r="P424" s="124"/>
      <c r="Q424" s="124"/>
    </row>
    <row r="425" spans="13:17" x14ac:dyDescent="0.2">
      <c r="M425" s="124"/>
      <c r="N425" s="124"/>
      <c r="O425" s="822"/>
      <c r="P425" s="124"/>
      <c r="Q425" s="124"/>
    </row>
    <row r="426" spans="13:17" x14ac:dyDescent="0.2">
      <c r="M426" s="124"/>
      <c r="N426" s="124"/>
      <c r="O426" s="822"/>
      <c r="P426" s="124"/>
      <c r="Q426" s="124"/>
    </row>
    <row r="427" spans="13:17" x14ac:dyDescent="0.2">
      <c r="M427" s="124"/>
      <c r="N427" s="124"/>
      <c r="O427" s="822"/>
      <c r="P427" s="124"/>
      <c r="Q427" s="124"/>
    </row>
    <row r="428" spans="13:17" x14ac:dyDescent="0.2">
      <c r="M428" s="124"/>
      <c r="N428" s="124"/>
      <c r="O428" s="822"/>
      <c r="P428" s="124"/>
      <c r="Q428" s="124"/>
    </row>
    <row r="429" spans="13:17" x14ac:dyDescent="0.2">
      <c r="M429" s="124"/>
      <c r="N429" s="124"/>
      <c r="O429" s="822"/>
      <c r="P429" s="124"/>
      <c r="Q429" s="124"/>
    </row>
    <row r="430" spans="13:17" x14ac:dyDescent="0.2">
      <c r="M430" s="124"/>
      <c r="N430" s="124"/>
      <c r="O430" s="124"/>
      <c r="P430" s="124"/>
      <c r="Q430" s="124"/>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56"/>
  <sheetViews>
    <sheetView workbookViewId="0"/>
  </sheetViews>
  <sheetFormatPr defaultColWidth="9.140625" defaultRowHeight="12.75" x14ac:dyDescent="0.2"/>
  <cols>
    <col min="1" max="1" width="19.5703125" style="141" bestFit="1" customWidth="1"/>
    <col min="2" max="2" width="10.85546875" style="141" customWidth="1"/>
    <col min="3" max="3" width="12" style="141" bestFit="1" customWidth="1"/>
    <col min="4" max="16384" width="9.140625" style="141"/>
  </cols>
  <sheetData>
    <row r="1" spans="1:11" x14ac:dyDescent="0.2">
      <c r="A1" s="106" t="s">
        <v>345</v>
      </c>
      <c r="B1" s="107"/>
      <c r="C1" s="611"/>
      <c r="D1" s="611"/>
      <c r="E1" s="611"/>
      <c r="F1" s="611"/>
      <c r="G1" s="611"/>
      <c r="H1" s="611"/>
      <c r="I1" s="611"/>
      <c r="J1" s="611"/>
      <c r="K1" s="611"/>
    </row>
    <row r="2" spans="1:11" x14ac:dyDescent="0.2">
      <c r="A2" s="106"/>
      <c r="B2" s="107"/>
      <c r="C2" s="611"/>
      <c r="D2" s="611"/>
      <c r="E2" s="611"/>
      <c r="F2" s="611"/>
      <c r="G2" s="611"/>
      <c r="H2" s="611"/>
      <c r="I2" s="611"/>
      <c r="J2" s="611"/>
      <c r="K2" s="611"/>
    </row>
    <row r="3" spans="1:11" x14ac:dyDescent="0.2">
      <c r="A3" s="106"/>
      <c r="B3" s="107"/>
      <c r="C3" s="611"/>
      <c r="D3" s="611"/>
      <c r="E3" s="611"/>
      <c r="F3" s="611"/>
      <c r="G3" s="611"/>
      <c r="H3" s="611"/>
      <c r="I3" s="611"/>
      <c r="J3" s="611"/>
      <c r="K3" s="611"/>
    </row>
    <row r="4" spans="1:11" x14ac:dyDescent="0.2">
      <c r="A4" s="108" t="s">
        <v>436</v>
      </c>
      <c r="B4" s="322" t="s">
        <v>439</v>
      </c>
      <c r="C4" s="322"/>
      <c r="D4" s="322"/>
      <c r="E4" s="322"/>
      <c r="F4" s="322"/>
      <c r="G4" s="322"/>
      <c r="H4" s="322"/>
      <c r="I4" s="322"/>
      <c r="J4" s="322"/>
      <c r="K4" s="322"/>
    </row>
    <row r="5" spans="1:11" x14ac:dyDescent="0.2">
      <c r="A5" s="108" t="s">
        <v>143</v>
      </c>
      <c r="B5" s="139">
        <f>VLOOKUP(MAX(A14:A29),A14:C29,2,0)</f>
        <v>7878</v>
      </c>
      <c r="C5" s="107"/>
      <c r="D5" s="107"/>
      <c r="E5" s="107"/>
      <c r="F5" s="107"/>
      <c r="G5" s="107"/>
      <c r="H5" s="107"/>
      <c r="I5" s="107"/>
      <c r="J5" s="107"/>
      <c r="K5" s="107"/>
    </row>
    <row r="6" spans="1:11" x14ac:dyDescent="0.2">
      <c r="A6" s="108" t="s">
        <v>118</v>
      </c>
      <c r="B6" s="128">
        <f>MAX(A14:A29)</f>
        <v>42979</v>
      </c>
      <c r="C6" s="107"/>
      <c r="D6" s="107"/>
      <c r="E6" s="107"/>
      <c r="F6" s="107"/>
      <c r="G6" s="107"/>
      <c r="H6" s="107"/>
      <c r="I6" s="107"/>
      <c r="J6" s="107"/>
      <c r="K6" s="107"/>
    </row>
    <row r="7" spans="1:11" x14ac:dyDescent="0.2">
      <c r="A7" s="108" t="s">
        <v>195</v>
      </c>
      <c r="B7" s="128"/>
      <c r="C7" s="107"/>
      <c r="D7" s="107"/>
      <c r="E7" s="107"/>
      <c r="F7" s="107"/>
      <c r="G7" s="107"/>
      <c r="H7" s="107"/>
      <c r="I7" s="107"/>
      <c r="J7" s="107"/>
      <c r="K7" s="107"/>
    </row>
    <row r="8" spans="1:11" x14ac:dyDescent="0.2">
      <c r="A8" s="108" t="s">
        <v>438</v>
      </c>
      <c r="B8" s="112" t="s">
        <v>154</v>
      </c>
      <c r="C8" s="107"/>
      <c r="D8" s="107"/>
      <c r="E8" s="107"/>
      <c r="F8" s="107"/>
      <c r="G8" s="107"/>
      <c r="H8" s="107"/>
      <c r="I8" s="107"/>
      <c r="J8" s="107"/>
      <c r="K8" s="107"/>
    </row>
    <row r="9" spans="1:11" x14ac:dyDescent="0.2">
      <c r="A9" s="127" t="s">
        <v>142</v>
      </c>
      <c r="B9" s="139">
        <f>VLOOKUP(MAX(A14:A29),A14:C29,3,0)</f>
        <v>4869</v>
      </c>
      <c r="C9" s="107"/>
      <c r="D9" s="107"/>
      <c r="E9" s="107"/>
      <c r="F9" s="107"/>
      <c r="G9" s="107"/>
      <c r="H9" s="107"/>
      <c r="I9" s="107"/>
      <c r="J9" s="107"/>
      <c r="K9" s="107"/>
    </row>
    <row r="10" spans="1:11" x14ac:dyDescent="0.2">
      <c r="A10" s="127" t="s">
        <v>119</v>
      </c>
      <c r="B10" s="343" t="str">
        <f>IF(B5&gt;=B9,"Met","Not Met")</f>
        <v>Met</v>
      </c>
      <c r="C10" s="107"/>
      <c r="D10" s="107"/>
      <c r="E10" s="107"/>
      <c r="F10" s="107"/>
      <c r="G10" s="107"/>
      <c r="H10" s="107"/>
      <c r="I10" s="107"/>
      <c r="J10" s="107"/>
      <c r="K10" s="107"/>
    </row>
    <row r="11" spans="1:11" x14ac:dyDescent="0.2">
      <c r="A11" s="127"/>
      <c r="B11" s="129"/>
      <c r="C11" s="107"/>
      <c r="D11" s="107"/>
      <c r="E11" s="107"/>
      <c r="F11" s="107"/>
      <c r="G11" s="107"/>
      <c r="H11" s="107"/>
      <c r="I11" s="107"/>
      <c r="J11" s="107"/>
      <c r="K11" s="107"/>
    </row>
    <row r="12" spans="1:11" x14ac:dyDescent="0.2">
      <c r="A12" s="124"/>
      <c r="B12" s="145" t="s">
        <v>163</v>
      </c>
      <c r="C12" s="145" t="s">
        <v>163</v>
      </c>
      <c r="D12" s="145"/>
      <c r="E12" s="107"/>
    </row>
    <row r="13" spans="1:11" ht="38.25" x14ac:dyDescent="0.2">
      <c r="A13" s="125"/>
      <c r="B13" s="125" t="s">
        <v>316</v>
      </c>
      <c r="C13" s="125" t="s">
        <v>15</v>
      </c>
      <c r="D13" s="107"/>
      <c r="E13" s="117" t="s">
        <v>164</v>
      </c>
    </row>
    <row r="14" spans="1:11" x14ac:dyDescent="0.2">
      <c r="A14" s="137">
        <v>42156</v>
      </c>
      <c r="B14" s="138">
        <v>5748</v>
      </c>
      <c r="C14" s="138">
        <v>2440</v>
      </c>
      <c r="D14" s="107"/>
      <c r="E14" s="146"/>
    </row>
    <row r="15" spans="1:11" x14ac:dyDescent="0.2">
      <c r="A15" s="137">
        <v>42248</v>
      </c>
      <c r="B15" s="138">
        <v>12856</v>
      </c>
      <c r="C15" s="138">
        <f>C17*0.5</f>
        <v>4878.5</v>
      </c>
      <c r="D15" s="107"/>
      <c r="E15" s="146"/>
    </row>
    <row r="16" spans="1:11" x14ac:dyDescent="0.2">
      <c r="A16" s="137">
        <v>42339</v>
      </c>
      <c r="B16" s="138">
        <v>21470</v>
      </c>
      <c r="C16" s="138">
        <f>C17*0.75</f>
        <v>7317.75</v>
      </c>
      <c r="D16" s="107"/>
      <c r="E16" s="146"/>
    </row>
    <row r="17" spans="1:14" x14ac:dyDescent="0.2">
      <c r="A17" s="137">
        <v>42430</v>
      </c>
      <c r="B17" s="138">
        <v>28972</v>
      </c>
      <c r="C17" s="138">
        <v>9757</v>
      </c>
      <c r="D17" s="147"/>
      <c r="E17" s="146"/>
    </row>
    <row r="18" spans="1:14" x14ac:dyDescent="0.2">
      <c r="A18" s="137">
        <v>42522</v>
      </c>
      <c r="B18" s="138">
        <f>SUM($E$18:E18)</f>
        <v>6192</v>
      </c>
      <c r="C18" s="138">
        <v>2440</v>
      </c>
      <c r="D18" s="107" t="s">
        <v>368</v>
      </c>
      <c r="E18" s="146">
        <v>6192</v>
      </c>
    </row>
    <row r="19" spans="1:14" x14ac:dyDescent="0.2">
      <c r="A19" s="137">
        <v>42614</v>
      </c>
      <c r="B19" s="138">
        <f>SUM($E$18:E19)</f>
        <v>11370</v>
      </c>
      <c r="C19" s="138">
        <v>4879</v>
      </c>
      <c r="D19" s="107" t="s">
        <v>368</v>
      </c>
      <c r="E19" s="146">
        <v>5178</v>
      </c>
    </row>
    <row r="20" spans="1:14" x14ac:dyDescent="0.2">
      <c r="A20" s="137">
        <v>42705</v>
      </c>
      <c r="B20" s="138">
        <f>SUM($E$18:E20)</f>
        <v>16831</v>
      </c>
      <c r="C20" s="138">
        <v>7318</v>
      </c>
      <c r="D20" s="107"/>
      <c r="E20" s="146">
        <v>5461</v>
      </c>
    </row>
    <row r="21" spans="1:14" x14ac:dyDescent="0.2">
      <c r="A21" s="137">
        <v>42795</v>
      </c>
      <c r="B21" s="138">
        <f>SUM($E$18:E21)</f>
        <v>22291</v>
      </c>
      <c r="C21" s="138">
        <v>9757</v>
      </c>
      <c r="D21" s="401"/>
      <c r="E21" s="146">
        <v>5460</v>
      </c>
    </row>
    <row r="22" spans="1:14" x14ac:dyDescent="0.2">
      <c r="A22" s="137">
        <v>42887</v>
      </c>
      <c r="B22" s="138">
        <f>SUM($E$22:E22)</f>
        <v>3932</v>
      </c>
      <c r="C22" s="138">
        <f>C25/4</f>
        <v>2434.5</v>
      </c>
      <c r="E22" s="119">
        <v>3932</v>
      </c>
    </row>
    <row r="23" spans="1:14" x14ac:dyDescent="0.2">
      <c r="A23" s="137">
        <v>42979</v>
      </c>
      <c r="B23" s="138">
        <f>SUM($E$22:E23)</f>
        <v>7878</v>
      </c>
      <c r="C23" s="138">
        <f>C25/2</f>
        <v>4869</v>
      </c>
      <c r="E23" s="119">
        <v>3946</v>
      </c>
    </row>
    <row r="24" spans="1:14" x14ac:dyDescent="0.2">
      <c r="A24" s="137"/>
      <c r="B24" s="138"/>
      <c r="C24" s="138">
        <f>C25/4*3</f>
        <v>7303.5</v>
      </c>
      <c r="E24" s="119"/>
    </row>
    <row r="25" spans="1:14" x14ac:dyDescent="0.2">
      <c r="A25" s="137"/>
      <c r="B25" s="138"/>
      <c r="C25" s="138">
        <v>9738</v>
      </c>
      <c r="E25" s="119"/>
    </row>
    <row r="26" spans="1:14" x14ac:dyDescent="0.2">
      <c r="A26" s="137"/>
      <c r="B26" s="138"/>
      <c r="C26" s="138"/>
      <c r="E26" s="119"/>
    </row>
    <row r="27" spans="1:14" x14ac:dyDescent="0.2">
      <c r="A27" s="137"/>
      <c r="B27" s="138"/>
      <c r="C27" s="138"/>
      <c r="E27" s="119"/>
    </row>
    <row r="28" spans="1:14" x14ac:dyDescent="0.2">
      <c r="A28" s="137"/>
      <c r="B28" s="138"/>
      <c r="C28" s="138"/>
      <c r="E28" s="119"/>
    </row>
    <row r="29" spans="1:14" x14ac:dyDescent="0.2">
      <c r="A29" s="137"/>
      <c r="B29" s="138"/>
      <c r="C29" s="138"/>
      <c r="E29" s="119"/>
    </row>
    <row r="30" spans="1:14" x14ac:dyDescent="0.2">
      <c r="A30" s="148"/>
      <c r="D30" s="101" t="s">
        <v>368</v>
      </c>
    </row>
    <row r="31" spans="1:14" x14ac:dyDescent="0.2">
      <c r="A31" s="692" t="s">
        <v>68</v>
      </c>
      <c r="D31" s="462" t="s">
        <v>368</v>
      </c>
      <c r="N31" s="127" t="s">
        <v>222</v>
      </c>
    </row>
    <row r="32" spans="1:14" x14ac:dyDescent="0.2">
      <c r="A32" s="148"/>
    </row>
    <row r="33" spans="1:1" x14ac:dyDescent="0.2">
      <c r="A33" s="148"/>
    </row>
    <row r="34" spans="1:1" x14ac:dyDescent="0.2">
      <c r="A34" s="148"/>
    </row>
    <row r="35" spans="1:1" x14ac:dyDescent="0.2">
      <c r="A35" s="148"/>
    </row>
    <row r="36" spans="1:1" x14ac:dyDescent="0.2">
      <c r="A36" s="148"/>
    </row>
    <row r="37" spans="1:1" x14ac:dyDescent="0.2">
      <c r="A37" s="148"/>
    </row>
    <row r="38" spans="1:1" x14ac:dyDescent="0.2">
      <c r="A38" s="148"/>
    </row>
    <row r="39" spans="1:1" x14ac:dyDescent="0.2">
      <c r="A39" s="148"/>
    </row>
    <row r="40" spans="1:1" x14ac:dyDescent="0.2">
      <c r="A40" s="148"/>
    </row>
    <row r="41" spans="1:1" x14ac:dyDescent="0.2">
      <c r="A41" s="148"/>
    </row>
    <row r="42" spans="1:1" x14ac:dyDescent="0.2">
      <c r="A42" s="148"/>
    </row>
    <row r="43" spans="1:1" x14ac:dyDescent="0.2">
      <c r="A43" s="148"/>
    </row>
    <row r="44" spans="1:1" x14ac:dyDescent="0.2">
      <c r="A44" s="148"/>
    </row>
    <row r="45" spans="1:1" x14ac:dyDescent="0.2">
      <c r="A45" s="148"/>
    </row>
    <row r="56" spans="1:1" x14ac:dyDescent="0.2">
      <c r="A56" s="127" t="s">
        <v>450</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42" orientation="portrait" r:id="rId1"/>
  <ignoredErrors>
    <ignoredError sqref="B19:B20"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G16"/>
  <sheetViews>
    <sheetView workbookViewId="0"/>
  </sheetViews>
  <sheetFormatPr defaultColWidth="9.140625" defaultRowHeight="12.75" x14ac:dyDescent="0.2"/>
  <cols>
    <col min="1" max="1" width="18.85546875" style="141" bestFit="1" customWidth="1"/>
    <col min="2" max="16384" width="9.140625" style="141"/>
  </cols>
  <sheetData>
    <row r="1" spans="1:7" x14ac:dyDescent="0.2">
      <c r="A1" s="106" t="s">
        <v>345</v>
      </c>
      <c r="B1" s="107"/>
      <c r="C1" s="107"/>
      <c r="D1" s="107"/>
      <c r="F1" s="107"/>
      <c r="G1" s="107"/>
    </row>
    <row r="2" spans="1:7" x14ac:dyDescent="0.2">
      <c r="A2" s="106"/>
      <c r="B2" s="107"/>
      <c r="C2" s="107"/>
      <c r="D2" s="107"/>
      <c r="F2" s="107"/>
      <c r="G2" s="107"/>
    </row>
    <row r="3" spans="1:7" x14ac:dyDescent="0.2">
      <c r="A3" s="127" t="s">
        <v>710</v>
      </c>
      <c r="B3" s="129" t="s">
        <v>82</v>
      </c>
      <c r="C3" s="107"/>
      <c r="D3" s="107"/>
      <c r="E3" s="107"/>
      <c r="F3" s="107"/>
      <c r="G3" s="107"/>
    </row>
    <row r="4" spans="1:7" x14ac:dyDescent="0.2">
      <c r="A4" s="127" t="s">
        <v>144</v>
      </c>
      <c r="B4" s="409" t="s">
        <v>222</v>
      </c>
      <c r="C4" s="107"/>
      <c r="D4" s="107"/>
      <c r="E4" s="107"/>
      <c r="F4" s="107"/>
      <c r="G4" s="107"/>
    </row>
    <row r="5" spans="1:7" x14ac:dyDescent="0.2">
      <c r="A5" s="127" t="s">
        <v>206</v>
      </c>
      <c r="B5" s="128" t="s">
        <v>223</v>
      </c>
      <c r="C5" s="107"/>
      <c r="D5" s="107"/>
      <c r="E5" s="107"/>
      <c r="F5" s="107"/>
      <c r="G5" s="107"/>
    </row>
    <row r="6" spans="1:7" x14ac:dyDescent="0.2">
      <c r="A6" s="149"/>
    </row>
    <row r="7" spans="1:7" x14ac:dyDescent="0.2">
      <c r="A7" s="130"/>
      <c r="B7" s="150" t="s">
        <v>128</v>
      </c>
      <c r="C7" s="150" t="s">
        <v>68</v>
      </c>
      <c r="D7" s="150" t="s">
        <v>222</v>
      </c>
      <c r="E7" s="150" t="s">
        <v>450</v>
      </c>
      <c r="F7" s="150" t="s">
        <v>451</v>
      </c>
    </row>
    <row r="8" spans="1:7" x14ac:dyDescent="0.2">
      <c r="A8" s="134" t="s">
        <v>369</v>
      </c>
      <c r="B8" s="151">
        <v>99252</v>
      </c>
      <c r="C8" s="151">
        <v>97245</v>
      </c>
      <c r="D8" s="151">
        <v>86560</v>
      </c>
      <c r="E8" s="151"/>
      <c r="F8" s="151"/>
    </row>
    <row r="9" spans="1:7" x14ac:dyDescent="0.2">
      <c r="A9" s="134" t="s">
        <v>221</v>
      </c>
      <c r="B9" s="151">
        <f>(B8/100)*14.5</f>
        <v>14391.539999999999</v>
      </c>
      <c r="C9" s="151">
        <f>(C8/100)*14.5</f>
        <v>14100.525000000001</v>
      </c>
      <c r="D9" s="152">
        <f>(D8/100)*14.66</f>
        <v>12689.696</v>
      </c>
      <c r="E9" s="416">
        <f>(E8/100)*14.76</f>
        <v>0</v>
      </c>
      <c r="F9" s="410"/>
    </row>
    <row r="10" spans="1:7" x14ac:dyDescent="0.2">
      <c r="A10" s="134" t="s">
        <v>370</v>
      </c>
      <c r="B10" s="151">
        <v>24386</v>
      </c>
      <c r="C10" s="151">
        <v>28972</v>
      </c>
      <c r="D10" s="151">
        <v>21828</v>
      </c>
      <c r="E10" s="151"/>
      <c r="F10" s="151"/>
    </row>
    <row r="13" spans="1:7" x14ac:dyDescent="0.2">
      <c r="A13" s="331" t="s">
        <v>566</v>
      </c>
    </row>
    <row r="14" spans="1:7" x14ac:dyDescent="0.2">
      <c r="A14" s="612" t="s">
        <v>567</v>
      </c>
    </row>
    <row r="16" spans="1:7" x14ac:dyDescent="0.2">
      <c r="B16" s="153"/>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W18"/>
  <sheetViews>
    <sheetView workbookViewId="0">
      <pane xSplit="1" topLeftCell="B1" activePane="topRight" state="frozen"/>
      <selection pane="topRight"/>
    </sheetView>
  </sheetViews>
  <sheetFormatPr defaultColWidth="9.140625" defaultRowHeight="12.75" x14ac:dyDescent="0.2"/>
  <cols>
    <col min="1" max="1" width="19.85546875" style="107" bestFit="1" customWidth="1"/>
    <col min="2" max="2" width="11.140625" style="107" bestFit="1" customWidth="1"/>
    <col min="3" max="16384" width="9.140625" style="107"/>
  </cols>
  <sheetData>
    <row r="1" spans="1:49" x14ac:dyDescent="0.2">
      <c r="A1" s="106" t="s">
        <v>345</v>
      </c>
    </row>
    <row r="3" spans="1:49" x14ac:dyDescent="0.2">
      <c r="A3" s="108" t="s">
        <v>436</v>
      </c>
      <c r="B3" s="107" t="s">
        <v>440</v>
      </c>
    </row>
    <row r="4" spans="1:49" x14ac:dyDescent="0.2">
      <c r="A4" s="108" t="s">
        <v>143</v>
      </c>
      <c r="B4" s="110">
        <f>HLOOKUP(MAX(B9:AW9),A9:AW13,2,0)</f>
        <v>0.89200000000000002</v>
      </c>
    </row>
    <row r="5" spans="1:49" x14ac:dyDescent="0.2">
      <c r="A5" s="108" t="s">
        <v>118</v>
      </c>
      <c r="B5" s="128">
        <f>MAX(B9:AW9)</f>
        <v>43040</v>
      </c>
    </row>
    <row r="6" spans="1:49" x14ac:dyDescent="0.2">
      <c r="A6" s="108" t="s">
        <v>195</v>
      </c>
      <c r="B6" s="128"/>
    </row>
    <row r="7" spans="1:49" x14ac:dyDescent="0.2">
      <c r="A7" s="108" t="s">
        <v>438</v>
      </c>
      <c r="B7" s="129" t="s">
        <v>271</v>
      </c>
    </row>
    <row r="9" spans="1:49" x14ac:dyDescent="0.2">
      <c r="A9" s="117"/>
      <c r="B9" s="114">
        <v>42095</v>
      </c>
      <c r="C9" s="114">
        <v>42125</v>
      </c>
      <c r="D9" s="114">
        <v>42156</v>
      </c>
      <c r="E9" s="114">
        <v>42186</v>
      </c>
      <c r="F9" s="142">
        <v>42217</v>
      </c>
      <c r="G9" s="114">
        <v>42248</v>
      </c>
      <c r="H9" s="114">
        <v>42278</v>
      </c>
      <c r="I9" s="114">
        <v>42309</v>
      </c>
      <c r="J9" s="114">
        <v>42339</v>
      </c>
      <c r="K9" s="114">
        <v>42370</v>
      </c>
      <c r="L9" s="114">
        <v>42401</v>
      </c>
      <c r="M9" s="114">
        <v>42430</v>
      </c>
      <c r="N9" s="114">
        <v>42461</v>
      </c>
      <c r="O9" s="114">
        <v>42491</v>
      </c>
      <c r="P9" s="114">
        <v>42522</v>
      </c>
      <c r="Q9" s="114">
        <v>42552</v>
      </c>
      <c r="R9" s="114">
        <v>42583</v>
      </c>
      <c r="S9" s="114">
        <v>42614</v>
      </c>
      <c r="T9" s="114">
        <v>42644</v>
      </c>
      <c r="U9" s="114">
        <v>42675</v>
      </c>
      <c r="V9" s="114">
        <v>42705</v>
      </c>
      <c r="W9" s="114">
        <v>42736</v>
      </c>
      <c r="X9" s="114">
        <v>42767</v>
      </c>
      <c r="Y9" s="114">
        <v>42795</v>
      </c>
      <c r="Z9" s="114">
        <v>42826</v>
      </c>
      <c r="AA9" s="114">
        <v>42856</v>
      </c>
      <c r="AB9" s="114">
        <v>42887</v>
      </c>
      <c r="AC9" s="114">
        <v>42917</v>
      </c>
      <c r="AD9" s="114">
        <v>42948</v>
      </c>
      <c r="AE9" s="114">
        <v>42979</v>
      </c>
      <c r="AF9" s="114">
        <v>43009</v>
      </c>
      <c r="AG9" s="114">
        <v>43040</v>
      </c>
      <c r="AH9" s="114"/>
      <c r="AI9" s="114"/>
      <c r="AJ9" s="114"/>
      <c r="AK9" s="114"/>
      <c r="AL9" s="114"/>
      <c r="AM9" s="114"/>
      <c r="AN9" s="114"/>
      <c r="AO9" s="114"/>
      <c r="AP9" s="114"/>
      <c r="AQ9" s="114"/>
      <c r="AR9" s="114"/>
      <c r="AS9" s="114"/>
      <c r="AT9" s="114"/>
      <c r="AU9" s="114"/>
      <c r="AV9" s="114"/>
      <c r="AW9" s="114"/>
    </row>
    <row r="10" spans="1:49" x14ac:dyDescent="0.2">
      <c r="A10" s="134" t="s">
        <v>65</v>
      </c>
      <c r="B10" s="87">
        <v>0.876</v>
      </c>
      <c r="C10" s="87">
        <v>0.85899999999999999</v>
      </c>
      <c r="D10" s="87">
        <v>0.9</v>
      </c>
      <c r="E10" s="87">
        <v>0.89100000000000001</v>
      </c>
      <c r="F10" s="87">
        <v>0.84399999999999997</v>
      </c>
      <c r="G10" s="87">
        <v>0.88100000000000001</v>
      </c>
      <c r="H10" s="87">
        <v>0.85899999999999999</v>
      </c>
      <c r="I10" s="87">
        <v>0.89700000000000002</v>
      </c>
      <c r="J10" s="87">
        <v>0.871</v>
      </c>
      <c r="K10" s="87">
        <v>0.85699999999999998</v>
      </c>
      <c r="L10" s="87">
        <v>0.90700000000000003</v>
      </c>
      <c r="M10" s="87">
        <v>0.90800000000000003</v>
      </c>
      <c r="N10" s="87">
        <v>0.88200000000000001</v>
      </c>
      <c r="O10" s="87">
        <v>0.86899999999999999</v>
      </c>
      <c r="P10" s="87">
        <v>0.86599999999999999</v>
      </c>
      <c r="Q10" s="87">
        <v>0.88900000000000001</v>
      </c>
      <c r="R10" s="87">
        <v>0.86</v>
      </c>
      <c r="S10" s="87">
        <v>0.88800000000000001</v>
      </c>
      <c r="T10" s="87">
        <v>0.871</v>
      </c>
      <c r="U10" s="87">
        <v>0.88700000000000001</v>
      </c>
      <c r="V10" s="87">
        <v>0.89</v>
      </c>
      <c r="W10" s="87">
        <v>0.88500000000000001</v>
      </c>
      <c r="X10" s="87">
        <v>0.85899999999999999</v>
      </c>
      <c r="Y10" s="87">
        <v>0.88900000000000001</v>
      </c>
      <c r="Z10" s="87">
        <v>0.81499999999999995</v>
      </c>
      <c r="AA10" s="87">
        <v>0.88800000000000001</v>
      </c>
      <c r="AB10" s="87">
        <v>0.89200000000000002</v>
      </c>
      <c r="AC10" s="87">
        <v>0.91600000000000004</v>
      </c>
      <c r="AD10" s="87">
        <v>0.88200000000000001</v>
      </c>
      <c r="AE10" s="87">
        <v>0.88500000000000001</v>
      </c>
      <c r="AF10" s="87">
        <v>0.88600000000000001</v>
      </c>
      <c r="AG10" s="87">
        <v>0.89200000000000002</v>
      </c>
      <c r="AH10" s="87"/>
      <c r="AI10" s="87"/>
      <c r="AJ10" s="87"/>
      <c r="AK10" s="87"/>
      <c r="AL10" s="87"/>
      <c r="AM10" s="87"/>
      <c r="AN10" s="87"/>
      <c r="AO10" s="87"/>
      <c r="AP10" s="87"/>
      <c r="AQ10" s="87"/>
      <c r="AR10" s="87"/>
      <c r="AS10" s="87"/>
      <c r="AT10" s="87"/>
      <c r="AU10" s="87"/>
      <c r="AV10" s="87"/>
      <c r="AW10" s="87"/>
    </row>
    <row r="11" spans="1:49" x14ac:dyDescent="0.2">
      <c r="A11" s="134" t="s">
        <v>120</v>
      </c>
      <c r="B11" s="143">
        <v>3</v>
      </c>
      <c r="C11" s="143">
        <v>1</v>
      </c>
      <c r="D11" s="143">
        <v>5</v>
      </c>
      <c r="E11" s="143">
        <v>1</v>
      </c>
      <c r="F11" s="143">
        <v>1</v>
      </c>
      <c r="G11" s="143">
        <v>2</v>
      </c>
      <c r="H11" s="143">
        <v>1</v>
      </c>
      <c r="I11" s="143">
        <v>1</v>
      </c>
      <c r="J11" s="143">
        <v>1</v>
      </c>
      <c r="K11" s="143">
        <v>1</v>
      </c>
      <c r="L11" s="143">
        <v>3</v>
      </c>
      <c r="M11" s="143">
        <v>1</v>
      </c>
      <c r="N11" s="143">
        <v>1</v>
      </c>
      <c r="O11" s="143">
        <v>4</v>
      </c>
      <c r="P11" s="143">
        <v>1</v>
      </c>
      <c r="Q11" s="143">
        <v>5</v>
      </c>
      <c r="R11" s="143">
        <v>1</v>
      </c>
      <c r="S11" s="143">
        <v>1</v>
      </c>
      <c r="T11" s="143">
        <v>1</v>
      </c>
      <c r="U11" s="143">
        <v>3</v>
      </c>
      <c r="V11" s="143">
        <v>4</v>
      </c>
      <c r="W11" s="143">
        <v>1</v>
      </c>
      <c r="X11" s="143">
        <v>3</v>
      </c>
      <c r="Y11" s="143">
        <v>5</v>
      </c>
      <c r="Z11" s="143">
        <v>1</v>
      </c>
      <c r="AA11" s="143">
        <v>1</v>
      </c>
      <c r="AB11" s="143">
        <v>1</v>
      </c>
      <c r="AC11" s="143">
        <v>5</v>
      </c>
      <c r="AD11" s="143">
        <v>1</v>
      </c>
      <c r="AE11" s="143">
        <v>3</v>
      </c>
      <c r="AF11" s="143">
        <v>1</v>
      </c>
      <c r="AG11" s="143">
        <v>1</v>
      </c>
      <c r="AH11" s="143"/>
      <c r="AI11" s="143"/>
      <c r="AJ11" s="143"/>
      <c r="AK11" s="143"/>
      <c r="AL11" s="143"/>
      <c r="AM11" s="143"/>
      <c r="AN11" s="143"/>
      <c r="AO11" s="143"/>
      <c r="AP11" s="143"/>
      <c r="AQ11" s="143"/>
      <c r="AR11" s="143"/>
      <c r="AS11" s="143"/>
      <c r="AT11" s="143"/>
      <c r="AU11" s="143"/>
      <c r="AV11" s="143"/>
      <c r="AW11" s="143"/>
    </row>
    <row r="12" spans="1:49" x14ac:dyDescent="0.2">
      <c r="A12" s="134" t="s">
        <v>768</v>
      </c>
      <c r="B12" s="144">
        <v>161</v>
      </c>
      <c r="C12" s="144">
        <v>213</v>
      </c>
      <c r="D12" s="144">
        <v>120</v>
      </c>
      <c r="E12" s="144">
        <v>192</v>
      </c>
      <c r="F12" s="144">
        <v>173</v>
      </c>
      <c r="G12" s="144">
        <v>176</v>
      </c>
      <c r="H12" s="144">
        <v>206</v>
      </c>
      <c r="I12" s="144">
        <v>185</v>
      </c>
      <c r="J12" s="144">
        <v>171</v>
      </c>
      <c r="K12" s="144">
        <v>210</v>
      </c>
      <c r="L12" s="144">
        <v>151</v>
      </c>
      <c r="M12" s="144">
        <v>174</v>
      </c>
      <c r="N12" s="144">
        <v>169</v>
      </c>
      <c r="O12" s="144">
        <v>145</v>
      </c>
      <c r="P12" s="144">
        <v>186</v>
      </c>
      <c r="Q12" s="144">
        <v>126</v>
      </c>
      <c r="R12" s="144">
        <v>200</v>
      </c>
      <c r="S12" s="144">
        <v>170</v>
      </c>
      <c r="T12" s="144">
        <v>186</v>
      </c>
      <c r="U12" s="144">
        <v>168</v>
      </c>
      <c r="V12" s="144">
        <v>118</v>
      </c>
      <c r="W12" s="144">
        <v>192</v>
      </c>
      <c r="X12" s="144">
        <v>128</v>
      </c>
      <c r="Y12" s="144">
        <v>99</v>
      </c>
      <c r="Z12" s="144">
        <v>173</v>
      </c>
      <c r="AA12" s="144">
        <v>179</v>
      </c>
      <c r="AB12" s="144">
        <v>166</v>
      </c>
      <c r="AC12" s="144">
        <v>119</v>
      </c>
      <c r="AD12" s="144">
        <v>187</v>
      </c>
      <c r="AE12" s="144">
        <v>156</v>
      </c>
      <c r="AF12" s="144">
        <v>175</v>
      </c>
      <c r="AG12" s="144">
        <v>185</v>
      </c>
      <c r="AH12" s="144"/>
      <c r="AI12" s="144"/>
      <c r="AJ12" s="144"/>
      <c r="AK12" s="144"/>
      <c r="AL12" s="144"/>
      <c r="AM12" s="144"/>
      <c r="AN12" s="144"/>
      <c r="AO12" s="144"/>
      <c r="AP12" s="144"/>
      <c r="AQ12" s="144"/>
      <c r="AR12" s="144"/>
      <c r="AS12" s="144"/>
      <c r="AT12" s="144"/>
      <c r="AU12" s="144"/>
      <c r="AV12" s="144"/>
      <c r="AW12" s="144"/>
    </row>
    <row r="13" spans="1:49" x14ac:dyDescent="0.2">
      <c r="A13" s="117" t="s">
        <v>64</v>
      </c>
      <c r="B13" s="144">
        <v>141</v>
      </c>
      <c r="C13" s="144">
        <v>183</v>
      </c>
      <c r="D13" s="144">
        <v>108</v>
      </c>
      <c r="E13" s="144">
        <v>171</v>
      </c>
      <c r="F13" s="144">
        <v>146</v>
      </c>
      <c r="G13" s="144">
        <v>155</v>
      </c>
      <c r="H13" s="144">
        <v>177</v>
      </c>
      <c r="I13" s="144">
        <v>166</v>
      </c>
      <c r="J13" s="144">
        <v>149</v>
      </c>
      <c r="K13" s="144">
        <v>180</v>
      </c>
      <c r="L13" s="144">
        <v>137</v>
      </c>
      <c r="M13" s="144">
        <v>158</v>
      </c>
      <c r="N13" s="144">
        <v>149</v>
      </c>
      <c r="O13" s="144">
        <v>126</v>
      </c>
      <c r="P13" s="144">
        <v>161</v>
      </c>
      <c r="Q13" s="144">
        <v>112</v>
      </c>
      <c r="R13" s="144">
        <v>172</v>
      </c>
      <c r="S13" s="144">
        <v>151</v>
      </c>
      <c r="T13" s="144">
        <v>162</v>
      </c>
      <c r="U13" s="144">
        <v>149</v>
      </c>
      <c r="V13" s="144">
        <v>105</v>
      </c>
      <c r="W13" s="144">
        <v>170</v>
      </c>
      <c r="X13" s="144">
        <v>110</v>
      </c>
      <c r="Y13" s="144">
        <v>88</v>
      </c>
      <c r="Z13" s="144">
        <v>141</v>
      </c>
      <c r="AA13" s="144">
        <v>159</v>
      </c>
      <c r="AB13" s="144">
        <v>148</v>
      </c>
      <c r="AC13" s="144">
        <v>109</v>
      </c>
      <c r="AD13" s="144">
        <v>165</v>
      </c>
      <c r="AE13" s="144">
        <v>138</v>
      </c>
      <c r="AF13" s="144">
        <v>155</v>
      </c>
      <c r="AG13" s="144">
        <v>165</v>
      </c>
      <c r="AH13" s="144"/>
      <c r="AI13" s="144"/>
      <c r="AJ13" s="144"/>
      <c r="AK13" s="144"/>
      <c r="AL13" s="144"/>
      <c r="AM13" s="144"/>
      <c r="AN13" s="144"/>
      <c r="AO13" s="144"/>
      <c r="AP13" s="144"/>
      <c r="AQ13" s="144"/>
      <c r="AR13" s="144"/>
      <c r="AS13" s="144"/>
      <c r="AT13" s="144"/>
      <c r="AU13" s="144"/>
      <c r="AV13" s="144"/>
      <c r="AW13" s="144"/>
    </row>
    <row r="14" spans="1:49" x14ac:dyDescent="0.2">
      <c r="A14" s="59" t="s">
        <v>15</v>
      </c>
      <c r="B14" s="154">
        <v>0.8</v>
      </c>
      <c r="C14" s="154">
        <v>0.8</v>
      </c>
      <c r="D14" s="154">
        <v>0.8</v>
      </c>
      <c r="E14" s="154">
        <v>0.8</v>
      </c>
      <c r="F14" s="154">
        <v>0.8</v>
      </c>
      <c r="G14" s="154">
        <v>0.8</v>
      </c>
      <c r="H14" s="154">
        <v>0.8</v>
      </c>
      <c r="I14" s="154">
        <v>0.8</v>
      </c>
      <c r="J14" s="154">
        <v>0.8</v>
      </c>
      <c r="K14" s="154">
        <v>0.8</v>
      </c>
      <c r="L14" s="154">
        <v>0.8</v>
      </c>
      <c r="M14" s="154">
        <v>0.8</v>
      </c>
      <c r="N14" s="154">
        <v>0.8</v>
      </c>
      <c r="O14" s="154">
        <v>0.8</v>
      </c>
      <c r="P14" s="154">
        <v>0.8</v>
      </c>
      <c r="Q14" s="154">
        <v>0.8</v>
      </c>
      <c r="R14" s="154">
        <v>0.8</v>
      </c>
      <c r="S14" s="154">
        <v>0.8</v>
      </c>
      <c r="T14" s="154">
        <v>0.8</v>
      </c>
      <c r="U14" s="154">
        <v>0.8</v>
      </c>
      <c r="V14" s="154">
        <v>0.8</v>
      </c>
      <c r="W14" s="154">
        <v>0.8</v>
      </c>
      <c r="X14" s="154">
        <v>0.8</v>
      </c>
      <c r="Y14" s="154">
        <v>0.8</v>
      </c>
      <c r="Z14" s="154">
        <v>0.8</v>
      </c>
      <c r="AA14" s="154">
        <v>0.8</v>
      </c>
      <c r="AB14" s="154">
        <v>0.8</v>
      </c>
      <c r="AC14" s="154">
        <v>0.8</v>
      </c>
      <c r="AD14" s="154">
        <v>0.8</v>
      </c>
      <c r="AE14" s="154">
        <v>0.8</v>
      </c>
      <c r="AF14" s="154">
        <v>0.8</v>
      </c>
      <c r="AG14" s="154">
        <v>0.8</v>
      </c>
      <c r="AH14" s="154">
        <v>0.8</v>
      </c>
      <c r="AI14" s="154">
        <v>0.8</v>
      </c>
      <c r="AJ14" s="154">
        <v>0.8</v>
      </c>
      <c r="AK14" s="154">
        <v>0.8</v>
      </c>
      <c r="AL14" s="154">
        <v>0.8</v>
      </c>
      <c r="AM14" s="154">
        <v>0.8</v>
      </c>
      <c r="AN14" s="154">
        <v>0.8</v>
      </c>
      <c r="AO14" s="154">
        <v>0.8</v>
      </c>
      <c r="AP14" s="154">
        <v>0.8</v>
      </c>
      <c r="AQ14" s="154">
        <v>0.8</v>
      </c>
      <c r="AR14" s="154">
        <v>0.8</v>
      </c>
      <c r="AS14" s="154">
        <v>0.8</v>
      </c>
      <c r="AT14" s="154">
        <v>0.8</v>
      </c>
      <c r="AU14" s="154">
        <v>0.8</v>
      </c>
      <c r="AV14" s="154">
        <v>0.8</v>
      </c>
      <c r="AW14" s="154">
        <v>0.8</v>
      </c>
    </row>
    <row r="15" spans="1:49" x14ac:dyDescent="0.2">
      <c r="B15" s="155"/>
      <c r="C15" s="155"/>
      <c r="D15" s="155"/>
      <c r="E15" s="155"/>
      <c r="F15" s="155"/>
      <c r="G15" s="155"/>
      <c r="H15" s="155"/>
      <c r="I15" s="155"/>
      <c r="J15" s="155"/>
      <c r="K15" s="155"/>
      <c r="L15" s="155"/>
      <c r="M15" s="155"/>
      <c r="N15" s="155"/>
      <c r="O15" s="155"/>
      <c r="P15" s="155"/>
      <c r="Q15" s="155"/>
      <c r="R15" s="155"/>
      <c r="S15" s="155"/>
      <c r="T15" s="155"/>
      <c r="U15" s="354"/>
      <c r="V15" s="354"/>
      <c r="W15" s="354"/>
      <c r="X15" s="354"/>
      <c r="Y15" s="354"/>
    </row>
    <row r="18" spans="33:33" x14ac:dyDescent="0.2">
      <c r="AG18" s="300"/>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28" orientation="landscape" copies="2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F16"/>
  <sheetViews>
    <sheetView workbookViewId="0"/>
  </sheetViews>
  <sheetFormatPr defaultColWidth="9.140625" defaultRowHeight="12.75" x14ac:dyDescent="0.2"/>
  <cols>
    <col min="1" max="1" width="18.85546875" style="107" bestFit="1" customWidth="1"/>
    <col min="2" max="16384" width="9.140625" style="107"/>
  </cols>
  <sheetData>
    <row r="1" spans="1:6" x14ac:dyDescent="0.2">
      <c r="A1" s="106" t="s">
        <v>345</v>
      </c>
    </row>
    <row r="2" spans="1:6" x14ac:dyDescent="0.2">
      <c r="A2" s="106"/>
    </row>
    <row r="3" spans="1:6" x14ac:dyDescent="0.2">
      <c r="A3" s="127" t="s">
        <v>710</v>
      </c>
      <c r="B3" s="129" t="s">
        <v>82</v>
      </c>
    </row>
    <row r="4" spans="1:6" x14ac:dyDescent="0.2">
      <c r="A4" s="127" t="s">
        <v>144</v>
      </c>
      <c r="B4" s="128" t="s">
        <v>68</v>
      </c>
    </row>
    <row r="5" spans="1:6" x14ac:dyDescent="0.2">
      <c r="A5" s="127" t="s">
        <v>206</v>
      </c>
      <c r="B5" s="128" t="s">
        <v>219</v>
      </c>
    </row>
    <row r="6" spans="1:6" x14ac:dyDescent="0.2">
      <c r="A6" s="124"/>
    </row>
    <row r="7" spans="1:6" x14ac:dyDescent="0.2">
      <c r="A7" s="130"/>
      <c r="B7" s="150" t="s">
        <v>128</v>
      </c>
      <c r="C7" s="150" t="s">
        <v>68</v>
      </c>
      <c r="D7" s="150" t="s">
        <v>222</v>
      </c>
      <c r="E7" s="150" t="s">
        <v>450</v>
      </c>
      <c r="F7" s="150" t="s">
        <v>451</v>
      </c>
    </row>
    <row r="8" spans="1:6" x14ac:dyDescent="0.2">
      <c r="A8" s="134" t="s">
        <v>369</v>
      </c>
      <c r="B8" s="135">
        <v>0.82299999999999995</v>
      </c>
      <c r="C8" s="135">
        <v>0.85899999999999999</v>
      </c>
      <c r="D8" s="135"/>
      <c r="E8" s="151"/>
      <c r="F8" s="151"/>
    </row>
    <row r="9" spans="1:6" x14ac:dyDescent="0.2">
      <c r="A9" s="134" t="s">
        <v>370</v>
      </c>
      <c r="B9" s="135">
        <v>0.89</v>
      </c>
      <c r="C9" s="135">
        <v>0.88300000000000001</v>
      </c>
      <c r="D9" s="135"/>
      <c r="E9" s="410"/>
      <c r="F9" s="410"/>
    </row>
    <row r="16" spans="1:6" x14ac:dyDescent="0.2">
      <c r="B16" s="15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W175"/>
  <sheetViews>
    <sheetView workbookViewId="0">
      <pane xSplit="1" topLeftCell="B1" activePane="topRight" state="frozen"/>
      <selection pane="topRight"/>
    </sheetView>
  </sheetViews>
  <sheetFormatPr defaultColWidth="9.140625" defaultRowHeight="12.75" x14ac:dyDescent="0.2"/>
  <cols>
    <col min="1" max="1" width="27.140625" style="107" customWidth="1"/>
    <col min="2" max="16384" width="9.140625" style="107"/>
  </cols>
  <sheetData>
    <row r="1" spans="1:49" x14ac:dyDescent="0.2">
      <c r="A1" s="106" t="s">
        <v>345</v>
      </c>
      <c r="B1" s="186"/>
    </row>
    <row r="2" spans="1:49" x14ac:dyDescent="0.2">
      <c r="A2" s="106"/>
      <c r="B2" s="802"/>
    </row>
    <row r="3" spans="1:49" x14ac:dyDescent="0.2">
      <c r="A3" s="108" t="s">
        <v>436</v>
      </c>
      <c r="B3" s="316" t="s">
        <v>693</v>
      </c>
      <c r="C3" s="322"/>
      <c r="D3" s="322"/>
      <c r="E3" s="322"/>
      <c r="F3" s="322"/>
      <c r="G3" s="322"/>
      <c r="H3" s="322"/>
      <c r="I3" s="322"/>
      <c r="J3" s="322"/>
      <c r="K3" s="322"/>
      <c r="L3" s="322"/>
      <c r="M3" s="322"/>
      <c r="N3" s="322"/>
      <c r="O3" s="322"/>
      <c r="P3" s="322"/>
      <c r="Q3" s="322"/>
      <c r="R3" s="322"/>
      <c r="S3" s="322"/>
      <c r="T3" s="109"/>
      <c r="U3" s="109"/>
      <c r="V3" s="109"/>
    </row>
    <row r="4" spans="1:49" x14ac:dyDescent="0.2">
      <c r="A4" s="108" t="s">
        <v>143</v>
      </c>
      <c r="B4" s="110">
        <f>HLOOKUP(MAX(B9:AW9),A9:AW16,2,0)</f>
        <v>0.58278145695364236</v>
      </c>
      <c r="C4" s="109"/>
      <c r="D4" s="109"/>
      <c r="E4" s="109"/>
      <c r="F4" s="109"/>
      <c r="G4" s="109"/>
      <c r="H4" s="109"/>
      <c r="I4" s="109"/>
      <c r="J4" s="109"/>
      <c r="K4" s="109"/>
      <c r="L4" s="109"/>
      <c r="M4" s="109"/>
      <c r="N4" s="109"/>
      <c r="O4" s="109"/>
      <c r="P4" s="109"/>
      <c r="Q4" s="109"/>
      <c r="R4" s="109"/>
      <c r="S4" s="109"/>
      <c r="T4" s="109"/>
      <c r="U4" s="109"/>
      <c r="V4" s="109"/>
    </row>
    <row r="5" spans="1:49" x14ac:dyDescent="0.2">
      <c r="A5" s="108" t="s">
        <v>118</v>
      </c>
      <c r="B5" s="111">
        <f>MAX(B9:AW9)</f>
        <v>43070</v>
      </c>
    </row>
    <row r="6" spans="1:49" x14ac:dyDescent="0.2">
      <c r="A6" s="108" t="s">
        <v>195</v>
      </c>
      <c r="B6" s="548" t="s">
        <v>176</v>
      </c>
    </row>
    <row r="7" spans="1:49" x14ac:dyDescent="0.2">
      <c r="A7" s="108" t="s">
        <v>438</v>
      </c>
      <c r="B7" s="598" t="s">
        <v>743</v>
      </c>
    </row>
    <row r="8" spans="1:49" x14ac:dyDescent="0.2">
      <c r="A8" s="106"/>
    </row>
    <row r="9" spans="1:49" x14ac:dyDescent="0.2">
      <c r="A9" s="113"/>
      <c r="B9" s="114">
        <v>42095</v>
      </c>
      <c r="C9" s="114">
        <v>42125</v>
      </c>
      <c r="D9" s="114">
        <v>42156</v>
      </c>
      <c r="E9" s="114">
        <v>42186</v>
      </c>
      <c r="F9" s="114">
        <v>42217</v>
      </c>
      <c r="G9" s="114">
        <v>42248</v>
      </c>
      <c r="H9" s="114">
        <v>42278</v>
      </c>
      <c r="I9" s="114">
        <v>42309</v>
      </c>
      <c r="J9" s="114">
        <v>42339</v>
      </c>
      <c r="K9" s="114">
        <v>42370</v>
      </c>
      <c r="L9" s="114">
        <v>42401</v>
      </c>
      <c r="M9" s="114">
        <v>42430</v>
      </c>
      <c r="N9" s="114">
        <v>42461</v>
      </c>
      <c r="O9" s="114">
        <v>42491</v>
      </c>
      <c r="P9" s="114">
        <v>42522</v>
      </c>
      <c r="Q9" s="114">
        <v>42552</v>
      </c>
      <c r="R9" s="114">
        <v>42583</v>
      </c>
      <c r="S9" s="114">
        <v>42614</v>
      </c>
      <c r="T9" s="114">
        <v>42644</v>
      </c>
      <c r="U9" s="114">
        <v>42675</v>
      </c>
      <c r="V9" s="114">
        <v>42705</v>
      </c>
      <c r="W9" s="114">
        <v>42736</v>
      </c>
      <c r="X9" s="114">
        <v>42767</v>
      </c>
      <c r="Y9" s="114">
        <v>42795</v>
      </c>
      <c r="Z9" s="114">
        <v>42826</v>
      </c>
      <c r="AA9" s="114">
        <v>42856</v>
      </c>
      <c r="AB9" s="114">
        <v>42887</v>
      </c>
      <c r="AC9" s="114">
        <v>42917</v>
      </c>
      <c r="AD9" s="114">
        <v>42948</v>
      </c>
      <c r="AE9" s="114">
        <v>42979</v>
      </c>
      <c r="AF9" s="114">
        <v>43009</v>
      </c>
      <c r="AG9" s="114">
        <v>43040</v>
      </c>
      <c r="AH9" s="114">
        <v>43070</v>
      </c>
      <c r="AI9" s="114"/>
      <c r="AJ9" s="114"/>
      <c r="AK9" s="114"/>
      <c r="AL9" s="114"/>
      <c r="AM9" s="114"/>
      <c r="AN9" s="114"/>
      <c r="AO9" s="114"/>
      <c r="AP9" s="114"/>
      <c r="AQ9" s="114"/>
      <c r="AR9" s="114"/>
      <c r="AS9" s="114"/>
      <c r="AT9" s="114"/>
      <c r="AU9" s="114"/>
      <c r="AV9" s="114"/>
      <c r="AW9" s="114"/>
    </row>
    <row r="10" spans="1:49" ht="38.25" x14ac:dyDescent="0.2">
      <c r="A10" s="115" t="s">
        <v>447</v>
      </c>
      <c r="B10" s="116">
        <f t="shared" ref="B10:Z10" si="0">B24</f>
        <v>0.5752212389380531</v>
      </c>
      <c r="C10" s="116">
        <f t="shared" si="0"/>
        <v>0.5668016194331984</v>
      </c>
      <c r="D10" s="116">
        <f t="shared" si="0"/>
        <v>0.602112676056338</v>
      </c>
      <c r="E10" s="116">
        <f t="shared" si="0"/>
        <v>0.70666666666666667</v>
      </c>
      <c r="F10" s="116">
        <f t="shared" si="0"/>
        <v>0.7584905660377359</v>
      </c>
      <c r="G10" s="116">
        <f t="shared" si="0"/>
        <v>0.59090909090909094</v>
      </c>
      <c r="H10" s="116">
        <f t="shared" si="0"/>
        <v>0.61373390557939911</v>
      </c>
      <c r="I10" s="116">
        <f t="shared" si="0"/>
        <v>0.53558052434456926</v>
      </c>
      <c r="J10" s="116">
        <f t="shared" si="0"/>
        <v>0.64646464646464652</v>
      </c>
      <c r="K10" s="116">
        <f t="shared" si="0"/>
        <v>0.56281407035175879</v>
      </c>
      <c r="L10" s="116">
        <f t="shared" si="0"/>
        <v>0.72687224669603523</v>
      </c>
      <c r="M10" s="116">
        <f t="shared" si="0"/>
        <v>0.69711538461538458</v>
      </c>
      <c r="N10" s="116">
        <f t="shared" si="0"/>
        <v>0.59514170040485825</v>
      </c>
      <c r="O10" s="116">
        <f t="shared" si="0"/>
        <v>0.56081081081081086</v>
      </c>
      <c r="P10" s="116">
        <f t="shared" si="0"/>
        <v>0.56849315068493156</v>
      </c>
      <c r="Q10" s="116">
        <f t="shared" si="0"/>
        <v>0.58282208588957052</v>
      </c>
      <c r="R10" s="116">
        <f t="shared" si="0"/>
        <v>0.55188679245283023</v>
      </c>
      <c r="S10" s="116">
        <f t="shared" si="0"/>
        <v>0.54655870445344135</v>
      </c>
      <c r="T10" s="116">
        <f t="shared" si="0"/>
        <v>0.56190476190476191</v>
      </c>
      <c r="U10" s="116">
        <f t="shared" si="0"/>
        <v>0.42474916387959866</v>
      </c>
      <c r="V10" s="116">
        <f t="shared" si="0"/>
        <v>0.48717948717948717</v>
      </c>
      <c r="W10" s="116">
        <f t="shared" si="0"/>
        <v>0.42439024390243901</v>
      </c>
      <c r="X10" s="116">
        <f t="shared" si="0"/>
        <v>0.484375</v>
      </c>
      <c r="Y10" s="116">
        <f t="shared" si="0"/>
        <v>0.51361867704280151</v>
      </c>
      <c r="Z10" s="116">
        <f t="shared" si="0"/>
        <v>0.569620253164557</v>
      </c>
      <c r="AA10" s="116">
        <f>AA24</f>
        <v>0.5607843137254902</v>
      </c>
      <c r="AB10" s="116">
        <f t="shared" ref="AB10:AW10" si="1">AB24</f>
        <v>0.62761506276150625</v>
      </c>
      <c r="AC10" s="116">
        <f t="shared" si="1"/>
        <v>0.6211180124223602</v>
      </c>
      <c r="AD10" s="116">
        <f t="shared" si="1"/>
        <v>0.51658767772511849</v>
      </c>
      <c r="AE10" s="116">
        <f t="shared" si="1"/>
        <v>0.58659217877094971</v>
      </c>
      <c r="AF10" s="116">
        <f t="shared" si="1"/>
        <v>0.57207207207207211</v>
      </c>
      <c r="AG10" s="116">
        <f t="shared" si="1"/>
        <v>0.62229102167182659</v>
      </c>
      <c r="AH10" s="116">
        <f t="shared" si="1"/>
        <v>0.58278145695364236</v>
      </c>
      <c r="AI10" s="116" t="e">
        <f t="shared" si="1"/>
        <v>#DIV/0!</v>
      </c>
      <c r="AJ10" s="116" t="e">
        <f t="shared" si="1"/>
        <v>#DIV/0!</v>
      </c>
      <c r="AK10" s="116" t="e">
        <f t="shared" si="1"/>
        <v>#DIV/0!</v>
      </c>
      <c r="AL10" s="116" t="e">
        <f t="shared" si="1"/>
        <v>#DIV/0!</v>
      </c>
      <c r="AM10" s="116" t="e">
        <f t="shared" si="1"/>
        <v>#DIV/0!</v>
      </c>
      <c r="AN10" s="116" t="e">
        <f t="shared" si="1"/>
        <v>#DIV/0!</v>
      </c>
      <c r="AO10" s="116" t="e">
        <f t="shared" si="1"/>
        <v>#DIV/0!</v>
      </c>
      <c r="AP10" s="116" t="e">
        <f t="shared" si="1"/>
        <v>#DIV/0!</v>
      </c>
      <c r="AQ10" s="116" t="e">
        <f t="shared" si="1"/>
        <v>#DIV/0!</v>
      </c>
      <c r="AR10" s="116" t="e">
        <f t="shared" si="1"/>
        <v>#DIV/0!</v>
      </c>
      <c r="AS10" s="116" t="e">
        <f t="shared" si="1"/>
        <v>#DIV/0!</v>
      </c>
      <c r="AT10" s="116" t="e">
        <f t="shared" si="1"/>
        <v>#DIV/0!</v>
      </c>
      <c r="AU10" s="116" t="e">
        <f t="shared" si="1"/>
        <v>#DIV/0!</v>
      </c>
      <c r="AV10" s="116" t="e">
        <f t="shared" si="1"/>
        <v>#DIV/0!</v>
      </c>
      <c r="AW10" s="116" t="e">
        <f t="shared" si="1"/>
        <v>#DIV/0!</v>
      </c>
    </row>
    <row r="11" spans="1:49" x14ac:dyDescent="0.2">
      <c r="A11" s="117" t="s">
        <v>130</v>
      </c>
      <c r="B11" s="118">
        <f>MEDIAN($B$10:$G$10)</f>
        <v>0.59651088348271442</v>
      </c>
      <c r="C11" s="118">
        <f>MEDIAN($B$10:$G$10)</f>
        <v>0.59651088348271442</v>
      </c>
      <c r="D11" s="118">
        <f>MEDIAN($B$10:$G$10)</f>
        <v>0.59651088348271442</v>
      </c>
      <c r="E11" s="118">
        <f>MEDIAN($B$10:$G$10)</f>
        <v>0.59651088348271442</v>
      </c>
      <c r="F11" s="118">
        <f>MEDIAN($B$10:$G$10)</f>
        <v>0.59651088348271442</v>
      </c>
      <c r="G11" s="118">
        <f>MEDIAN($B$10:$G10)</f>
        <v>0.59651088348271442</v>
      </c>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row>
    <row r="12" spans="1:49" x14ac:dyDescent="0.2">
      <c r="A12" s="117" t="s">
        <v>131</v>
      </c>
      <c r="B12" s="118"/>
      <c r="C12" s="118"/>
      <c r="D12" s="118"/>
      <c r="E12" s="118"/>
      <c r="F12" s="118"/>
      <c r="G12" s="118">
        <f>MEDIAN($B$10:$G11)</f>
        <v>0.59651088348271442</v>
      </c>
      <c r="H12" s="118">
        <f>MEDIAN($B$10:$G11)</f>
        <v>0.59651088348271442</v>
      </c>
      <c r="I12" s="118">
        <f>MEDIAN($B$10:$G11)</f>
        <v>0.59651088348271442</v>
      </c>
      <c r="J12" s="118">
        <f>MEDIAN($B$10:$G11)</f>
        <v>0.59651088348271442</v>
      </c>
      <c r="K12" s="118">
        <f>MEDIAN($B$10:$G11)</f>
        <v>0.59651088348271442</v>
      </c>
      <c r="L12" s="118">
        <f>MEDIAN($B$10:$G11)</f>
        <v>0.59651088348271442</v>
      </c>
      <c r="M12" s="118">
        <f>MEDIAN($B$10:$G11)</f>
        <v>0.59651088348271442</v>
      </c>
      <c r="N12" s="118">
        <f>MEDIAN($B$10:$G11)</f>
        <v>0.59651088348271442</v>
      </c>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49" x14ac:dyDescent="0.2">
      <c r="A13" s="117" t="s">
        <v>303</v>
      </c>
      <c r="B13" s="118"/>
      <c r="C13" s="118"/>
      <c r="D13" s="118"/>
      <c r="E13" s="118"/>
      <c r="F13" s="118"/>
      <c r="G13" s="118"/>
      <c r="H13" s="118"/>
      <c r="I13" s="118"/>
      <c r="J13" s="118"/>
      <c r="K13" s="118"/>
      <c r="L13" s="118"/>
      <c r="M13" s="118"/>
      <c r="N13" s="118">
        <f>MEDIAN($N$10:$S$10)</f>
        <v>0.56465198074787115</v>
      </c>
      <c r="O13" s="118">
        <f t="shared" ref="O13:X14" si="2">MEDIAN($N$10:$S$10)</f>
        <v>0.56465198074787115</v>
      </c>
      <c r="P13" s="118">
        <f t="shared" si="2"/>
        <v>0.56465198074787115</v>
      </c>
      <c r="Q13" s="118">
        <f t="shared" si="2"/>
        <v>0.56465198074787115</v>
      </c>
      <c r="R13" s="118">
        <f t="shared" si="2"/>
        <v>0.56465198074787115</v>
      </c>
      <c r="S13" s="118">
        <f t="shared" si="2"/>
        <v>0.56465198074787115</v>
      </c>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row>
    <row r="14" spans="1:49" x14ac:dyDescent="0.2">
      <c r="A14" s="117" t="s">
        <v>304</v>
      </c>
      <c r="B14" s="118"/>
      <c r="C14" s="118"/>
      <c r="D14" s="118"/>
      <c r="E14" s="118"/>
      <c r="F14" s="118"/>
      <c r="G14" s="118"/>
      <c r="H14" s="118"/>
      <c r="I14" s="118"/>
      <c r="J14" s="118"/>
      <c r="K14" s="118"/>
      <c r="L14" s="118"/>
      <c r="M14" s="118"/>
      <c r="N14" s="118"/>
      <c r="O14" s="118"/>
      <c r="P14" s="118"/>
      <c r="Q14" s="118"/>
      <c r="R14" s="118"/>
      <c r="S14" s="118">
        <f t="shared" si="2"/>
        <v>0.56465198074787115</v>
      </c>
      <c r="T14" s="118">
        <f t="shared" si="2"/>
        <v>0.56465198074787115</v>
      </c>
      <c r="U14" s="118">
        <f t="shared" si="2"/>
        <v>0.56465198074787115</v>
      </c>
      <c r="V14" s="118">
        <f t="shared" si="2"/>
        <v>0.56465198074787115</v>
      </c>
      <c r="W14" s="118">
        <f t="shared" si="2"/>
        <v>0.56465198074787115</v>
      </c>
      <c r="X14" s="118">
        <f t="shared" si="2"/>
        <v>0.56465198074787115</v>
      </c>
      <c r="Y14" s="118">
        <f>MEDIAN($N$10:$S$10)</f>
        <v>0.56465198074787115</v>
      </c>
      <c r="Z14" s="118">
        <f>MEDIAN($N$10:$S$10)</f>
        <v>0.56465198074787115</v>
      </c>
      <c r="AA14" s="118">
        <f>MEDIAN($N$10:$S$10)</f>
        <v>0.56465198074787115</v>
      </c>
      <c r="AB14" s="118">
        <f t="shared" ref="AB14:AW14" si="3">MEDIAN($N$10:$S$10)</f>
        <v>0.56465198074787115</v>
      </c>
      <c r="AC14" s="118">
        <f t="shared" si="3"/>
        <v>0.56465198074787115</v>
      </c>
      <c r="AD14" s="118">
        <f t="shared" si="3"/>
        <v>0.56465198074787115</v>
      </c>
      <c r="AE14" s="118">
        <f t="shared" si="3"/>
        <v>0.56465198074787115</v>
      </c>
      <c r="AF14" s="118">
        <f t="shared" si="3"/>
        <v>0.56465198074787115</v>
      </c>
      <c r="AG14" s="118">
        <f t="shared" si="3"/>
        <v>0.56465198074787115</v>
      </c>
      <c r="AH14" s="118">
        <f t="shared" si="3"/>
        <v>0.56465198074787115</v>
      </c>
      <c r="AI14" s="118">
        <f t="shared" si="3"/>
        <v>0.56465198074787115</v>
      </c>
      <c r="AJ14" s="118">
        <f t="shared" si="3"/>
        <v>0.56465198074787115</v>
      </c>
      <c r="AK14" s="118">
        <f t="shared" si="3"/>
        <v>0.56465198074787115</v>
      </c>
      <c r="AL14" s="118">
        <f t="shared" si="3"/>
        <v>0.56465198074787115</v>
      </c>
      <c r="AM14" s="118">
        <f t="shared" si="3"/>
        <v>0.56465198074787115</v>
      </c>
      <c r="AN14" s="118">
        <f t="shared" si="3"/>
        <v>0.56465198074787115</v>
      </c>
      <c r="AO14" s="118">
        <f t="shared" si="3"/>
        <v>0.56465198074787115</v>
      </c>
      <c r="AP14" s="118">
        <f t="shared" si="3"/>
        <v>0.56465198074787115</v>
      </c>
      <c r="AQ14" s="118">
        <f t="shared" si="3"/>
        <v>0.56465198074787115</v>
      </c>
      <c r="AR14" s="118">
        <f t="shared" si="3"/>
        <v>0.56465198074787115</v>
      </c>
      <c r="AS14" s="118">
        <f t="shared" si="3"/>
        <v>0.56465198074787115</v>
      </c>
      <c r="AT14" s="118">
        <f t="shared" si="3"/>
        <v>0.56465198074787115</v>
      </c>
      <c r="AU14" s="118">
        <f t="shared" si="3"/>
        <v>0.56465198074787115</v>
      </c>
      <c r="AV14" s="118">
        <f t="shared" si="3"/>
        <v>0.56465198074787115</v>
      </c>
      <c r="AW14" s="118">
        <f t="shared" si="3"/>
        <v>0.56465198074787115</v>
      </c>
    </row>
    <row r="15" spans="1:49" ht="25.5" x14ac:dyDescent="0.2">
      <c r="A15" s="117" t="s">
        <v>448</v>
      </c>
      <c r="B15" s="119">
        <f>B28</f>
        <v>1687</v>
      </c>
      <c r="C15" s="119">
        <f t="shared" ref="C15:AA15" si="4">C28</f>
        <v>1709</v>
      </c>
      <c r="D15" s="119">
        <f t="shared" si="4"/>
        <v>1708</v>
      </c>
      <c r="E15" s="119">
        <f t="shared" si="4"/>
        <v>1737</v>
      </c>
      <c r="F15" s="119">
        <f t="shared" si="4"/>
        <v>1737</v>
      </c>
      <c r="G15" s="119">
        <f t="shared" si="4"/>
        <v>1668</v>
      </c>
      <c r="H15" s="119">
        <f t="shared" si="4"/>
        <v>1677</v>
      </c>
      <c r="I15" s="119">
        <f t="shared" si="4"/>
        <v>1826</v>
      </c>
      <c r="J15" s="119">
        <f t="shared" si="4"/>
        <v>1900</v>
      </c>
      <c r="K15" s="119">
        <f t="shared" si="4"/>
        <v>1929</v>
      </c>
      <c r="L15" s="119">
        <f t="shared" si="4"/>
        <v>2060</v>
      </c>
      <c r="M15" s="119">
        <f t="shared" si="4"/>
        <v>2078</v>
      </c>
      <c r="N15" s="119">
        <f t="shared" si="4"/>
        <v>2085</v>
      </c>
      <c r="O15" s="119">
        <f t="shared" si="4"/>
        <v>1996</v>
      </c>
      <c r="P15" s="119">
        <f t="shared" si="4"/>
        <v>1857</v>
      </c>
      <c r="Q15" s="119">
        <f t="shared" si="4"/>
        <v>1817</v>
      </c>
      <c r="R15" s="119">
        <f t="shared" si="4"/>
        <v>1691</v>
      </c>
      <c r="S15" s="119">
        <f t="shared" si="4"/>
        <v>1629</v>
      </c>
      <c r="T15" s="119">
        <f t="shared" si="4"/>
        <v>1588</v>
      </c>
      <c r="U15" s="119">
        <f t="shared" si="4"/>
        <v>1570</v>
      </c>
      <c r="V15" s="119">
        <f t="shared" si="4"/>
        <v>1551</v>
      </c>
      <c r="W15" s="119">
        <f t="shared" si="4"/>
        <v>1564</v>
      </c>
      <c r="X15" s="119">
        <f t="shared" si="4"/>
        <v>1470</v>
      </c>
      <c r="Y15" s="119">
        <f t="shared" si="4"/>
        <v>1472</v>
      </c>
      <c r="Z15" s="119">
        <f t="shared" si="4"/>
        <v>1457</v>
      </c>
      <c r="AA15" s="119">
        <f t="shared" si="4"/>
        <v>1425</v>
      </c>
      <c r="AB15" s="119">
        <f t="shared" ref="AB15:AW15" si="5">AB28</f>
        <v>1501</v>
      </c>
      <c r="AC15" s="119">
        <f t="shared" si="5"/>
        <v>1499</v>
      </c>
      <c r="AD15" s="119">
        <f t="shared" si="5"/>
        <v>1456</v>
      </c>
      <c r="AE15" s="119">
        <f t="shared" si="5"/>
        <v>1487</v>
      </c>
      <c r="AF15" s="119">
        <f>AF28</f>
        <v>1518</v>
      </c>
      <c r="AG15" s="119">
        <f t="shared" si="5"/>
        <v>1623</v>
      </c>
      <c r="AH15" s="119">
        <f t="shared" si="5"/>
        <v>1670</v>
      </c>
      <c r="AI15" s="119">
        <f t="shared" si="5"/>
        <v>0</v>
      </c>
      <c r="AJ15" s="119">
        <f t="shared" si="5"/>
        <v>0</v>
      </c>
      <c r="AK15" s="119">
        <f t="shared" si="5"/>
        <v>0</v>
      </c>
      <c r="AL15" s="119">
        <f t="shared" si="5"/>
        <v>0</v>
      </c>
      <c r="AM15" s="119">
        <f t="shared" si="5"/>
        <v>0</v>
      </c>
      <c r="AN15" s="119">
        <f t="shared" si="5"/>
        <v>0</v>
      </c>
      <c r="AO15" s="119">
        <f t="shared" si="5"/>
        <v>0</v>
      </c>
      <c r="AP15" s="119">
        <f t="shared" si="5"/>
        <v>0</v>
      </c>
      <c r="AQ15" s="119">
        <f t="shared" si="5"/>
        <v>0</v>
      </c>
      <c r="AR15" s="119">
        <f t="shared" si="5"/>
        <v>0</v>
      </c>
      <c r="AS15" s="119">
        <f t="shared" si="5"/>
        <v>0</v>
      </c>
      <c r="AT15" s="119">
        <f t="shared" si="5"/>
        <v>0</v>
      </c>
      <c r="AU15" s="119">
        <f t="shared" si="5"/>
        <v>0</v>
      </c>
      <c r="AV15" s="119">
        <f t="shared" si="5"/>
        <v>0</v>
      </c>
      <c r="AW15" s="119">
        <f t="shared" si="5"/>
        <v>0</v>
      </c>
    </row>
    <row r="16" spans="1:49" ht="25.5" x14ac:dyDescent="0.2">
      <c r="A16" s="117" t="s">
        <v>449</v>
      </c>
      <c r="B16" s="119">
        <f t="shared" ref="B16:Z16" si="6">B30</f>
        <v>481</v>
      </c>
      <c r="C16" s="119">
        <f t="shared" si="6"/>
        <v>487</v>
      </c>
      <c r="D16" s="119">
        <f t="shared" si="6"/>
        <v>516</v>
      </c>
      <c r="E16" s="119">
        <f t="shared" si="6"/>
        <v>639</v>
      </c>
      <c r="F16" s="119">
        <f t="shared" si="6"/>
        <v>694</v>
      </c>
      <c r="G16" s="119">
        <f t="shared" si="6"/>
        <v>680</v>
      </c>
      <c r="H16" s="119">
        <f t="shared" si="6"/>
        <v>730</v>
      </c>
      <c r="I16" s="119">
        <f t="shared" si="6"/>
        <v>687</v>
      </c>
      <c r="J16" s="119">
        <f t="shared" si="6"/>
        <v>709</v>
      </c>
      <c r="K16" s="119">
        <f t="shared" si="6"/>
        <v>747</v>
      </c>
      <c r="L16" s="119">
        <f t="shared" si="6"/>
        <v>815</v>
      </c>
      <c r="M16" s="119">
        <f t="shared" si="6"/>
        <v>888</v>
      </c>
      <c r="N16" s="119">
        <f t="shared" si="6"/>
        <v>931</v>
      </c>
      <c r="O16" s="119">
        <f t="shared" si="6"/>
        <v>864</v>
      </c>
      <c r="P16" s="119">
        <f t="shared" si="6"/>
        <v>817</v>
      </c>
      <c r="Q16" s="119">
        <f t="shared" si="6"/>
        <v>861</v>
      </c>
      <c r="R16" s="119">
        <f t="shared" si="6"/>
        <v>853</v>
      </c>
      <c r="S16" s="119">
        <f t="shared" si="6"/>
        <v>810</v>
      </c>
      <c r="T16" s="119">
        <f t="shared" si="6"/>
        <v>783</v>
      </c>
      <c r="U16" s="119">
        <f t="shared" si="6"/>
        <v>684</v>
      </c>
      <c r="V16" s="119">
        <f t="shared" si="6"/>
        <v>626</v>
      </c>
      <c r="W16" s="119">
        <f t="shared" si="6"/>
        <v>572</v>
      </c>
      <c r="X16" s="119">
        <f t="shared" si="6"/>
        <v>478</v>
      </c>
      <c r="Y16" s="119">
        <f t="shared" si="6"/>
        <v>466</v>
      </c>
      <c r="Z16" s="119">
        <f t="shared" si="6"/>
        <v>493</v>
      </c>
      <c r="AA16" s="119">
        <f>AA30</f>
        <v>419</v>
      </c>
      <c r="AB16" s="119">
        <f t="shared" ref="AB16:AW16" si="7">AB30</f>
        <v>477</v>
      </c>
      <c r="AC16" s="119">
        <f t="shared" si="7"/>
        <v>537</v>
      </c>
      <c r="AD16" s="119">
        <f t="shared" si="7"/>
        <v>507</v>
      </c>
      <c r="AE16" s="119">
        <f t="shared" si="7"/>
        <v>529</v>
      </c>
      <c r="AF16" s="119">
        <f t="shared" si="7"/>
        <v>527</v>
      </c>
      <c r="AG16" s="119">
        <f t="shared" si="7"/>
        <v>513</v>
      </c>
      <c r="AH16" s="119">
        <f t="shared" si="7"/>
        <v>533</v>
      </c>
      <c r="AI16" s="119">
        <f t="shared" si="7"/>
        <v>0</v>
      </c>
      <c r="AJ16" s="119">
        <f t="shared" si="7"/>
        <v>0</v>
      </c>
      <c r="AK16" s="119">
        <f t="shared" si="7"/>
        <v>0</v>
      </c>
      <c r="AL16" s="119">
        <f t="shared" si="7"/>
        <v>0</v>
      </c>
      <c r="AM16" s="119">
        <f t="shared" si="7"/>
        <v>0</v>
      </c>
      <c r="AN16" s="119">
        <f t="shared" si="7"/>
        <v>0</v>
      </c>
      <c r="AO16" s="119">
        <f t="shared" si="7"/>
        <v>0</v>
      </c>
      <c r="AP16" s="119">
        <f t="shared" si="7"/>
        <v>0</v>
      </c>
      <c r="AQ16" s="119">
        <f t="shared" si="7"/>
        <v>0</v>
      </c>
      <c r="AR16" s="119">
        <f t="shared" si="7"/>
        <v>0</v>
      </c>
      <c r="AS16" s="119">
        <f t="shared" si="7"/>
        <v>0</v>
      </c>
      <c r="AT16" s="119">
        <f t="shared" si="7"/>
        <v>0</v>
      </c>
      <c r="AU16" s="119">
        <f t="shared" si="7"/>
        <v>0</v>
      </c>
      <c r="AV16" s="119">
        <f t="shared" si="7"/>
        <v>0</v>
      </c>
      <c r="AW16" s="119">
        <f t="shared" si="7"/>
        <v>0</v>
      </c>
    </row>
    <row r="17" spans="1:49" x14ac:dyDescent="0.2">
      <c r="A17" s="117" t="s">
        <v>15</v>
      </c>
      <c r="B17" s="120">
        <v>0.9</v>
      </c>
      <c r="C17" s="120">
        <v>0.9</v>
      </c>
      <c r="D17" s="120">
        <v>0.9</v>
      </c>
      <c r="E17" s="120">
        <v>0.9</v>
      </c>
      <c r="F17" s="120">
        <v>0.9</v>
      </c>
      <c r="G17" s="120">
        <v>0.9</v>
      </c>
      <c r="H17" s="120">
        <v>0.9</v>
      </c>
      <c r="I17" s="120">
        <v>0.9</v>
      </c>
      <c r="J17" s="120">
        <v>0.9</v>
      </c>
      <c r="K17" s="120">
        <v>0.9</v>
      </c>
      <c r="L17" s="120">
        <v>0.9</v>
      </c>
      <c r="M17" s="120">
        <v>0.9</v>
      </c>
      <c r="N17" s="120">
        <v>0.9</v>
      </c>
      <c r="O17" s="120">
        <v>0.9</v>
      </c>
      <c r="P17" s="120">
        <v>0.9</v>
      </c>
      <c r="Q17" s="120">
        <v>0.9</v>
      </c>
      <c r="R17" s="120">
        <v>0.9</v>
      </c>
      <c r="S17" s="120">
        <v>0.9</v>
      </c>
      <c r="T17" s="120">
        <v>0.9</v>
      </c>
      <c r="U17" s="120">
        <v>0.9</v>
      </c>
      <c r="V17" s="120">
        <v>0.9</v>
      </c>
      <c r="W17" s="120">
        <v>0.9</v>
      </c>
      <c r="X17" s="120">
        <v>0.9</v>
      </c>
      <c r="Y17" s="120">
        <v>0.9</v>
      </c>
      <c r="Z17" s="120">
        <v>0.9</v>
      </c>
      <c r="AA17" s="120">
        <v>0.9</v>
      </c>
      <c r="AB17" s="120">
        <v>0.9</v>
      </c>
      <c r="AC17" s="120">
        <v>0.9</v>
      </c>
      <c r="AD17" s="120">
        <v>0.9</v>
      </c>
      <c r="AE17" s="120">
        <v>0.9</v>
      </c>
      <c r="AF17" s="120">
        <v>0.9</v>
      </c>
      <c r="AG17" s="120">
        <v>0.9</v>
      </c>
      <c r="AH17" s="120">
        <v>0.9</v>
      </c>
      <c r="AI17" s="120">
        <v>0.9</v>
      </c>
      <c r="AJ17" s="120">
        <v>0.9</v>
      </c>
      <c r="AK17" s="120">
        <v>0.9</v>
      </c>
      <c r="AL17" s="120">
        <v>0.9</v>
      </c>
      <c r="AM17" s="120">
        <v>0.9</v>
      </c>
      <c r="AN17" s="120">
        <v>0.9</v>
      </c>
      <c r="AO17" s="120">
        <v>0.9</v>
      </c>
      <c r="AP17" s="120">
        <v>0.9</v>
      </c>
      <c r="AQ17" s="120">
        <v>0.9</v>
      </c>
      <c r="AR17" s="120">
        <v>0.9</v>
      </c>
      <c r="AS17" s="120">
        <v>0.9</v>
      </c>
      <c r="AT17" s="120">
        <v>0.9</v>
      </c>
      <c r="AU17" s="120">
        <v>0.9</v>
      </c>
      <c r="AV17" s="120">
        <v>0.9</v>
      </c>
      <c r="AW17" s="120">
        <v>0.9</v>
      </c>
    </row>
    <row r="18" spans="1:49" x14ac:dyDescent="0.2">
      <c r="A18" s="693"/>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row>
    <row r="19" spans="1:49" x14ac:dyDescent="0.2">
      <c r="A19" s="100"/>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row>
    <row r="20" spans="1:49" x14ac:dyDescent="0.2">
      <c r="A20" s="102" t="s">
        <v>346</v>
      </c>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row>
    <row r="21" spans="1:49" x14ac:dyDescent="0.2">
      <c r="A21" s="113" t="s">
        <v>442</v>
      </c>
      <c r="B21" s="119">
        <v>226</v>
      </c>
      <c r="C21" s="119">
        <v>247</v>
      </c>
      <c r="D21" s="119">
        <v>284</v>
      </c>
      <c r="E21" s="119">
        <v>225</v>
      </c>
      <c r="F21" s="119">
        <v>265</v>
      </c>
      <c r="G21" s="119">
        <v>286</v>
      </c>
      <c r="H21" s="119">
        <v>233</v>
      </c>
      <c r="I21" s="119">
        <v>267</v>
      </c>
      <c r="J21" s="119">
        <v>198</v>
      </c>
      <c r="K21" s="119">
        <v>199</v>
      </c>
      <c r="L21" s="119">
        <v>227</v>
      </c>
      <c r="M21" s="119">
        <v>208</v>
      </c>
      <c r="N21" s="119">
        <v>247</v>
      </c>
      <c r="O21" s="119">
        <v>296</v>
      </c>
      <c r="P21" s="119">
        <v>292</v>
      </c>
      <c r="Q21" s="119">
        <v>163</v>
      </c>
      <c r="R21" s="119">
        <v>212</v>
      </c>
      <c r="S21" s="119">
        <v>247</v>
      </c>
      <c r="T21" s="119">
        <v>210</v>
      </c>
      <c r="U21" s="119">
        <v>299</v>
      </c>
      <c r="V21" s="119">
        <v>156</v>
      </c>
      <c r="W21" s="119">
        <v>205</v>
      </c>
      <c r="X21" s="119">
        <v>256</v>
      </c>
      <c r="Y21" s="119">
        <v>257</v>
      </c>
      <c r="Z21" s="119">
        <v>158</v>
      </c>
      <c r="AA21" s="119">
        <v>255</v>
      </c>
      <c r="AB21" s="119">
        <v>239</v>
      </c>
      <c r="AC21" s="119">
        <v>161</v>
      </c>
      <c r="AD21" s="119">
        <v>211</v>
      </c>
      <c r="AE21" s="119">
        <v>179</v>
      </c>
      <c r="AF21" s="119">
        <v>222</v>
      </c>
      <c r="AG21" s="119">
        <v>323</v>
      </c>
      <c r="AH21" s="119">
        <v>151</v>
      </c>
      <c r="AI21" s="119"/>
      <c r="AJ21" s="119"/>
      <c r="AK21" s="119"/>
      <c r="AL21" s="119"/>
      <c r="AM21" s="119"/>
      <c r="AN21" s="119"/>
      <c r="AO21" s="119"/>
      <c r="AP21" s="119"/>
      <c r="AQ21" s="119"/>
      <c r="AR21" s="119"/>
      <c r="AS21" s="119"/>
      <c r="AT21" s="119"/>
      <c r="AU21" s="119"/>
      <c r="AV21" s="119"/>
      <c r="AW21" s="119"/>
    </row>
    <row r="22" spans="1:49" ht="25.5" x14ac:dyDescent="0.2">
      <c r="A22" s="113" t="s">
        <v>443</v>
      </c>
      <c r="B22" s="119">
        <f>B21-B23</f>
        <v>130</v>
      </c>
      <c r="C22" s="119">
        <f>C21-C23</f>
        <v>140</v>
      </c>
      <c r="D22" s="119">
        <f>D21-D23</f>
        <v>171</v>
      </c>
      <c r="E22" s="119">
        <f t="shared" ref="E22:Y22" si="8">E21-E23</f>
        <v>159</v>
      </c>
      <c r="F22" s="119">
        <f t="shared" si="8"/>
        <v>201</v>
      </c>
      <c r="G22" s="119">
        <f t="shared" si="8"/>
        <v>169</v>
      </c>
      <c r="H22" s="119">
        <f t="shared" si="8"/>
        <v>143</v>
      </c>
      <c r="I22" s="119">
        <f t="shared" si="8"/>
        <v>143</v>
      </c>
      <c r="J22" s="119">
        <f t="shared" si="8"/>
        <v>128</v>
      </c>
      <c r="K22" s="119">
        <f t="shared" si="8"/>
        <v>112</v>
      </c>
      <c r="L22" s="119">
        <f t="shared" si="8"/>
        <v>165</v>
      </c>
      <c r="M22" s="119">
        <f t="shared" si="8"/>
        <v>145</v>
      </c>
      <c r="N22" s="119">
        <f t="shared" si="8"/>
        <v>147</v>
      </c>
      <c r="O22" s="119">
        <f t="shared" si="8"/>
        <v>166</v>
      </c>
      <c r="P22" s="119">
        <f t="shared" si="8"/>
        <v>166</v>
      </c>
      <c r="Q22" s="119">
        <f t="shared" si="8"/>
        <v>95</v>
      </c>
      <c r="R22" s="119">
        <f t="shared" si="8"/>
        <v>117</v>
      </c>
      <c r="S22" s="119">
        <f t="shared" si="8"/>
        <v>135</v>
      </c>
      <c r="T22" s="119">
        <f t="shared" si="8"/>
        <v>118</v>
      </c>
      <c r="U22" s="119">
        <f t="shared" si="8"/>
        <v>127</v>
      </c>
      <c r="V22" s="119">
        <f t="shared" si="8"/>
        <v>76</v>
      </c>
      <c r="W22" s="119">
        <f t="shared" si="8"/>
        <v>87</v>
      </c>
      <c r="X22" s="119">
        <v>124</v>
      </c>
      <c r="Y22" s="119">
        <f t="shared" si="8"/>
        <v>132</v>
      </c>
      <c r="Z22" s="119">
        <v>90</v>
      </c>
      <c r="AA22" s="119">
        <v>143</v>
      </c>
      <c r="AB22" s="119">
        <v>150</v>
      </c>
      <c r="AC22" s="119">
        <v>100</v>
      </c>
      <c r="AD22" s="119">
        <v>109</v>
      </c>
      <c r="AE22" s="119">
        <v>105</v>
      </c>
      <c r="AF22" s="119">
        <v>127</v>
      </c>
      <c r="AG22" s="119">
        <v>201</v>
      </c>
      <c r="AH22" s="119">
        <v>88</v>
      </c>
      <c r="AI22" s="119"/>
      <c r="AJ22" s="119"/>
      <c r="AK22" s="119"/>
      <c r="AL22" s="119"/>
      <c r="AM22" s="119"/>
      <c r="AN22" s="119"/>
      <c r="AO22" s="119"/>
      <c r="AP22" s="119"/>
      <c r="AQ22" s="119"/>
      <c r="AR22" s="119"/>
      <c r="AS22" s="119"/>
      <c r="AT22" s="119"/>
      <c r="AU22" s="119"/>
      <c r="AV22" s="119"/>
      <c r="AW22" s="119"/>
    </row>
    <row r="23" spans="1:49" x14ac:dyDescent="0.2">
      <c r="A23" s="113" t="s">
        <v>444</v>
      </c>
      <c r="B23" s="119">
        <v>96</v>
      </c>
      <c r="C23" s="119">
        <v>107</v>
      </c>
      <c r="D23" s="119">
        <v>113</v>
      </c>
      <c r="E23" s="119">
        <v>66</v>
      </c>
      <c r="F23" s="119">
        <v>64</v>
      </c>
      <c r="G23" s="119">
        <v>117</v>
      </c>
      <c r="H23" s="119">
        <v>90</v>
      </c>
      <c r="I23" s="119">
        <v>124</v>
      </c>
      <c r="J23" s="119">
        <v>70</v>
      </c>
      <c r="K23" s="119">
        <v>87</v>
      </c>
      <c r="L23" s="119">
        <v>62</v>
      </c>
      <c r="M23" s="119">
        <v>63</v>
      </c>
      <c r="N23" s="119">
        <v>100</v>
      </c>
      <c r="O23" s="119">
        <v>130</v>
      </c>
      <c r="P23" s="119">
        <v>126</v>
      </c>
      <c r="Q23" s="119">
        <v>68</v>
      </c>
      <c r="R23" s="119">
        <v>95</v>
      </c>
      <c r="S23" s="119">
        <v>112</v>
      </c>
      <c r="T23" s="119">
        <v>92</v>
      </c>
      <c r="U23" s="119">
        <v>172</v>
      </c>
      <c r="V23" s="119">
        <v>80</v>
      </c>
      <c r="W23" s="119">
        <v>118</v>
      </c>
      <c r="X23" s="119">
        <v>132</v>
      </c>
      <c r="Y23" s="119">
        <v>125</v>
      </c>
      <c r="Z23" s="119">
        <v>68</v>
      </c>
      <c r="AA23" s="119">
        <v>112</v>
      </c>
      <c r="AB23" s="119">
        <v>89</v>
      </c>
      <c r="AC23" s="119">
        <v>61</v>
      </c>
      <c r="AD23" s="119">
        <v>102</v>
      </c>
      <c r="AE23" s="119">
        <v>74</v>
      </c>
      <c r="AF23" s="119">
        <v>95</v>
      </c>
      <c r="AG23" s="119">
        <v>122</v>
      </c>
      <c r="AH23" s="119">
        <v>63</v>
      </c>
      <c r="AI23" s="119"/>
      <c r="AJ23" s="119"/>
      <c r="AK23" s="119"/>
      <c r="AL23" s="119"/>
      <c r="AM23" s="119"/>
      <c r="AN23" s="119"/>
      <c r="AO23" s="119"/>
      <c r="AP23" s="119"/>
      <c r="AQ23" s="119"/>
      <c r="AR23" s="119"/>
      <c r="AS23" s="119"/>
      <c r="AT23" s="119"/>
      <c r="AU23" s="119"/>
      <c r="AV23" s="119"/>
      <c r="AW23" s="119"/>
    </row>
    <row r="24" spans="1:49" x14ac:dyDescent="0.2">
      <c r="A24" s="115" t="s">
        <v>347</v>
      </c>
      <c r="B24" s="116">
        <f>B22/B21</f>
        <v>0.5752212389380531</v>
      </c>
      <c r="C24" s="116">
        <f t="shared" ref="C24:Y24" si="9">C22/C21</f>
        <v>0.5668016194331984</v>
      </c>
      <c r="D24" s="116">
        <f t="shared" si="9"/>
        <v>0.602112676056338</v>
      </c>
      <c r="E24" s="116">
        <f t="shared" si="9"/>
        <v>0.70666666666666667</v>
      </c>
      <c r="F24" s="116">
        <f t="shared" si="9"/>
        <v>0.7584905660377359</v>
      </c>
      <c r="G24" s="116">
        <f t="shared" si="9"/>
        <v>0.59090909090909094</v>
      </c>
      <c r="H24" s="122">
        <f t="shared" si="9"/>
        <v>0.61373390557939911</v>
      </c>
      <c r="I24" s="116">
        <f t="shared" si="9"/>
        <v>0.53558052434456926</v>
      </c>
      <c r="J24" s="116">
        <f t="shared" si="9"/>
        <v>0.64646464646464652</v>
      </c>
      <c r="K24" s="116">
        <f t="shared" si="9"/>
        <v>0.56281407035175879</v>
      </c>
      <c r="L24" s="116">
        <f t="shared" si="9"/>
        <v>0.72687224669603523</v>
      </c>
      <c r="M24" s="116">
        <f t="shared" si="9"/>
        <v>0.69711538461538458</v>
      </c>
      <c r="N24" s="116">
        <f t="shared" si="9"/>
        <v>0.59514170040485825</v>
      </c>
      <c r="O24" s="116">
        <f t="shared" si="9"/>
        <v>0.56081081081081086</v>
      </c>
      <c r="P24" s="116">
        <f t="shared" si="9"/>
        <v>0.56849315068493156</v>
      </c>
      <c r="Q24" s="116">
        <f t="shared" si="9"/>
        <v>0.58282208588957052</v>
      </c>
      <c r="R24" s="116">
        <f t="shared" si="9"/>
        <v>0.55188679245283023</v>
      </c>
      <c r="S24" s="116">
        <f t="shared" si="9"/>
        <v>0.54655870445344135</v>
      </c>
      <c r="T24" s="116">
        <f t="shared" si="9"/>
        <v>0.56190476190476191</v>
      </c>
      <c r="U24" s="116">
        <f t="shared" si="9"/>
        <v>0.42474916387959866</v>
      </c>
      <c r="V24" s="116">
        <f t="shared" si="9"/>
        <v>0.48717948717948717</v>
      </c>
      <c r="W24" s="116">
        <f t="shared" si="9"/>
        <v>0.42439024390243901</v>
      </c>
      <c r="X24" s="116">
        <f t="shared" si="9"/>
        <v>0.484375</v>
      </c>
      <c r="Y24" s="116">
        <f t="shared" si="9"/>
        <v>0.51361867704280151</v>
      </c>
      <c r="Z24" s="116">
        <f t="shared" ref="Z24:AA24" si="10">Z22/Z21</f>
        <v>0.569620253164557</v>
      </c>
      <c r="AA24" s="116">
        <f t="shared" si="10"/>
        <v>0.5607843137254902</v>
      </c>
      <c r="AB24" s="116">
        <f>AB22/AB21</f>
        <v>0.62761506276150625</v>
      </c>
      <c r="AC24" s="116">
        <f t="shared" ref="AC24:AW24" si="11">AC22/AC21</f>
        <v>0.6211180124223602</v>
      </c>
      <c r="AD24" s="116">
        <f t="shared" si="11"/>
        <v>0.51658767772511849</v>
      </c>
      <c r="AE24" s="116">
        <f t="shared" si="11"/>
        <v>0.58659217877094971</v>
      </c>
      <c r="AF24" s="116">
        <f t="shared" si="11"/>
        <v>0.57207207207207211</v>
      </c>
      <c r="AG24" s="116">
        <f t="shared" si="11"/>
        <v>0.62229102167182659</v>
      </c>
      <c r="AH24" s="116">
        <f t="shared" si="11"/>
        <v>0.58278145695364236</v>
      </c>
      <c r="AI24" s="116" t="e">
        <f t="shared" si="11"/>
        <v>#DIV/0!</v>
      </c>
      <c r="AJ24" s="116" t="e">
        <f t="shared" si="11"/>
        <v>#DIV/0!</v>
      </c>
      <c r="AK24" s="116" t="e">
        <f t="shared" si="11"/>
        <v>#DIV/0!</v>
      </c>
      <c r="AL24" s="116" t="e">
        <f t="shared" si="11"/>
        <v>#DIV/0!</v>
      </c>
      <c r="AM24" s="116" t="e">
        <f t="shared" si="11"/>
        <v>#DIV/0!</v>
      </c>
      <c r="AN24" s="116" t="e">
        <f t="shared" si="11"/>
        <v>#DIV/0!</v>
      </c>
      <c r="AO24" s="116" t="e">
        <f t="shared" si="11"/>
        <v>#DIV/0!</v>
      </c>
      <c r="AP24" s="116" t="e">
        <f t="shared" si="11"/>
        <v>#DIV/0!</v>
      </c>
      <c r="AQ24" s="116" t="e">
        <f t="shared" si="11"/>
        <v>#DIV/0!</v>
      </c>
      <c r="AR24" s="116" t="e">
        <f t="shared" si="11"/>
        <v>#DIV/0!</v>
      </c>
      <c r="AS24" s="116" t="e">
        <f t="shared" si="11"/>
        <v>#DIV/0!</v>
      </c>
      <c r="AT24" s="116" t="e">
        <f t="shared" si="11"/>
        <v>#DIV/0!</v>
      </c>
      <c r="AU24" s="116" t="e">
        <f t="shared" si="11"/>
        <v>#DIV/0!</v>
      </c>
      <c r="AV24" s="116" t="e">
        <f t="shared" si="11"/>
        <v>#DIV/0!</v>
      </c>
      <c r="AW24" s="116" t="e">
        <f t="shared" si="11"/>
        <v>#DIV/0!</v>
      </c>
    </row>
    <row r="25" spans="1:49" x14ac:dyDescent="0.2">
      <c r="A25" s="113" t="s">
        <v>348</v>
      </c>
      <c r="B25" s="120">
        <f>1-B24</f>
        <v>0.4247787610619469</v>
      </c>
      <c r="C25" s="120">
        <f t="shared" ref="C25:Y25" si="12">1-C24</f>
        <v>0.4331983805668016</v>
      </c>
      <c r="D25" s="120">
        <f t="shared" si="12"/>
        <v>0.397887323943662</v>
      </c>
      <c r="E25" s="120">
        <f t="shared" si="12"/>
        <v>0.29333333333333333</v>
      </c>
      <c r="F25" s="120">
        <f t="shared" si="12"/>
        <v>0.2415094339622641</v>
      </c>
      <c r="G25" s="120">
        <f t="shared" si="12"/>
        <v>0.40909090909090906</v>
      </c>
      <c r="H25" s="120">
        <f t="shared" si="12"/>
        <v>0.38626609442060089</v>
      </c>
      <c r="I25" s="120">
        <f t="shared" si="12"/>
        <v>0.46441947565543074</v>
      </c>
      <c r="J25" s="120">
        <f t="shared" si="12"/>
        <v>0.35353535353535348</v>
      </c>
      <c r="K25" s="120">
        <f t="shared" si="12"/>
        <v>0.43718592964824121</v>
      </c>
      <c r="L25" s="120">
        <f t="shared" si="12"/>
        <v>0.27312775330396477</v>
      </c>
      <c r="M25" s="120">
        <f t="shared" si="12"/>
        <v>0.30288461538461542</v>
      </c>
      <c r="N25" s="120">
        <f t="shared" si="12"/>
        <v>0.40485829959514175</v>
      </c>
      <c r="O25" s="120">
        <f t="shared" si="12"/>
        <v>0.43918918918918914</v>
      </c>
      <c r="P25" s="120">
        <f t="shared" si="12"/>
        <v>0.43150684931506844</v>
      </c>
      <c r="Q25" s="120">
        <f t="shared" si="12"/>
        <v>0.41717791411042948</v>
      </c>
      <c r="R25" s="120">
        <f t="shared" si="12"/>
        <v>0.44811320754716977</v>
      </c>
      <c r="S25" s="120">
        <f t="shared" si="12"/>
        <v>0.45344129554655865</v>
      </c>
      <c r="T25" s="120">
        <f t="shared" si="12"/>
        <v>0.43809523809523809</v>
      </c>
      <c r="U25" s="120">
        <f t="shared" si="12"/>
        <v>0.5752508361204014</v>
      </c>
      <c r="V25" s="120">
        <f t="shared" si="12"/>
        <v>0.51282051282051277</v>
      </c>
      <c r="W25" s="120">
        <f t="shared" si="12"/>
        <v>0.57560975609756104</v>
      </c>
      <c r="X25" s="120">
        <f t="shared" si="12"/>
        <v>0.515625</v>
      </c>
      <c r="Y25" s="120">
        <f t="shared" si="12"/>
        <v>0.48638132295719849</v>
      </c>
      <c r="Z25" s="120">
        <f t="shared" ref="Z25:AA25" si="13">1-Z24</f>
        <v>0.430379746835443</v>
      </c>
      <c r="AA25" s="120">
        <f t="shared" si="13"/>
        <v>0.4392156862745098</v>
      </c>
      <c r="AB25" s="120">
        <f t="shared" ref="AB25:AW25" si="14">1-AB24</f>
        <v>0.37238493723849375</v>
      </c>
      <c r="AC25" s="120">
        <f t="shared" si="14"/>
        <v>0.3788819875776398</v>
      </c>
      <c r="AD25" s="120">
        <f t="shared" si="14"/>
        <v>0.48341232227488151</v>
      </c>
      <c r="AE25" s="120">
        <f t="shared" si="14"/>
        <v>0.41340782122905029</v>
      </c>
      <c r="AF25" s="120">
        <f t="shared" si="14"/>
        <v>0.42792792792792789</v>
      </c>
      <c r="AG25" s="120">
        <f t="shared" si="14"/>
        <v>0.37770897832817341</v>
      </c>
      <c r="AH25" s="120">
        <f t="shared" si="14"/>
        <v>0.41721854304635764</v>
      </c>
      <c r="AI25" s="120" t="e">
        <f t="shared" si="14"/>
        <v>#DIV/0!</v>
      </c>
      <c r="AJ25" s="120" t="e">
        <f t="shared" si="14"/>
        <v>#DIV/0!</v>
      </c>
      <c r="AK25" s="120" t="e">
        <f t="shared" si="14"/>
        <v>#DIV/0!</v>
      </c>
      <c r="AL25" s="120" t="e">
        <f t="shared" si="14"/>
        <v>#DIV/0!</v>
      </c>
      <c r="AM25" s="120" t="e">
        <f t="shared" si="14"/>
        <v>#DIV/0!</v>
      </c>
      <c r="AN25" s="120" t="e">
        <f t="shared" si="14"/>
        <v>#DIV/0!</v>
      </c>
      <c r="AO25" s="120" t="e">
        <f t="shared" si="14"/>
        <v>#DIV/0!</v>
      </c>
      <c r="AP25" s="120" t="e">
        <f t="shared" si="14"/>
        <v>#DIV/0!</v>
      </c>
      <c r="AQ25" s="120" t="e">
        <f t="shared" si="14"/>
        <v>#DIV/0!</v>
      </c>
      <c r="AR25" s="120" t="e">
        <f t="shared" si="14"/>
        <v>#DIV/0!</v>
      </c>
      <c r="AS25" s="120" t="e">
        <f t="shared" si="14"/>
        <v>#DIV/0!</v>
      </c>
      <c r="AT25" s="120" t="e">
        <f t="shared" si="14"/>
        <v>#DIV/0!</v>
      </c>
      <c r="AU25" s="120" t="e">
        <f t="shared" si="14"/>
        <v>#DIV/0!</v>
      </c>
      <c r="AV25" s="120" t="e">
        <f t="shared" si="14"/>
        <v>#DIV/0!</v>
      </c>
      <c r="AW25" s="120" t="e">
        <f t="shared" si="14"/>
        <v>#DIV/0!</v>
      </c>
    </row>
    <row r="26" spans="1:49" x14ac:dyDescent="0.2">
      <c r="A26" s="104"/>
      <c r="B26" s="105"/>
      <c r="C26" s="105"/>
      <c r="D26" s="105"/>
      <c r="E26" s="105"/>
      <c r="F26" s="105"/>
      <c r="G26" s="105"/>
      <c r="H26" s="105"/>
      <c r="I26" s="105"/>
      <c r="J26" s="105"/>
      <c r="K26" s="105"/>
      <c r="L26" s="105"/>
      <c r="M26" s="105"/>
      <c r="N26" s="105"/>
      <c r="O26" s="105"/>
      <c r="P26" s="105"/>
      <c r="Q26" s="105"/>
      <c r="R26" s="103"/>
      <c r="S26" s="103"/>
      <c r="T26" s="103"/>
      <c r="U26" s="103"/>
      <c r="V26" s="103"/>
      <c r="W26" s="103"/>
      <c r="X26" s="103"/>
      <c r="Y26" s="103"/>
      <c r="Z26" s="105"/>
      <c r="AA26" s="105"/>
      <c r="AB26" s="105"/>
      <c r="AC26" s="105"/>
      <c r="AD26" s="105"/>
      <c r="AE26" s="105"/>
      <c r="AF26" s="105"/>
      <c r="AG26" s="105"/>
      <c r="AH26" s="105"/>
      <c r="AI26" s="105"/>
      <c r="AJ26" s="105"/>
      <c r="AK26" s="105"/>
      <c r="AL26" s="105"/>
      <c r="AM26" s="105"/>
      <c r="AN26" s="105"/>
      <c r="AO26" s="105"/>
      <c r="AP26" s="103"/>
      <c r="AQ26" s="103"/>
      <c r="AR26" s="103"/>
      <c r="AS26" s="103"/>
      <c r="AT26" s="103"/>
      <c r="AU26" s="103"/>
      <c r="AV26" s="103"/>
      <c r="AW26" s="103"/>
    </row>
    <row r="27" spans="1:49" x14ac:dyDescent="0.2">
      <c r="A27" s="102" t="s">
        <v>349</v>
      </c>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row>
    <row r="28" spans="1:49" x14ac:dyDescent="0.2">
      <c r="A28" s="123" t="s">
        <v>190</v>
      </c>
      <c r="B28" s="119">
        <v>1687</v>
      </c>
      <c r="C28" s="119">
        <v>1709</v>
      </c>
      <c r="D28" s="119">
        <v>1708</v>
      </c>
      <c r="E28" s="119">
        <v>1737</v>
      </c>
      <c r="F28" s="119">
        <v>1737</v>
      </c>
      <c r="G28" s="119">
        <v>1668</v>
      </c>
      <c r="H28" s="119">
        <v>1677</v>
      </c>
      <c r="I28" s="119">
        <v>1826</v>
      </c>
      <c r="J28" s="119">
        <v>1900</v>
      </c>
      <c r="K28" s="119">
        <v>1929</v>
      </c>
      <c r="L28" s="119">
        <v>2060</v>
      </c>
      <c r="M28" s="119">
        <v>2078</v>
      </c>
      <c r="N28" s="119">
        <v>2085</v>
      </c>
      <c r="O28" s="119">
        <v>1996</v>
      </c>
      <c r="P28" s="119">
        <v>1857</v>
      </c>
      <c r="Q28" s="119">
        <v>1817</v>
      </c>
      <c r="R28" s="119">
        <v>1691</v>
      </c>
      <c r="S28" s="119">
        <v>1629</v>
      </c>
      <c r="T28" s="119">
        <v>1588</v>
      </c>
      <c r="U28" s="119">
        <v>1570</v>
      </c>
      <c r="V28" s="119">
        <v>1551</v>
      </c>
      <c r="W28" s="119">
        <v>1564</v>
      </c>
      <c r="X28" s="119">
        <v>1470</v>
      </c>
      <c r="Y28" s="119">
        <v>1472</v>
      </c>
      <c r="Z28" s="119">
        <v>1457</v>
      </c>
      <c r="AA28" s="119">
        <v>1425</v>
      </c>
      <c r="AB28" s="119">
        <v>1501</v>
      </c>
      <c r="AC28" s="119">
        <v>1499</v>
      </c>
      <c r="AD28" s="119">
        <v>1456</v>
      </c>
      <c r="AE28" s="119">
        <v>1487</v>
      </c>
      <c r="AF28" s="119">
        <v>1518</v>
      </c>
      <c r="AG28" s="119">
        <v>1623</v>
      </c>
      <c r="AH28" s="119">
        <v>1670</v>
      </c>
      <c r="AI28" s="119"/>
      <c r="AJ28" s="119"/>
      <c r="AK28" s="119"/>
      <c r="AL28" s="119"/>
      <c r="AM28" s="119"/>
      <c r="AN28" s="119"/>
      <c r="AO28" s="119"/>
      <c r="AP28" s="119"/>
      <c r="AQ28" s="119"/>
      <c r="AR28" s="119"/>
      <c r="AS28" s="119"/>
      <c r="AT28" s="119"/>
      <c r="AU28" s="119"/>
      <c r="AV28" s="119"/>
      <c r="AW28" s="119"/>
    </row>
    <row r="29" spans="1:49" ht="25.5" x14ac:dyDescent="0.2">
      <c r="A29" s="123" t="s">
        <v>445</v>
      </c>
      <c r="B29" s="119">
        <f t="shared" ref="B29:Y29" si="15">B28-B30</f>
        <v>1206</v>
      </c>
      <c r="C29" s="119">
        <f t="shared" si="15"/>
        <v>1222</v>
      </c>
      <c r="D29" s="119">
        <f t="shared" si="15"/>
        <v>1192</v>
      </c>
      <c r="E29" s="119">
        <f t="shared" si="15"/>
        <v>1098</v>
      </c>
      <c r="F29" s="119">
        <f t="shared" si="15"/>
        <v>1043</v>
      </c>
      <c r="G29" s="119">
        <f t="shared" si="15"/>
        <v>988</v>
      </c>
      <c r="H29" s="119">
        <f t="shared" si="15"/>
        <v>947</v>
      </c>
      <c r="I29" s="119">
        <f t="shared" si="15"/>
        <v>1139</v>
      </c>
      <c r="J29" s="119">
        <f t="shared" si="15"/>
        <v>1191</v>
      </c>
      <c r="K29" s="119">
        <f t="shared" si="15"/>
        <v>1182</v>
      </c>
      <c r="L29" s="119">
        <f t="shared" si="15"/>
        <v>1245</v>
      </c>
      <c r="M29" s="119">
        <f t="shared" si="15"/>
        <v>1190</v>
      </c>
      <c r="N29" s="119">
        <f t="shared" si="15"/>
        <v>1154</v>
      </c>
      <c r="O29" s="119">
        <f t="shared" si="15"/>
        <v>1132</v>
      </c>
      <c r="P29" s="119">
        <f t="shared" si="15"/>
        <v>1040</v>
      </c>
      <c r="Q29" s="119">
        <f t="shared" si="15"/>
        <v>956</v>
      </c>
      <c r="R29" s="119">
        <f t="shared" si="15"/>
        <v>838</v>
      </c>
      <c r="S29" s="119">
        <f t="shared" si="15"/>
        <v>819</v>
      </c>
      <c r="T29" s="119">
        <f t="shared" si="15"/>
        <v>805</v>
      </c>
      <c r="U29" s="119">
        <f t="shared" si="15"/>
        <v>886</v>
      </c>
      <c r="V29" s="119">
        <f t="shared" si="15"/>
        <v>925</v>
      </c>
      <c r="W29" s="119">
        <f t="shared" si="15"/>
        <v>992</v>
      </c>
      <c r="X29" s="119">
        <v>992</v>
      </c>
      <c r="Y29" s="119">
        <f t="shared" si="15"/>
        <v>1006</v>
      </c>
      <c r="Z29" s="119">
        <v>964</v>
      </c>
      <c r="AA29" s="119">
        <v>1006</v>
      </c>
      <c r="AB29" s="119">
        <v>1024</v>
      </c>
      <c r="AC29" s="119">
        <v>962</v>
      </c>
      <c r="AD29" s="119">
        <v>949</v>
      </c>
      <c r="AE29" s="119">
        <v>958</v>
      </c>
      <c r="AF29" s="119">
        <v>991</v>
      </c>
      <c r="AG29" s="119">
        <v>1110</v>
      </c>
      <c r="AH29" s="119">
        <v>1137</v>
      </c>
      <c r="AI29" s="119"/>
      <c r="AJ29" s="119"/>
      <c r="AK29" s="119"/>
      <c r="AL29" s="119"/>
      <c r="AM29" s="119"/>
      <c r="AN29" s="119"/>
      <c r="AO29" s="119"/>
      <c r="AP29" s="119"/>
      <c r="AQ29" s="119"/>
      <c r="AR29" s="119"/>
      <c r="AS29" s="119"/>
      <c r="AT29" s="119"/>
      <c r="AU29" s="119"/>
      <c r="AV29" s="119"/>
      <c r="AW29" s="119"/>
    </row>
    <row r="30" spans="1:49" ht="25.5" x14ac:dyDescent="0.2">
      <c r="A30" s="123" t="s">
        <v>446</v>
      </c>
      <c r="B30" s="119">
        <v>481</v>
      </c>
      <c r="C30" s="119">
        <v>487</v>
      </c>
      <c r="D30" s="119">
        <v>516</v>
      </c>
      <c r="E30" s="119">
        <v>639</v>
      </c>
      <c r="F30" s="119">
        <v>694</v>
      </c>
      <c r="G30" s="119">
        <v>680</v>
      </c>
      <c r="H30" s="119">
        <v>730</v>
      </c>
      <c r="I30" s="119">
        <v>687</v>
      </c>
      <c r="J30" s="119">
        <v>709</v>
      </c>
      <c r="K30" s="119">
        <v>747</v>
      </c>
      <c r="L30" s="119">
        <v>815</v>
      </c>
      <c r="M30" s="119">
        <v>888</v>
      </c>
      <c r="N30" s="119">
        <v>931</v>
      </c>
      <c r="O30" s="119">
        <v>864</v>
      </c>
      <c r="P30" s="119">
        <v>817</v>
      </c>
      <c r="Q30" s="119">
        <v>861</v>
      </c>
      <c r="R30" s="119">
        <v>853</v>
      </c>
      <c r="S30" s="119">
        <v>810</v>
      </c>
      <c r="T30" s="119">
        <v>783</v>
      </c>
      <c r="U30" s="119">
        <v>684</v>
      </c>
      <c r="V30" s="119">
        <v>626</v>
      </c>
      <c r="W30" s="119">
        <v>572</v>
      </c>
      <c r="X30" s="119">
        <v>478</v>
      </c>
      <c r="Y30" s="119">
        <v>466</v>
      </c>
      <c r="Z30" s="119">
        <v>493</v>
      </c>
      <c r="AA30" s="119">
        <v>419</v>
      </c>
      <c r="AB30" s="119">
        <v>477</v>
      </c>
      <c r="AC30" s="119">
        <v>537</v>
      </c>
      <c r="AD30" s="119">
        <v>507</v>
      </c>
      <c r="AE30" s="119">
        <v>529</v>
      </c>
      <c r="AF30" s="119">
        <v>527</v>
      </c>
      <c r="AG30" s="119">
        <v>513</v>
      </c>
      <c r="AH30" s="119">
        <v>533</v>
      </c>
      <c r="AI30" s="119"/>
      <c r="AJ30" s="119"/>
      <c r="AK30" s="119"/>
      <c r="AL30" s="119"/>
      <c r="AM30" s="119"/>
      <c r="AN30" s="119"/>
      <c r="AO30" s="119"/>
      <c r="AP30" s="119"/>
      <c r="AQ30" s="119"/>
      <c r="AR30" s="119"/>
      <c r="AS30" s="119"/>
      <c r="AT30" s="119"/>
      <c r="AU30" s="119"/>
      <c r="AV30" s="119"/>
      <c r="AW30" s="119"/>
    </row>
    <row r="31" spans="1:49" x14ac:dyDescent="0.2">
      <c r="A31" s="123" t="s">
        <v>347</v>
      </c>
      <c r="B31" s="120">
        <f t="shared" ref="B31:Y31" si="16">1-(B30/B28)</f>
        <v>0.7148784825133373</v>
      </c>
      <c r="C31" s="120">
        <f t="shared" si="16"/>
        <v>0.71503803393797538</v>
      </c>
      <c r="D31" s="120">
        <f t="shared" si="16"/>
        <v>0.69789227166276346</v>
      </c>
      <c r="E31" s="120">
        <f t="shared" si="16"/>
        <v>0.63212435233160624</v>
      </c>
      <c r="F31" s="120">
        <f t="shared" si="16"/>
        <v>0.60046056419113414</v>
      </c>
      <c r="G31" s="120">
        <f t="shared" si="16"/>
        <v>0.592326139088729</v>
      </c>
      <c r="H31" s="120">
        <f t="shared" si="16"/>
        <v>0.56469886702444838</v>
      </c>
      <c r="I31" s="120">
        <f t="shared" si="16"/>
        <v>0.62376779846659369</v>
      </c>
      <c r="J31" s="120">
        <f t="shared" si="16"/>
        <v>0.62684210526315787</v>
      </c>
      <c r="K31" s="120">
        <f t="shared" si="16"/>
        <v>0.61275272161741834</v>
      </c>
      <c r="L31" s="120">
        <f t="shared" si="16"/>
        <v>0.60436893203883502</v>
      </c>
      <c r="M31" s="120">
        <f t="shared" si="16"/>
        <v>0.57266602502406161</v>
      </c>
      <c r="N31" s="120">
        <f t="shared" si="16"/>
        <v>0.55347721822541973</v>
      </c>
      <c r="O31" s="120">
        <f t="shared" si="16"/>
        <v>0.56713426853707416</v>
      </c>
      <c r="P31" s="120">
        <f t="shared" si="16"/>
        <v>0.56004308023694138</v>
      </c>
      <c r="Q31" s="120">
        <f t="shared" si="16"/>
        <v>0.5261419922949917</v>
      </c>
      <c r="R31" s="120">
        <f t="shared" si="16"/>
        <v>0.49556475458308691</v>
      </c>
      <c r="S31" s="120">
        <f t="shared" si="16"/>
        <v>0.50276243093922646</v>
      </c>
      <c r="T31" s="120">
        <f t="shared" si="16"/>
        <v>0.50692695214105798</v>
      </c>
      <c r="U31" s="120">
        <f t="shared" si="16"/>
        <v>0.56433121019108279</v>
      </c>
      <c r="V31" s="120">
        <f t="shared" si="16"/>
        <v>0.59638942617666024</v>
      </c>
      <c r="W31" s="120">
        <f t="shared" si="16"/>
        <v>0.63427109974424556</v>
      </c>
      <c r="X31" s="120">
        <f t="shared" si="16"/>
        <v>0.67482993197278907</v>
      </c>
      <c r="Y31" s="120">
        <f t="shared" si="16"/>
        <v>0.68342391304347827</v>
      </c>
      <c r="Z31" s="120">
        <f t="shared" ref="Z31:AA31" si="17">1-(Z30/Z28)</f>
        <v>0.66163349347975298</v>
      </c>
      <c r="AA31" s="120">
        <f t="shared" si="17"/>
        <v>0.70596491228070168</v>
      </c>
      <c r="AB31" s="120">
        <f t="shared" ref="AB31:AW31" si="18">1-(AB30/AB28)</f>
        <v>0.68221185876082613</v>
      </c>
      <c r="AC31" s="120">
        <f t="shared" si="18"/>
        <v>0.64176117411607736</v>
      </c>
      <c r="AD31" s="120">
        <f t="shared" si="18"/>
        <v>0.6517857142857143</v>
      </c>
      <c r="AE31" s="120">
        <f t="shared" si="18"/>
        <v>0.64425016812373914</v>
      </c>
      <c r="AF31" s="120">
        <f t="shared" si="18"/>
        <v>0.65283267457180494</v>
      </c>
      <c r="AG31" s="120">
        <f t="shared" si="18"/>
        <v>0.68391866913123844</v>
      </c>
      <c r="AH31" s="120">
        <f t="shared" si="18"/>
        <v>0.68083832335329342</v>
      </c>
      <c r="AI31" s="120" t="e">
        <f t="shared" si="18"/>
        <v>#DIV/0!</v>
      </c>
      <c r="AJ31" s="120" t="e">
        <f t="shared" si="18"/>
        <v>#DIV/0!</v>
      </c>
      <c r="AK31" s="120" t="e">
        <f t="shared" si="18"/>
        <v>#DIV/0!</v>
      </c>
      <c r="AL31" s="120" t="e">
        <f t="shared" si="18"/>
        <v>#DIV/0!</v>
      </c>
      <c r="AM31" s="120" t="e">
        <f t="shared" si="18"/>
        <v>#DIV/0!</v>
      </c>
      <c r="AN31" s="120" t="e">
        <f t="shared" si="18"/>
        <v>#DIV/0!</v>
      </c>
      <c r="AO31" s="120" t="e">
        <f t="shared" si="18"/>
        <v>#DIV/0!</v>
      </c>
      <c r="AP31" s="120" t="e">
        <f t="shared" si="18"/>
        <v>#DIV/0!</v>
      </c>
      <c r="AQ31" s="120" t="e">
        <f t="shared" si="18"/>
        <v>#DIV/0!</v>
      </c>
      <c r="AR31" s="120" t="e">
        <f t="shared" si="18"/>
        <v>#DIV/0!</v>
      </c>
      <c r="AS31" s="120" t="e">
        <f t="shared" si="18"/>
        <v>#DIV/0!</v>
      </c>
      <c r="AT31" s="120" t="e">
        <f t="shared" si="18"/>
        <v>#DIV/0!</v>
      </c>
      <c r="AU31" s="120" t="e">
        <f t="shared" si="18"/>
        <v>#DIV/0!</v>
      </c>
      <c r="AV31" s="120" t="e">
        <f t="shared" si="18"/>
        <v>#DIV/0!</v>
      </c>
      <c r="AW31" s="120" t="e">
        <f t="shared" si="18"/>
        <v>#DIV/0!</v>
      </c>
    </row>
    <row r="32" spans="1:49" x14ac:dyDescent="0.2">
      <c r="A32" s="123" t="s">
        <v>348</v>
      </c>
      <c r="B32" s="120">
        <f t="shared" ref="B32:H32" si="19">1-(B29/B28)</f>
        <v>0.2851215174866627</v>
      </c>
      <c r="C32" s="120">
        <f t="shared" si="19"/>
        <v>0.28496196606202462</v>
      </c>
      <c r="D32" s="120">
        <f t="shared" si="19"/>
        <v>0.30210772833723654</v>
      </c>
      <c r="E32" s="120">
        <f t="shared" si="19"/>
        <v>0.36787564766839376</v>
      </c>
      <c r="F32" s="120">
        <f t="shared" si="19"/>
        <v>0.39953943580886586</v>
      </c>
      <c r="G32" s="120">
        <f t="shared" si="19"/>
        <v>0.407673860911271</v>
      </c>
      <c r="H32" s="120">
        <f t="shared" si="19"/>
        <v>0.43530113297555162</v>
      </c>
      <c r="I32" s="120">
        <f t="shared" ref="I32:Q32" si="20">1-(I29/I28)</f>
        <v>0.37623220153340631</v>
      </c>
      <c r="J32" s="120">
        <f t="shared" si="20"/>
        <v>0.37315789473684213</v>
      </c>
      <c r="K32" s="120">
        <f t="shared" si="20"/>
        <v>0.38724727838258166</v>
      </c>
      <c r="L32" s="120">
        <f t="shared" si="20"/>
        <v>0.39563106796116509</v>
      </c>
      <c r="M32" s="120">
        <f t="shared" si="20"/>
        <v>0.42733397497593839</v>
      </c>
      <c r="N32" s="120">
        <f t="shared" si="20"/>
        <v>0.44652278177458038</v>
      </c>
      <c r="O32" s="120">
        <f t="shared" si="20"/>
        <v>0.43286573146292584</v>
      </c>
      <c r="P32" s="120">
        <f t="shared" si="20"/>
        <v>0.43995691976305873</v>
      </c>
      <c r="Q32" s="120">
        <f t="shared" si="20"/>
        <v>0.4738580077050083</v>
      </c>
      <c r="R32" s="120">
        <f t="shared" ref="R32:Y32" si="21">1-(R29/R28)</f>
        <v>0.50443524541691309</v>
      </c>
      <c r="S32" s="120">
        <f t="shared" si="21"/>
        <v>0.49723756906077343</v>
      </c>
      <c r="T32" s="120">
        <f t="shared" si="21"/>
        <v>0.49307304785894202</v>
      </c>
      <c r="U32" s="120">
        <f t="shared" si="21"/>
        <v>0.43566878980891721</v>
      </c>
      <c r="V32" s="120">
        <f t="shared" si="21"/>
        <v>0.40361057382333976</v>
      </c>
      <c r="W32" s="120">
        <f t="shared" si="21"/>
        <v>0.36572890025575444</v>
      </c>
      <c r="X32" s="120">
        <f t="shared" si="21"/>
        <v>0.32517006802721093</v>
      </c>
      <c r="Y32" s="120">
        <f t="shared" si="21"/>
        <v>0.31657608695652173</v>
      </c>
      <c r="Z32" s="120">
        <f t="shared" ref="Z32:AA32" si="22">1-(Z29/Z28)</f>
        <v>0.33836650652024713</v>
      </c>
      <c r="AA32" s="120">
        <f t="shared" si="22"/>
        <v>0.2940350877192982</v>
      </c>
      <c r="AB32" s="120">
        <f t="shared" ref="AB32:AW32" si="23">1-(AB29/AB28)</f>
        <v>0.31778814123917387</v>
      </c>
      <c r="AC32" s="120">
        <f t="shared" si="23"/>
        <v>0.35823882588392264</v>
      </c>
      <c r="AD32" s="120">
        <f t="shared" si="23"/>
        <v>0.3482142857142857</v>
      </c>
      <c r="AE32" s="120">
        <f t="shared" si="23"/>
        <v>0.35574983187626097</v>
      </c>
      <c r="AF32" s="120">
        <f t="shared" si="23"/>
        <v>0.34716732542819495</v>
      </c>
      <c r="AG32" s="120">
        <f t="shared" si="23"/>
        <v>0.31608133086876156</v>
      </c>
      <c r="AH32" s="120">
        <f t="shared" si="23"/>
        <v>0.31916167664670658</v>
      </c>
      <c r="AI32" s="120" t="e">
        <f t="shared" si="23"/>
        <v>#DIV/0!</v>
      </c>
      <c r="AJ32" s="120" t="e">
        <f t="shared" si="23"/>
        <v>#DIV/0!</v>
      </c>
      <c r="AK32" s="120" t="e">
        <f t="shared" si="23"/>
        <v>#DIV/0!</v>
      </c>
      <c r="AL32" s="120" t="e">
        <f t="shared" si="23"/>
        <v>#DIV/0!</v>
      </c>
      <c r="AM32" s="120" t="e">
        <f t="shared" si="23"/>
        <v>#DIV/0!</v>
      </c>
      <c r="AN32" s="120" t="e">
        <f t="shared" si="23"/>
        <v>#DIV/0!</v>
      </c>
      <c r="AO32" s="120" t="e">
        <f t="shared" si="23"/>
        <v>#DIV/0!</v>
      </c>
      <c r="AP32" s="120" t="e">
        <f t="shared" si="23"/>
        <v>#DIV/0!</v>
      </c>
      <c r="AQ32" s="120" t="e">
        <f t="shared" si="23"/>
        <v>#DIV/0!</v>
      </c>
      <c r="AR32" s="120" t="e">
        <f t="shared" si="23"/>
        <v>#DIV/0!</v>
      </c>
      <c r="AS32" s="120" t="e">
        <f t="shared" si="23"/>
        <v>#DIV/0!</v>
      </c>
      <c r="AT32" s="120" t="e">
        <f t="shared" si="23"/>
        <v>#DIV/0!</v>
      </c>
      <c r="AU32" s="120" t="e">
        <f t="shared" si="23"/>
        <v>#DIV/0!</v>
      </c>
      <c r="AV32" s="120" t="e">
        <f t="shared" si="23"/>
        <v>#DIV/0!</v>
      </c>
      <c r="AW32" s="120" t="e">
        <f t="shared" si="23"/>
        <v>#DIV/0!</v>
      </c>
    </row>
    <row r="33" spans="1:49" x14ac:dyDescent="0.2">
      <c r="A33" s="100"/>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row>
    <row r="34" spans="1:49" x14ac:dyDescent="0.2">
      <c r="A34" s="705">
        <v>43070</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row>
    <row r="35" spans="1:49" x14ac:dyDescent="0.2">
      <c r="A35" s="705" t="s">
        <v>653</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row>
    <row r="36" spans="1:49" x14ac:dyDescent="0.2">
      <c r="A36" s="698"/>
      <c r="B36" s="1073" t="s">
        <v>652</v>
      </c>
      <c r="C36" s="1073"/>
      <c r="D36" s="1073"/>
      <c r="E36" s="1073"/>
      <c r="F36" s="1073"/>
      <c r="G36" s="124"/>
      <c r="H36" s="124"/>
      <c r="I36" s="124"/>
      <c r="J36" s="124"/>
      <c r="K36" s="124"/>
      <c r="L36" s="124"/>
    </row>
    <row r="37" spans="1:49" ht="25.5" x14ac:dyDescent="0.2">
      <c r="A37" s="699" t="s">
        <v>647</v>
      </c>
      <c r="B37" s="700" t="s">
        <v>672</v>
      </c>
      <c r="C37" s="708" t="s">
        <v>668</v>
      </c>
      <c r="D37" s="708" t="s">
        <v>669</v>
      </c>
      <c r="E37" s="708" t="s">
        <v>670</v>
      </c>
      <c r="F37" s="708" t="s">
        <v>671</v>
      </c>
      <c r="G37" s="124"/>
      <c r="H37" s="124"/>
      <c r="I37" s="124"/>
      <c r="J37" s="124"/>
      <c r="K37" s="124"/>
      <c r="L37" s="124"/>
    </row>
    <row r="38" spans="1:49" x14ac:dyDescent="0.2">
      <c r="A38" s="701" t="s">
        <v>649</v>
      </c>
      <c r="B38" s="710">
        <v>32</v>
      </c>
      <c r="C38" s="711">
        <v>12</v>
      </c>
      <c r="D38" s="711">
        <v>20</v>
      </c>
      <c r="E38" s="712">
        <v>0.375</v>
      </c>
      <c r="F38" s="712">
        <v>0.625</v>
      </c>
      <c r="G38" s="124"/>
      <c r="H38" s="124"/>
      <c r="I38" s="124"/>
      <c r="J38" s="124"/>
      <c r="K38" s="124"/>
      <c r="L38" s="124"/>
    </row>
    <row r="39" spans="1:49" x14ac:dyDescent="0.2">
      <c r="A39" s="701" t="s">
        <v>650</v>
      </c>
      <c r="B39" s="710">
        <v>80</v>
      </c>
      <c r="C39" s="711">
        <v>40</v>
      </c>
      <c r="D39" s="711">
        <v>40</v>
      </c>
      <c r="E39" s="712">
        <v>0.5</v>
      </c>
      <c r="F39" s="712">
        <v>0.5</v>
      </c>
      <c r="G39" s="124"/>
      <c r="H39" s="124"/>
      <c r="I39" s="124"/>
      <c r="J39" s="124"/>
      <c r="K39" s="124"/>
      <c r="L39" s="124"/>
    </row>
    <row r="40" spans="1:49" x14ac:dyDescent="0.2">
      <c r="A40" s="701" t="s">
        <v>651</v>
      </c>
      <c r="B40" s="710">
        <v>39</v>
      </c>
      <c r="C40" s="713">
        <v>36</v>
      </c>
      <c r="D40" s="713">
        <v>3</v>
      </c>
      <c r="E40" s="712">
        <v>0.92300000000000004</v>
      </c>
      <c r="F40" s="712">
        <v>7.6999999999999999E-2</v>
      </c>
      <c r="G40" s="124"/>
      <c r="H40" s="124"/>
      <c r="I40" s="124"/>
      <c r="J40" s="124"/>
      <c r="K40" s="124"/>
      <c r="L40" s="124"/>
    </row>
    <row r="41" spans="1:49" x14ac:dyDescent="0.2">
      <c r="A41" s="703" t="s">
        <v>665</v>
      </c>
      <c r="B41" s="714">
        <v>151</v>
      </c>
      <c r="C41" s="714">
        <v>88</v>
      </c>
      <c r="D41" s="714">
        <v>63</v>
      </c>
      <c r="E41" s="715">
        <v>0.58299999999999996</v>
      </c>
      <c r="F41" s="716">
        <v>0.41699999999999998</v>
      </c>
      <c r="G41" s="124"/>
      <c r="H41" s="124"/>
      <c r="I41" s="124"/>
      <c r="J41" s="124"/>
      <c r="K41" s="124"/>
      <c r="L41" s="124"/>
    </row>
    <row r="42" spans="1:49" x14ac:dyDescent="0.2">
      <c r="A42" s="124"/>
      <c r="B42" s="124"/>
      <c r="C42" s="124"/>
      <c r="D42" s="124"/>
      <c r="E42" s="124"/>
      <c r="F42" s="124"/>
      <c r="G42" s="124"/>
      <c r="H42" s="124"/>
      <c r="I42" s="124"/>
      <c r="J42" s="124"/>
      <c r="K42" s="124"/>
      <c r="L42" s="124"/>
      <c r="M42" s="695"/>
      <c r="N42" s="696"/>
      <c r="O42" s="696"/>
      <c r="P42" s="696"/>
      <c r="Q42" s="697"/>
      <c r="R42" s="697"/>
    </row>
    <row r="43" spans="1:49" x14ac:dyDescent="0.2">
      <c r="A43" s="698"/>
      <c r="B43" s="1073" t="s">
        <v>646</v>
      </c>
      <c r="C43" s="1073"/>
      <c r="D43" s="1073"/>
      <c r="E43" s="1073"/>
      <c r="F43" s="1073"/>
      <c r="G43" s="124"/>
      <c r="H43" s="124"/>
      <c r="I43" s="124"/>
      <c r="J43" s="124"/>
      <c r="K43" s="124"/>
      <c r="L43" s="124"/>
      <c r="M43" s="695"/>
      <c r="N43" s="696"/>
      <c r="O43" s="696"/>
      <c r="P43" s="696"/>
      <c r="Q43" s="697"/>
      <c r="R43" s="697"/>
    </row>
    <row r="44" spans="1:49" ht="25.5" x14ac:dyDescent="0.2">
      <c r="A44" s="699" t="s">
        <v>647</v>
      </c>
      <c r="B44" s="700" t="s">
        <v>648</v>
      </c>
      <c r="C44" s="708" t="s">
        <v>668</v>
      </c>
      <c r="D44" s="708" t="s">
        <v>669</v>
      </c>
      <c r="E44" s="708" t="s">
        <v>670</v>
      </c>
      <c r="F44" s="708" t="s">
        <v>671</v>
      </c>
      <c r="G44" s="124"/>
      <c r="H44" s="124"/>
      <c r="I44" s="124"/>
      <c r="J44" s="216"/>
      <c r="K44" s="216"/>
      <c r="L44" s="216"/>
      <c r="M44" s="695"/>
      <c r="N44" s="696"/>
      <c r="O44" s="696"/>
      <c r="P44" s="696"/>
      <c r="Q44" s="697"/>
      <c r="R44" s="697"/>
    </row>
    <row r="45" spans="1:49" x14ac:dyDescent="0.2">
      <c r="A45" s="701" t="s">
        <v>649</v>
      </c>
      <c r="B45" s="710">
        <v>213</v>
      </c>
      <c r="C45" s="711">
        <v>158</v>
      </c>
      <c r="D45" s="711">
        <v>55</v>
      </c>
      <c r="E45" s="712">
        <v>0.74199999999999999</v>
      </c>
      <c r="F45" s="712">
        <v>0.25800000000000001</v>
      </c>
      <c r="G45" s="124"/>
      <c r="H45" s="124"/>
      <c r="I45" s="124"/>
      <c r="J45" s="789"/>
      <c r="K45" s="789"/>
      <c r="L45" s="789"/>
      <c r="M45" s="790"/>
      <c r="N45" s="790"/>
      <c r="O45" s="696"/>
      <c r="P45" s="696"/>
      <c r="Q45" s="697"/>
      <c r="R45" s="697"/>
    </row>
    <row r="46" spans="1:49" x14ac:dyDescent="0.2">
      <c r="A46" s="701" t="s">
        <v>650</v>
      </c>
      <c r="B46" s="710">
        <v>1157</v>
      </c>
      <c r="C46" s="711">
        <v>723</v>
      </c>
      <c r="D46" s="711">
        <v>434</v>
      </c>
      <c r="E46" s="712">
        <v>0.625</v>
      </c>
      <c r="F46" s="712">
        <v>0.375</v>
      </c>
      <c r="G46" s="124"/>
      <c r="H46" s="124"/>
      <c r="I46" s="124"/>
      <c r="J46" s="789"/>
      <c r="K46" s="789"/>
      <c r="L46" s="789"/>
      <c r="M46" s="790"/>
      <c r="N46" s="790"/>
      <c r="O46" s="696"/>
      <c r="P46" s="696"/>
      <c r="Q46" s="697"/>
      <c r="R46" s="697"/>
    </row>
    <row r="47" spans="1:49" x14ac:dyDescent="0.2">
      <c r="A47" s="701" t="s">
        <v>651</v>
      </c>
      <c r="B47" s="710">
        <v>300</v>
      </c>
      <c r="C47" s="713">
        <v>256</v>
      </c>
      <c r="D47" s="713">
        <v>44</v>
      </c>
      <c r="E47" s="712">
        <v>0.85299999999999998</v>
      </c>
      <c r="F47" s="712">
        <v>0.14699999999999999</v>
      </c>
      <c r="G47" s="124"/>
      <c r="H47" s="124"/>
      <c r="I47" s="124"/>
      <c r="J47" s="789"/>
      <c r="K47" s="789"/>
      <c r="L47" s="789"/>
      <c r="M47" s="790"/>
      <c r="N47" s="790"/>
      <c r="O47" s="696"/>
      <c r="P47" s="696"/>
      <c r="Q47" s="697"/>
      <c r="R47" s="697"/>
    </row>
    <row r="48" spans="1:49" x14ac:dyDescent="0.2">
      <c r="A48" s="703" t="s">
        <v>666</v>
      </c>
      <c r="B48" s="714">
        <v>1670</v>
      </c>
      <c r="C48" s="714">
        <v>1137</v>
      </c>
      <c r="D48" s="714">
        <v>533</v>
      </c>
      <c r="E48" s="716">
        <v>0.68100000000000005</v>
      </c>
      <c r="F48" s="716">
        <v>0.31900000000000001</v>
      </c>
      <c r="G48" s="124"/>
      <c r="H48" s="124"/>
      <c r="I48" s="124"/>
      <c r="J48" s="791"/>
      <c r="K48" s="791"/>
      <c r="L48" s="791"/>
      <c r="M48" s="792"/>
      <c r="N48" s="792"/>
      <c r="O48" s="696"/>
      <c r="P48" s="696"/>
      <c r="Q48" s="697"/>
      <c r="R48" s="697"/>
    </row>
    <row r="49" spans="1:18" x14ac:dyDescent="0.2">
      <c r="A49" s="124"/>
      <c r="B49" s="124"/>
      <c r="C49" s="124"/>
      <c r="D49" s="124"/>
      <c r="E49" s="124"/>
      <c r="F49" s="124"/>
      <c r="G49" s="124"/>
      <c r="H49" s="124"/>
      <c r="I49" s="124"/>
      <c r="J49" s="216"/>
      <c r="K49" s="216"/>
      <c r="L49" s="216"/>
      <c r="M49" s="695"/>
      <c r="N49" s="696"/>
      <c r="O49" s="696"/>
      <c r="P49" s="696"/>
      <c r="Q49" s="697"/>
      <c r="R49" s="697"/>
    </row>
    <row r="50" spans="1:18" x14ac:dyDescent="0.2">
      <c r="A50" s="187" t="s">
        <v>638</v>
      </c>
      <c r="B50" s="124"/>
      <c r="C50" s="124"/>
      <c r="D50" s="124"/>
      <c r="E50" s="124"/>
      <c r="F50" s="124"/>
      <c r="G50" s="124"/>
      <c r="H50" s="124"/>
      <c r="I50" s="124"/>
      <c r="J50" s="124"/>
      <c r="K50" s="124"/>
      <c r="L50" s="124"/>
      <c r="M50" s="124"/>
      <c r="N50" s="124"/>
      <c r="O50" s="124"/>
    </row>
    <row r="75" spans="1:14" x14ac:dyDescent="0.2">
      <c r="A75" s="102" t="s">
        <v>346</v>
      </c>
      <c r="N75" s="102" t="s">
        <v>349</v>
      </c>
    </row>
    <row r="100" spans="1:14" x14ac:dyDescent="0.2">
      <c r="A100" s="603" t="s">
        <v>643</v>
      </c>
      <c r="N100" s="603" t="s">
        <v>642</v>
      </c>
    </row>
    <row r="125" spans="1:14" ht="14.25" x14ac:dyDescent="0.2">
      <c r="A125" s="603" t="s">
        <v>639</v>
      </c>
      <c r="N125" s="603" t="s">
        <v>640</v>
      </c>
    </row>
    <row r="150" spans="1:14" x14ac:dyDescent="0.2">
      <c r="A150" s="694" t="s">
        <v>641</v>
      </c>
      <c r="N150" s="603" t="s">
        <v>644</v>
      </c>
    </row>
    <row r="175" spans="1:14" x14ac:dyDescent="0.2">
      <c r="A175" s="603" t="s">
        <v>645</v>
      </c>
      <c r="N175" s="694" t="s">
        <v>728</v>
      </c>
    </row>
  </sheetData>
  <mergeCells count="2">
    <mergeCell ref="B43:F43"/>
    <mergeCell ref="B36:F36"/>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B8A672F652D04599A2860C57F343EA" ma:contentTypeVersion="3" ma:contentTypeDescription="Create a new document." ma:contentTypeScope="" ma:versionID="14c4e0296055fba32fd2a6ce4fb72e58">
  <xsd:schema xmlns:xsd="http://www.w3.org/2001/XMLSchema" xmlns:xs="http://www.w3.org/2001/XMLSchema" xmlns:p="http://schemas.microsoft.com/office/2006/metadata/properties" xmlns:ns2="0a03863b-e219-4c95-b717-9c854d88e252" targetNamespace="http://schemas.microsoft.com/office/2006/metadata/properties" ma:root="true" ma:fieldsID="30f3179b882bc2a695ec33a687e72783" ns2:_="">
    <xsd:import namespace="0a03863b-e219-4c95-b717-9c854d88e252"/>
    <xsd:element name="properties">
      <xsd:complexType>
        <xsd:sequence>
          <xsd:element name="documentManagement">
            <xsd:complexType>
              <xsd:all>
                <xsd:element ref="ns2:BoardPaperType"/>
                <xsd:element ref="ns2:MeetingDateTime"/>
                <xsd:element ref="ns2:Ven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3863b-e219-4c95-b717-9c854d88e252" elementFormDefault="qualified">
    <xsd:import namespace="http://schemas.microsoft.com/office/2006/documentManagement/types"/>
    <xsd:import namespace="http://schemas.microsoft.com/office/infopath/2007/PartnerControls"/>
    <xsd:element name="BoardPaperType" ma:index="8" ma:displayName="Board Paper Type" ma:default="Board Paper" ma:format="Dropdown" ma:internalName="BoardPaperType">
      <xsd:simpleType>
        <xsd:restriction base="dms:Choice">
          <xsd:enumeration value="Board Paper"/>
          <xsd:enumeration value="Attachment"/>
        </xsd:restriction>
      </xsd:simpleType>
    </xsd:element>
    <xsd:element name="MeetingDateTime" ma:index="9" ma:displayName="Meeting Date and Time" ma:format="DateTime" ma:internalName="MeetingDateTime">
      <xsd:simpleType>
        <xsd:restriction base="dms:DateTime"/>
      </xsd:simpleType>
    </xsd:element>
    <xsd:element name="Venue" ma:index="10" nillable="true" ma:displayName="Venue" ma:internalName="Venu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etingDateTime xmlns="0a03863b-e219-4c95-b717-9c854d88e252">2018-02-07T09:30:00+00:00</MeetingDateTime>
    <Venue xmlns="0a03863b-e219-4c95-b717-9c854d88e252">Scotttish Health Service Centre, Crewe Road South, Edinburgh EH4 2LF</Venue>
    <BoardPaperType xmlns="0a03863b-e219-4c95-b717-9c854d88e252">Attachment</BoardPaperType>
  </documentManagement>
</p:properties>
</file>

<file path=customXml/itemProps1.xml><?xml version="1.0" encoding="utf-8"?>
<ds:datastoreItem xmlns:ds="http://schemas.openxmlformats.org/officeDocument/2006/customXml" ds:itemID="{DA922400-630E-4E7A-A721-020DD06AD762}"/>
</file>

<file path=customXml/itemProps2.xml><?xml version="1.0" encoding="utf-8"?>
<ds:datastoreItem xmlns:ds="http://schemas.openxmlformats.org/officeDocument/2006/customXml" ds:itemID="{6D840700-DF77-4E11-9492-23219264B148}"/>
</file>

<file path=customXml/itemProps3.xml><?xml version="1.0" encoding="utf-8"?>
<ds:datastoreItem xmlns:ds="http://schemas.openxmlformats.org/officeDocument/2006/customXml" ds:itemID="{D768B30A-4D3F-4291-8E27-3BFB885F22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58</vt:i4>
      </vt:variant>
    </vt:vector>
  </HeadingPairs>
  <TitlesOfParts>
    <vt:vector size="106" baseType="lpstr">
      <vt:lpstr>Content</vt:lpstr>
      <vt:lpstr>Overview Table</vt:lpstr>
      <vt:lpstr>A&amp;E WT</vt:lpstr>
      <vt:lpstr>A&amp;E WT - Published</vt:lpstr>
      <vt:lpstr>ABI</vt:lpstr>
      <vt:lpstr>ABI - Published</vt:lpstr>
      <vt:lpstr>Antenatal</vt:lpstr>
      <vt:lpstr>Antenatal - Published</vt:lpstr>
      <vt:lpstr>CAMHS</vt:lpstr>
      <vt:lpstr>CAMHS - Published</vt:lpstr>
      <vt:lpstr>Cancer - 31 Day</vt:lpstr>
      <vt:lpstr>Cancer - 62 Day</vt:lpstr>
      <vt:lpstr>Cancer - Published</vt:lpstr>
      <vt:lpstr>Cardiac Arrest</vt:lpstr>
      <vt:lpstr>Complaints</vt:lpstr>
      <vt:lpstr>Complaints - Published</vt:lpstr>
      <vt:lpstr>Delayed Discharges</vt:lpstr>
      <vt:lpstr>Delayed Discharges - Published</vt:lpstr>
      <vt:lpstr>Dementia</vt:lpstr>
      <vt:lpstr>Dementia - Published</vt:lpstr>
      <vt:lpstr>DCE</vt:lpstr>
      <vt:lpstr>Diagnostics</vt:lpstr>
      <vt:lpstr>Diagnostics - Published</vt:lpstr>
      <vt:lpstr>Drug &amp; Alcohol - Published</vt:lpstr>
      <vt:lpstr>Falls</vt:lpstr>
      <vt:lpstr>GP Access</vt:lpstr>
      <vt:lpstr>HAI - C.Diff</vt:lpstr>
      <vt:lpstr>HAI - SAB</vt:lpstr>
      <vt:lpstr>HAI - Published</vt:lpstr>
      <vt:lpstr>Hospital Scorecard</vt:lpstr>
      <vt:lpstr>HSMR</vt:lpstr>
      <vt:lpstr>Inpatient - TTG</vt:lpstr>
      <vt:lpstr>Inpatient - Published</vt:lpstr>
      <vt:lpstr>IVF</vt:lpstr>
      <vt:lpstr>IVF - Published</vt:lpstr>
      <vt:lpstr>Outpatient</vt:lpstr>
      <vt:lpstr>Outpatient - Published</vt:lpstr>
      <vt:lpstr>Patient Experience</vt:lpstr>
      <vt:lpstr>P.R. Surveillance Endoscopy</vt:lpstr>
      <vt:lpstr>Psych Therapies</vt:lpstr>
      <vt:lpstr>Psych Therapies - Published</vt:lpstr>
      <vt:lpstr>RTT</vt:lpstr>
      <vt:lpstr>RTT - Published</vt:lpstr>
      <vt:lpstr>Sickness Absence</vt:lpstr>
      <vt:lpstr>Sickness Absence - Published</vt:lpstr>
      <vt:lpstr>Smoking Cessation</vt:lpstr>
      <vt:lpstr>Smoking Cessation - Published</vt:lpstr>
      <vt:lpstr>Stroke</vt:lpstr>
      <vt:lpstr>Diagnostics!_ftn1</vt:lpstr>
      <vt:lpstr>Stroke!_ftn2</vt:lpstr>
      <vt:lpstr>Stroke!_ftn3</vt:lpstr>
      <vt:lpstr>'Overview Table'!_ftn4</vt:lpstr>
      <vt:lpstr>'Overview Table'!_ftn5</vt:lpstr>
      <vt:lpstr>'Overview Table'!_ftn6</vt:lpstr>
      <vt:lpstr>'Overview Table'!_ftn7</vt:lpstr>
      <vt:lpstr>Diagnostics!_ftnref1</vt:lpstr>
      <vt:lpstr>'Overview Table'!_ftnref10</vt:lpstr>
      <vt:lpstr>'Overview Table'!_ftnref11</vt:lpstr>
      <vt:lpstr>Stroke!_ftnref2</vt:lpstr>
      <vt:lpstr>Stroke!_ftnref3</vt:lpstr>
      <vt:lpstr>'Overview Table'!_ftnref4</vt:lpstr>
      <vt:lpstr>'Overview Table'!_ftnref5</vt:lpstr>
      <vt:lpstr>'Overview Table'!_ftnref9</vt:lpstr>
      <vt:lpstr>'Overview Table'!Abbreviations</vt:lpstr>
      <vt:lpstr>'Overview Table'!ABIs_2</vt:lpstr>
      <vt:lpstr>'Overview Table'!Antenatal_2</vt:lpstr>
      <vt:lpstr>'Overview Table'!CAMHs_2</vt:lpstr>
      <vt:lpstr>'Overview Table'!Cancer31_2</vt:lpstr>
      <vt:lpstr>'Overview Table'!Cancer62_2</vt:lpstr>
      <vt:lpstr>'Overview Table'!Cardiac_2</vt:lpstr>
      <vt:lpstr>'Overview Table'!CDI_2</vt:lpstr>
      <vt:lpstr>'Dementia - Published'!chart1</vt:lpstr>
      <vt:lpstr>chart1</vt:lpstr>
      <vt:lpstr>'Overview Table'!Complaints_20_2</vt:lpstr>
      <vt:lpstr>'Overview Table'!Complaints_3_2</vt:lpstr>
      <vt:lpstr>'Overview Table'!DateofPublishedNHSLothianvsScotland</vt:lpstr>
      <vt:lpstr>'Overview Table'!DCE_2</vt:lpstr>
      <vt:lpstr>'Overview Table'!Delayed_2</vt:lpstr>
      <vt:lpstr>'Overview Table'!Dementia_2</vt:lpstr>
      <vt:lpstr>'Overview Table'!Diagnostics_2</vt:lpstr>
      <vt:lpstr>'Overview Table'!Falls_2</vt:lpstr>
      <vt:lpstr>'Overview Table'!FourHour_2</vt:lpstr>
      <vt:lpstr>'Overview Table'!HealthcareQualityDomain</vt:lpstr>
      <vt:lpstr>'Overview Table'!HSMR_2</vt:lpstr>
      <vt:lpstr>'Overview Table'!IPDC_2</vt:lpstr>
      <vt:lpstr>'Overview Table'!IVF_2</vt:lpstr>
      <vt:lpstr>'Overview Table'!Measure</vt:lpstr>
      <vt:lpstr>'Overview Table'!OP_2</vt:lpstr>
      <vt:lpstr>'Overview Table'!PatientExperience_2</vt:lpstr>
      <vt:lpstr>'Overview Table'!PerformanceAgainstTargetStandard</vt:lpstr>
      <vt:lpstr>'Overview Table'!PT_2</vt:lpstr>
      <vt:lpstr>'Overview Table'!PublishedNHSLothianvsScotland</vt:lpstr>
      <vt:lpstr>'Overview Table'!RTT_2</vt:lpstr>
      <vt:lpstr>'Overview Table'!SAB_2</vt:lpstr>
      <vt:lpstr>'Overview Table'!ScorecardLoSMed_2</vt:lpstr>
      <vt:lpstr>'Overview Table'!ScorecardLoSSurg_2</vt:lpstr>
      <vt:lpstr>'Overview Table'!ScorecardMed28_2</vt:lpstr>
      <vt:lpstr>'Overview Table'!ScorecardMed7_2</vt:lpstr>
      <vt:lpstr>'Overview Table'!ScorecardSurg28_2</vt:lpstr>
      <vt:lpstr>'Overview Table'!ScorecardSurg7_2</vt:lpstr>
      <vt:lpstr>'Overview Table'!Smoking_2</vt:lpstr>
      <vt:lpstr>'Overview Table'!StaffSickness_2</vt:lpstr>
      <vt:lpstr>'Overview Table'!Stroke_2</vt:lpstr>
      <vt:lpstr>'Overview Table'!Surveillance_2</vt:lpstr>
      <vt:lpstr>'Overview Table'!Trend</vt:lpstr>
      <vt:lpstr>'Overview Table'!Type</vt:lpstr>
    </vt:vector>
  </TitlesOfParts>
  <Company>NHS Lothian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2.3 Quality and Performance Improvement Reporting Repository - Feb 18</dc:title>
  <dc:creator>Ryan Mackie</dc:creator>
  <cp:lastModifiedBy>Ryan Mackie</cp:lastModifiedBy>
  <cp:lastPrinted>2017-07-27T12:36:13Z</cp:lastPrinted>
  <dcterms:created xsi:type="dcterms:W3CDTF">2016-07-01T08:35:43Z</dcterms:created>
  <dcterms:modified xsi:type="dcterms:W3CDTF">2018-01-26T14:20:33Z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0x01010089B8A672F652D04599A2860C57F343EA</vt:lpwstr>
  </property>
</Properties>
</file>