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7.xml" ContentType="application/vnd.openxmlformats-officedocument.drawingml.chartshapes+xml"/>
  <Override PartName="/xl/drawings/drawing21.xml" ContentType="application/vnd.openxmlformats-officedocument.drawingml.chartshapes+xml"/>
  <Override PartName="/xl/drawings/drawing19.xml" ContentType="application/vnd.openxmlformats-officedocument.drawingml.chartshapes+xml"/>
  <Override PartName="/xl/drawings/drawing23.xml" ContentType="application/vnd.openxmlformats-officedocument.drawingml.chartshapes+xml"/>
  <Override PartName="/xl/drawings/drawing22.xml" ContentType="application/vnd.openxmlformats-officedocument.drawingml.chartshapes+xml"/>
  <Override PartName="/xl/drawings/drawing13.xml" ContentType="application/vnd.openxmlformats-officedocument.drawingml.chartshapes+xml"/>
  <Override PartName="/xl/drawings/drawing24.xml" ContentType="application/vnd.openxmlformats-officedocument.drawingml.chartshapes+xml"/>
  <Override PartName="/xl/drawings/drawing11.xml" ContentType="application/vnd.openxmlformats-officedocument.drawingml.chartshapes+xml"/>
  <Override PartName="/xl/drawings/drawing10.xml" ContentType="application/vnd.openxmlformats-officedocument.drawingml.chartshapes+xml"/>
  <Override PartName="/xl/drawings/drawing16.xml" ContentType="application/vnd.openxmlformats-officedocument.drawingml.chartshapes+xml"/>
  <Override PartName="/xl/drawings/drawing27.xml" ContentType="application/vnd.openxmlformats-officedocument.drawingml.chartshapes+xml"/>
  <Override PartName="/xl/drawings/drawing8.xml" ContentType="application/vnd.openxmlformats-officedocument.drawingml.chartshapes+xml"/>
  <Override PartName="/xl/drawings/drawing47.xml" ContentType="application/vnd.openxmlformats-officedocument.drawingml.chartshapes+xml"/>
  <Override PartName="/xl/drawings/drawing46.xml" ContentType="application/vnd.openxmlformats-officedocument.drawingml.chartshapes+xml"/>
  <Override PartName="/xl/drawings/drawing45.xml" ContentType="application/vnd.openxmlformats-officedocument.drawingml.chartshapes+xml"/>
  <Override PartName="/xl/drawings/drawing38.xml" ContentType="application/vnd.openxmlformats-officedocument.drawingml.chartshapes+xml"/>
  <Override PartName="/xl/drawings/drawing37.xml" ContentType="application/vnd.openxmlformats-officedocument.drawingml.chartshapes+xml"/>
  <Override PartName="/xl/drawings/drawing31.xml" ContentType="application/vnd.openxmlformats-officedocument.drawingml.chartshapes+xml"/>
  <Override PartName="/xl/drawings/drawing29.xml" ContentType="application/vnd.openxmlformats-officedocument.drawingml.chartshapes+xml"/>
  <Override PartName="/xl/drawings/drawing25.xml" ContentType="application/vnd.openxmlformats-officedocument.drawingml.chartshapes+xml"/>
  <Override PartName="/xl/workbook.xml" ContentType="application/vnd.openxmlformats-officedocument.spreadsheetml.sheet.main+xml"/>
  <Override PartName="/xl/worksheets/sheet24.xml" ContentType="application/vnd.openxmlformats-officedocument.spreadsheetml.worksheet+xml"/>
  <Override PartName="/xl/charts/chart87.xml" ContentType="application/vnd.openxmlformats-officedocument.drawingml.chart+xml"/>
  <Override PartName="/xl/worksheets/sheet5.xml" ContentType="application/vnd.openxmlformats-officedocument.spreadsheetml.worksheet+xml"/>
  <Override PartName="/xl/charts/chart88.xml" ContentType="application/vnd.openxmlformats-officedocument.drawingml.chart+xml"/>
  <Override PartName="/xl/worksheets/sheet4.xml" ContentType="application/vnd.openxmlformats-officedocument.spreadsheetml.workshee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worksheets/sheet6.xml" ContentType="application/vnd.openxmlformats-officedocument.spreadsheetml.worksheet+xml"/>
  <Override PartName="/xl/charts/chart86.xml" ContentType="application/vnd.openxmlformats-officedocument.drawingml.chart+xml"/>
  <Override PartName="/xl/charts/chart85.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drawings/drawing44.xml" ContentType="application/vnd.openxmlformats-officedocument.drawing+xml"/>
  <Override PartName="/xl/charts/chart77.xml" ContentType="application/vnd.openxmlformats-officedocument.drawingml.chart+xml"/>
  <Override PartName="/xl/drawings/drawing43.xml" ContentType="application/vnd.openxmlformats-officedocument.drawing+xml"/>
  <Override PartName="/xl/charts/chart64.xml" ContentType="application/vnd.openxmlformats-officedocument.drawingml.chart+xml"/>
  <Override PartName="/xl/worksheets/sheet8.xml" ContentType="application/vnd.openxmlformats-officedocument.spreadsheetml.workshee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worksheets/sheet7.xml" ContentType="application/vnd.openxmlformats-officedocument.spreadsheetml.worksheet+xml"/>
  <Override PartName="/xl/drawings/drawing39.xml" ContentType="application/vnd.openxmlformats-officedocument.drawing+xml"/>
  <Override PartName="/xl/charts/chart63.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worksheets/sheet1.xml" ContentType="application/vnd.openxmlformats-officedocument.spreadsheetml.worksheet+xml"/>
  <Override PartName="/xl/charts/chart59.xml" ContentType="application/vnd.openxmlformats-officedocument.drawingml.chart+xml"/>
  <Override PartName="/xl/drawings/drawing36.xml" ContentType="application/vnd.openxmlformats-officedocument.drawing+xml"/>
  <Override PartName="/xl/charts/chart60.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41.xml" ContentType="application/vnd.openxmlformats-officedocument.drawing+xml"/>
  <Override PartName="/xl/charts/chart72.xml" ContentType="application/vnd.openxmlformats-officedocument.drawingml.chart+xml"/>
  <Override PartName="/xl/drawings/drawing4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1.xml" ContentType="application/vnd.openxmlformats-officedocument.drawingml.chart+xml"/>
  <Override PartName="/xl/drawings/drawing40.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10.xml" ContentType="application/vnd.openxmlformats-officedocument.drawingml.chart+xml"/>
  <Override PartName="/xl/charts/chart24.xml" ContentType="application/vnd.openxmlformats-officedocument.drawingml.chart+xml"/>
  <Override PartName="/xl/worksheets/sheet18.xml" ContentType="application/vnd.openxmlformats-officedocument.spreadsheetml.workshee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3.xml" ContentType="application/vnd.openxmlformats-officedocument.drawingml.chart+xml"/>
  <Override PartName="/xl/drawings/drawing15.xml" ContentType="application/vnd.openxmlformats-officedocument.drawing+xml"/>
  <Override PartName="/xl/drawings/drawing2.xml" ContentType="application/vnd.openxmlformats-officedocument.drawing+xml"/>
  <Override PartName="/xl/charts/chart2.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1.xml" ContentType="application/vnd.openxmlformats-officedocument.drawingml.chart+xml"/>
  <Override PartName="/xl/charts/chart6.xml" ContentType="application/vnd.openxmlformats-officedocument.drawingml.chart+xml"/>
  <Override PartName="/xl/charts/chart8.xml" ContentType="application/vnd.openxmlformats-officedocument.drawingml.chart+xml"/>
  <Override PartName="/xl/drawings/drawing1.xml" ContentType="application/vnd.openxmlformats-officedocument.drawing+xml"/>
  <Override PartName="/xl/charts/chart32.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drawings/drawing18.xml" ContentType="application/vnd.openxmlformats-officedocument.drawing+xml"/>
  <Override PartName="/xl/charts/chart33.xml" ContentType="application/vnd.openxmlformats-officedocument.drawingml.chart+xml"/>
  <Override PartName="/xl/charts/chart31.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7.xml" ContentType="application/vnd.openxmlformats-officedocument.drawingml.chart+xml"/>
  <Override PartName="/xl/sharedStrings.xml" ContentType="application/vnd.openxmlformats-officedocument.spreadsheetml.sharedStrings+xml"/>
  <Override PartName="/xl/drawings/drawing17.xml" ContentType="application/vnd.openxmlformats-officedocument.drawing+xml"/>
  <Override PartName="/xl/worksheets/sheet19.xml" ContentType="application/vnd.openxmlformats-officedocument.spreadsheetml.worksheet+xml"/>
  <Override PartName="/xl/charts/chart20.xml" ContentType="application/vnd.openxmlformats-officedocument.drawingml.chart+xml"/>
  <Override PartName="/xl/drawings/drawing12.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2.xml" ContentType="application/vnd.openxmlformats-officedocument.drawingml.chart+xml"/>
  <Override PartName="/xl/charts/chart11.xml" ContentType="application/vnd.openxmlformats-officedocument.drawingml.chart+xml"/>
  <Override PartName="/xl/charts/chart13.xml" ContentType="application/vnd.openxmlformats-officedocument.drawingml.chart+xml"/>
  <Override PartName="/xl/worksheets/sheet23.xml" ContentType="application/vnd.openxmlformats-officedocument.spreadsheetml.worksheet+xml"/>
  <Override PartName="/xl/charts/chart14.xml" ContentType="application/vnd.openxmlformats-officedocument.drawingml.chart+xml"/>
  <Override PartName="/xl/charts/chart18.xml" ContentType="application/vnd.openxmlformats-officedocument.drawingml.chart+xml"/>
  <Override PartName="/xl/worksheets/sheet20.xml" ContentType="application/vnd.openxmlformats-officedocument.spreadsheetml.worksheet+xml"/>
  <Override PartName="/xl/charts/chart19.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worksheets/sheet21.xml" ContentType="application/vnd.openxmlformats-officedocument.spreadsheetml.worksheet+xml"/>
  <Override PartName="/xl/charts/chart17.xml" ContentType="application/vnd.openxmlformats-officedocument.drawingml.chart+xml"/>
  <Override PartName="/xl/charts/chart16.xml" ContentType="application/vnd.openxmlformats-officedocument.drawingml.chart+xml"/>
  <Override PartName="/xl/worksheets/sheet22.xml" ContentType="application/vnd.openxmlformats-officedocument.spreadsheetml.worksheet+xml"/>
  <Override PartName="/xl/charts/chart15.xml" ContentType="application/vnd.openxmlformats-officedocument.drawingml.chart+xml"/>
  <Override PartName="/xl/charts/chart5.xml" ContentType="application/vnd.openxmlformats-officedocument.drawingml.chart+xml"/>
  <Override PartName="/xl/drawings/drawing9.xml" ContentType="application/vnd.openxmlformats-officedocument.drawing+xml"/>
  <Override PartName="/xl/worksheets/sheet17.xml" ContentType="application/vnd.openxmlformats-officedocument.spreadsheetml.worksheet+xml"/>
  <Override PartName="/xl/drawings/drawing4.xml" ContentType="application/vnd.openxmlformats-officedocument.drawing+xml"/>
  <Override PartName="/xl/drawings/drawing20.xml" ContentType="application/vnd.openxmlformats-officedocument.drawing+xml"/>
  <Override PartName="/xl/worksheets/sheet10.xml" ContentType="application/vnd.openxmlformats-officedocument.spreadsheetml.worksheet+xml"/>
  <Override PartName="/xl/worksheets/sheet34.xml" ContentType="application/vnd.openxmlformats-officedocument.spreadsheetml.worksheet+xml"/>
  <Override PartName="/xl/drawings/drawing30.xml" ContentType="application/vnd.openxmlformats-officedocument.drawing+xml"/>
  <Override PartName="/xl/charts/chart51.xml" ContentType="application/vnd.openxmlformats-officedocument.drawingml.chart+xml"/>
  <Override PartName="/xl/worksheets/sheet9.xml" ContentType="application/vnd.openxmlformats-officedocument.spreadsheetml.worksheet+xml"/>
  <Override PartName="/xl/worksheets/sheet35.xml" ContentType="application/vnd.openxmlformats-officedocument.spreadsheetml.worksheet+xml"/>
  <Override PartName="/xl/charts/chart50.xml" ContentType="application/vnd.openxmlformats-officedocument.drawingml.chart+xml"/>
  <Override PartName="/xl/drawings/drawing28.xml" ContentType="application/vnd.openxmlformats-officedocument.drawing+xml"/>
  <Override PartName="/xl/drawings/drawing26.xml" ContentType="application/vnd.openxmlformats-officedocument.drawing+xml"/>
  <Override PartName="/xl/charts/chart49.xml" ContentType="application/vnd.openxmlformats-officedocument.drawingml.chart+xml"/>
  <Override PartName="/xl/worksheets/sheet11.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drawings/drawing33.xml" ContentType="application/vnd.openxmlformats-officedocument.drawing+xml"/>
  <Override PartName="/xl/charts/chart55.xml" ContentType="application/vnd.openxmlformats-officedocument.drawingml.chart+xml"/>
  <Override PartName="/xl/worksheets/sheet28.xml" ContentType="application/vnd.openxmlformats-officedocument.spreadsheetml.worksheet+xml"/>
  <Override PartName="/xl/charts/chart54.xml" ContentType="application/vnd.openxmlformats-officedocument.drawingml.chart+xml"/>
  <Override PartName="/xl/charts/chart53.xml" ContentType="application/vnd.openxmlformats-officedocument.drawingml.chart+xml"/>
  <Override PartName="/xl/worksheets/sheet30.xml" ContentType="application/vnd.openxmlformats-officedocument.spreadsheetml.worksheet+xml"/>
  <Override PartName="/xl/drawings/drawing32.xml" ContentType="application/vnd.openxmlformats-officedocument.drawing+xml"/>
  <Override PartName="/xl/charts/chart52.xml" ContentType="application/vnd.openxmlformats-officedocument.drawingml.char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15.xml" ContentType="application/vnd.openxmlformats-officedocument.spreadsheetml.worksheet+xml"/>
  <Override PartName="/xl/charts/chart40.xml" ContentType="application/vnd.openxmlformats-officedocument.drawingml.chart+xml"/>
  <Override PartName="/xl/worksheets/sheet47.xml" ContentType="application/vnd.openxmlformats-officedocument.spreadsheetml.worksheet+xml"/>
  <Override PartName="/xl/worksheets/sheet14.xml" ContentType="application/vnd.openxmlformats-officedocument.spreadsheetml.worksheet+xml"/>
  <Override PartName="/xl/charts/chart41.xml" ContentType="application/vnd.openxmlformats-officedocument.drawingml.chart+xml"/>
  <Override PartName="/xl/worksheets/sheet48.xml" ContentType="application/vnd.openxmlformats-officedocument.spreadsheetml.worksheet+xml"/>
  <Override PartName="/xl/charts/chart39.xml" ContentType="application/vnd.openxmlformats-officedocument.drawingml.chart+xml"/>
  <Override PartName="/xl/worksheets/sheet16.xml" ContentType="application/vnd.openxmlformats-officedocument.spreadsheetml.workshee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9.xml" ContentType="application/vnd.openxmlformats-officedocument.drawingml.chart+xml"/>
  <Override PartName="/xl/worksheets/sheet13.xml" ContentType="application/vnd.openxmlformats-officedocument.spreadsheetml.worksheet+xml"/>
  <Override PartName="/xl/charts/chart43.xml" ContentType="application/vnd.openxmlformats-officedocument.drawingml.chart+xml"/>
  <Override PartName="/xl/charts/chart47.xml" ContentType="application/vnd.openxmlformats-officedocument.drawingml.chart+xml"/>
  <Override PartName="/xl/worksheets/sheet42.xml" ContentType="application/vnd.openxmlformats-officedocument.spreadsheetml.worksheet+xml"/>
  <Override PartName="/xl/worksheets/sheet41.xml" ContentType="application/vnd.openxmlformats-officedocument.spreadsheetml.worksheet+xml"/>
  <Override PartName="/xl/worksheets/sheet12.xml" ContentType="application/vnd.openxmlformats-officedocument.spreadsheetml.worksheet+xml"/>
  <Override PartName="/xl/charts/chart48.xml" ContentType="application/vnd.openxmlformats-officedocument.drawingml.chart+xml"/>
  <Override PartName="/xl/charts/chart42.xml" ContentType="application/vnd.openxmlformats-officedocument.drawingml.chart+xml"/>
  <Override PartName="/xl/charts/chart46.xml" ContentType="application/vnd.openxmlformats-officedocument.drawingml.chart+xml"/>
  <Override PartName="/xl/worksheets/sheet44.xml" ContentType="application/vnd.openxmlformats-officedocument.spreadsheetml.worksheet+xml"/>
  <Override PartName="/xl/worksheets/sheet46.xml" ContentType="application/vnd.openxmlformats-officedocument.spreadsheetml.worksheet+xml"/>
  <Override PartName="/xl/worksheets/sheet43.xml" ContentType="application/vnd.openxmlformats-officedocument.spreadsheetml.worksheet+xml"/>
  <Override PartName="/xl/worksheets/sheet45.xml" ContentType="application/vnd.openxmlformats-officedocument.spreadsheetml.worksheet+xml"/>
  <Override PartName="/xl/charts/chart45.xml" ContentType="application/vnd.openxmlformats-officedocument.drawingml.chart+xml"/>
  <Override PartName="/xl/charts/chart44.xml" ContentType="application/vnd.openxmlformats-officedocument.drawingml.char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hidePivotFieldList="1"/>
  <bookViews>
    <workbookView xWindow="585" yWindow="15" windowWidth="27465" windowHeight="5925" tabRatio="938"/>
  </bookViews>
  <sheets>
    <sheet name="Content" sheetId="33" r:id="rId1"/>
    <sheet name="Overview Table" sheetId="34" r:id="rId2"/>
    <sheet name="A&amp;E WT" sheetId="64" r:id="rId3"/>
    <sheet name="A&amp;E WT - Published" sheetId="38" r:id="rId4"/>
    <sheet name="ABI" sheetId="2" r:id="rId5"/>
    <sheet name="ABI - Published" sheetId="43" r:id="rId6"/>
    <sheet name="Antenatal" sheetId="3" r:id="rId7"/>
    <sheet name="Antenatal - Published" sheetId="39" r:id="rId8"/>
    <sheet name="CAMHS" sheetId="5" r:id="rId9"/>
    <sheet name="CAMHS - Published" sheetId="40" r:id="rId10"/>
    <sheet name="Cancer - 31 Day" sheetId="6" r:id="rId11"/>
    <sheet name="Cancer - 62 Day" sheetId="7" r:id="rId12"/>
    <sheet name="Cancer - Published" sheetId="36" r:id="rId13"/>
    <sheet name="Cardiac Arrest" sheetId="8" r:id="rId14"/>
    <sheet name="Complaints" sheetId="9" r:id="rId15"/>
    <sheet name="Complaints - Published" sheetId="41" r:id="rId16"/>
    <sheet name="Delayed Discharges" sheetId="10" r:id="rId17"/>
    <sheet name="Delayed Discharges - Published" sheetId="42" r:id="rId18"/>
    <sheet name="Dementia" sheetId="11" r:id="rId19"/>
    <sheet name="Dementia - Published" sheetId="62" r:id="rId20"/>
    <sheet name="DCE" sheetId="30" r:id="rId21"/>
    <sheet name="Diagnostics" sheetId="12" r:id="rId22"/>
    <sheet name="Diagnostics - Published" sheetId="44" r:id="rId23"/>
    <sheet name="Drug &amp; Alcohol - Published" sheetId="32" r:id="rId24"/>
    <sheet name="Falls" sheetId="13" r:id="rId25"/>
    <sheet name="GP Access" sheetId="14" r:id="rId26"/>
    <sheet name="HAI - C.Diff" sheetId="15" r:id="rId27"/>
    <sheet name="HAI - SAB" sheetId="16" r:id="rId28"/>
    <sheet name="HAI - Published" sheetId="45" r:id="rId29"/>
    <sheet name="Hospital Scorecard" sheetId="17" r:id="rId30"/>
    <sheet name="HSMR" sheetId="35" r:id="rId31"/>
    <sheet name="Inpatient - TTG" sheetId="19" r:id="rId32"/>
    <sheet name="Inpatient - Published" sheetId="46" r:id="rId33"/>
    <sheet name="IVF" sheetId="20" r:id="rId34"/>
    <sheet name="IVF - Published" sheetId="47" r:id="rId35"/>
    <sheet name="Outpatient" sheetId="25" r:id="rId36"/>
    <sheet name="Outpatient - Published" sheetId="48" r:id="rId37"/>
    <sheet name="Patient Experience" sheetId="21" r:id="rId38"/>
    <sheet name="P.R. Surveillance Endoscopy" sheetId="29" r:id="rId39"/>
    <sheet name="Psych Therapies" sheetId="23" r:id="rId40"/>
    <sheet name="Psych Therapies - Published" sheetId="49" r:id="rId41"/>
    <sheet name="RTT" sheetId="24" r:id="rId42"/>
    <sheet name="RTT - Published" sheetId="50" r:id="rId43"/>
    <sheet name="Sickness Absence" sheetId="27" r:id="rId44"/>
    <sheet name="Sickness Absence - Published" sheetId="51" r:id="rId45"/>
    <sheet name="Smoking Cessation" sheetId="26" r:id="rId46"/>
    <sheet name="Smoking Cessation - Published" sheetId="52" r:id="rId47"/>
    <sheet name="Stroke" sheetId="28" r:id="rId48"/>
  </sheets>
  <externalReferences>
    <externalReference r:id="rId49"/>
  </externalReferences>
  <definedNames>
    <definedName name="_xlnm._FilterDatabase" localSheetId="1" hidden="1">'Overview Table'!$A$3:$Y$64</definedName>
    <definedName name="_ftn1" localSheetId="21">Diagnostics!$A$334</definedName>
    <definedName name="_ftn2" localSheetId="47">Stroke!$A$29</definedName>
    <definedName name="_ftn3" localSheetId="47">Stroke!$A$30</definedName>
    <definedName name="_ftn4" localSheetId="1">'Overview Table'!$A$56</definedName>
    <definedName name="_ftn5" localSheetId="1">'Overview Table'!$A$57</definedName>
    <definedName name="_ftn6" localSheetId="1">'Overview Table'!$A$58</definedName>
    <definedName name="_ftn7" localSheetId="1">'Overview Table'!$A$59</definedName>
    <definedName name="_ftn9" localSheetId="1">'Overview Table'!#REF!</definedName>
    <definedName name="_ftnref1" localSheetId="21">Diagnostics!$A$333</definedName>
    <definedName name="_ftnref10" localSheetId="1">'Overview Table'!$P$42</definedName>
    <definedName name="_ftnref11" localSheetId="1">'Overview Table'!$I$47</definedName>
    <definedName name="_ftnref2" localSheetId="47">Stroke!$Z$19</definedName>
    <definedName name="_ftnref3" localSheetId="47">Stroke!$Z$20</definedName>
    <definedName name="_ftnref4" localSheetId="1">'Overview Table'!$J$3</definedName>
    <definedName name="_ftnref5" localSheetId="1">'Overview Table'!$M$3</definedName>
    <definedName name="_ftnref6" localSheetId="1">'Overview Table'!#REF!</definedName>
    <definedName name="_ftnref7" localSheetId="1">'Overview Table'!#REF!</definedName>
    <definedName name="_ftnref8" localSheetId="1">'Overview Table'!#REF!</definedName>
    <definedName name="_ftnref9" localSheetId="1">'Overview Table'!$A$14</definedName>
    <definedName name="Abbreviations" localSheetId="1">'Overview Table'!$A$61</definedName>
    <definedName name="ABIs_2" localSheetId="1">'Overview Table'!$A$13</definedName>
    <definedName name="All_Attendances">INDIRECT([1]Lookups!$L$11)</definedName>
    <definedName name="Antenatal_2" localSheetId="1">'Overview Table'!$A$42</definedName>
    <definedName name="CAMHs_2" localSheetId="1">'Overview Table'!$A$14</definedName>
    <definedName name="Cancer31_2" localSheetId="1">'Overview Table'!$A$15</definedName>
    <definedName name="Cancer62_2" localSheetId="1">'Overview Table'!$A$16</definedName>
    <definedName name="Cardiac_2" localSheetId="1">'Overview Table'!$A$4</definedName>
    <definedName name="CDI_2" localSheetId="1">'Overview Table'!$A$6</definedName>
    <definedName name="chart1" localSheetId="19">'Dementia - Published'!$D$86:$Q$113</definedName>
    <definedName name="chart1">Dementia!$D$91:$Q$118</definedName>
    <definedName name="Comparison_Lookup">INDIRECT([1]Lookups!$L$22)</definedName>
    <definedName name="Complaints_20_2" localSheetId="1">'Overview Table'!$A$45</definedName>
    <definedName name="Complaints_3_2" localSheetId="1">'Overview Table'!$A$44</definedName>
    <definedName name="DataUpdatedSinceLastReport" localSheetId="1">'Overview Table'!#REF!</definedName>
    <definedName name="date_range_board">INDIRECT([1]Lookups!$L$10)</definedName>
    <definedName name="DateofPublishedNHSLothianvsScotland" localSheetId="1">'Overview Table'!$A$59</definedName>
    <definedName name="DCE_2" localSheetId="1">'Overview Table'!$A$46</definedName>
    <definedName name="Delayed_2" localSheetId="1">'Overview Table'!$A$30</definedName>
    <definedName name="Dementia_2" localSheetId="1">'Overview Table'!$A$47</definedName>
    <definedName name="Diagnostics_2" localSheetId="1">'Overview Table'!$A$17</definedName>
    <definedName name="DrugAlcohol_2" localSheetId="1">'Overview Table'!#REF!</definedName>
    <definedName name="Falls_2" localSheetId="1">'Overview Table'!$A$5</definedName>
    <definedName name="FourHour_2" localSheetId="1">'Overview Table'!$A$12</definedName>
    <definedName name="GPAccess_2" localSheetId="1">'Overview Table'!#REF!</definedName>
    <definedName name="GPAccess2_2" localSheetId="1">'Overview Table'!#REF!</definedName>
    <definedName name="HealthcareQualityDomain" localSheetId="1">'Overview Table'!$A$54</definedName>
    <definedName name="HSMR_2" localSheetId="1">'Overview Table'!$A$8</definedName>
    <definedName name="IPDC_2" localSheetId="1">'Overview Table'!$A$23</definedName>
    <definedName name="IVF_2" localSheetId="1">'Overview Table'!$A$24</definedName>
    <definedName name="Measure" localSheetId="1">'Overview Table'!$A$53</definedName>
    <definedName name="NarrativeUpdatedSinceLastReport" localSheetId="1">'Overview Table'!#REF!</definedName>
    <definedName name="OP_2" localSheetId="1">'Overview Table'!$A$25</definedName>
    <definedName name="PatientExperience_2" localSheetId="1">'Overview Table'!$A$51</definedName>
    <definedName name="PerformanceAgainstTargetStandard" localSheetId="1">'Overview Table'!$A$56</definedName>
    <definedName name="PT_2" localSheetId="1">'Overview Table'!$A$26</definedName>
    <definedName name="PublishedNHSLothianvsScotland" localSheetId="1">'Overview Table'!$A$58</definedName>
    <definedName name="RTT_2" localSheetId="1">'Overview Table'!$A$27</definedName>
    <definedName name="SAB_2" localSheetId="1">'Overview Table'!$A$7</definedName>
    <definedName name="ScorecardLoSMed_2" localSheetId="1">'Overview Table'!$A$40</definedName>
    <definedName name="ScorecardLoSSurg_2" localSheetId="1">'Overview Table'!$A$39</definedName>
    <definedName name="ScorecardMed28_2" localSheetId="1">'Overview Table'!$A$38</definedName>
    <definedName name="ScorecardMed7_2" localSheetId="1">'Overview Table'!$A$37</definedName>
    <definedName name="ScorecardSurg28_2" localSheetId="1">'Overview Table'!$A$36</definedName>
    <definedName name="ScorecardSurg7_2" localSheetId="1">'Overview Table'!$A$34</definedName>
    <definedName name="SIMD" localSheetId="1">'Overview Table'!#REF!</definedName>
    <definedName name="Smoking_2" localSheetId="1">'Overview Table'!$A$43</definedName>
    <definedName name="StaffSickness_2" localSheetId="1">'Overview Table'!$A$41</definedName>
    <definedName name="Stroke_2" localSheetId="1">'Overview Table'!$A$28</definedName>
    <definedName name="Surveillance_2" localSheetId="1">'Overview Table'!$A$29</definedName>
    <definedName name="Trend" localSheetId="1">'Overview Table'!$A$57</definedName>
    <definedName name="Type" localSheetId="1">'Overview Table'!$A$55</definedName>
  </definedNames>
  <calcPr calcId="145621"/>
</workbook>
</file>

<file path=xl/calcChain.xml><?xml version="1.0" encoding="utf-8"?>
<calcChain xmlns="http://schemas.openxmlformats.org/spreadsheetml/2006/main">
  <c r="B11" i="35" l="1"/>
  <c r="I11" i="15"/>
  <c r="I12" i="15"/>
  <c r="I13" i="15"/>
  <c r="I14" i="15"/>
  <c r="I15" i="15"/>
  <c r="I16" i="15"/>
  <c r="I17" i="15"/>
  <c r="I18" i="15"/>
  <c r="I19" i="15"/>
  <c r="I20" i="15"/>
  <c r="I21" i="15"/>
  <c r="I22" i="15"/>
  <c r="J22" i="15"/>
  <c r="J23" i="15"/>
  <c r="J24" i="15"/>
  <c r="J25" i="15"/>
  <c r="J26" i="15"/>
  <c r="J27" i="15"/>
  <c r="K28" i="15"/>
  <c r="K29" i="15"/>
  <c r="K30" i="15"/>
  <c r="K31" i="15"/>
  <c r="K32" i="15"/>
  <c r="K33" i="15"/>
  <c r="K34" i="15"/>
  <c r="K35" i="15"/>
  <c r="K36" i="15"/>
  <c r="K37" i="15"/>
  <c r="K38" i="15"/>
  <c r="K39" i="15"/>
  <c r="L39" i="15"/>
  <c r="L40" i="15"/>
  <c r="L41" i="15"/>
  <c r="M42" i="15"/>
  <c r="M43" i="15"/>
  <c r="M44" i="15"/>
  <c r="M45" i="15"/>
  <c r="M46" i="15"/>
  <c r="M47" i="15"/>
  <c r="M48" i="15"/>
  <c r="M49" i="15"/>
  <c r="M50" i="15"/>
  <c r="M51" i="15"/>
  <c r="M52" i="15"/>
  <c r="M53" i="15"/>
  <c r="N53" i="15"/>
  <c r="N54" i="15"/>
  <c r="N55" i="15"/>
  <c r="N56" i="15"/>
  <c r="N57" i="15"/>
  <c r="N58" i="15"/>
  <c r="N59" i="15"/>
  <c r="N60" i="15"/>
  <c r="N61" i="15"/>
  <c r="N62" i="15"/>
  <c r="N63" i="15"/>
  <c r="C23" i="2"/>
  <c r="C24" i="2"/>
  <c r="O49" i="10" l="1"/>
  <c r="P49" i="10"/>
  <c r="Q49" i="10"/>
  <c r="R49" i="10"/>
  <c r="S49" i="10"/>
  <c r="T49" i="10"/>
  <c r="U49" i="10"/>
  <c r="V49" i="10"/>
  <c r="W49" i="10"/>
  <c r="X49" i="10"/>
  <c r="N49" i="10"/>
  <c r="AB116" i="7" l="1"/>
  <c r="AC116" i="7"/>
  <c r="AD116" i="7"/>
  <c r="AE116" i="7"/>
  <c r="AF116" i="7"/>
  <c r="AG116" i="7"/>
  <c r="AH116" i="7"/>
  <c r="AI116" i="7"/>
  <c r="AJ116" i="7"/>
  <c r="AK116" i="7"/>
  <c r="AL116" i="7"/>
  <c r="AM116" i="7"/>
  <c r="AN116" i="7"/>
  <c r="AO116" i="7"/>
  <c r="AP116" i="7"/>
  <c r="AQ116" i="7"/>
  <c r="AR116" i="7"/>
  <c r="AS116" i="7"/>
  <c r="AT116" i="7"/>
  <c r="AU116" i="7"/>
  <c r="AV116" i="7"/>
  <c r="AW116" i="7"/>
  <c r="AB108" i="7"/>
  <c r="AC108" i="7"/>
  <c r="AD108" i="7"/>
  <c r="AE108" i="7"/>
  <c r="AF108" i="7"/>
  <c r="AG108" i="7"/>
  <c r="AH108" i="7"/>
  <c r="AI108" i="7"/>
  <c r="AJ108" i="7"/>
  <c r="AK108" i="7"/>
  <c r="AL108" i="7"/>
  <c r="AM108" i="7"/>
  <c r="AN108" i="7"/>
  <c r="AO108" i="7"/>
  <c r="AP108" i="7"/>
  <c r="AQ108" i="7"/>
  <c r="AR108" i="7"/>
  <c r="AS108" i="7"/>
  <c r="AT108" i="7"/>
  <c r="AU108" i="7"/>
  <c r="AV108" i="7"/>
  <c r="AW108" i="7"/>
  <c r="G115" i="7"/>
  <c r="G107" i="7"/>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N107" i="6"/>
  <c r="I106" i="6"/>
  <c r="K106" i="6"/>
  <c r="L106" i="6"/>
  <c r="M106" i="6"/>
  <c r="N106" i="6"/>
  <c r="J106" i="6"/>
  <c r="AB116" i="6"/>
  <c r="AC116" i="6"/>
  <c r="AD116" i="6"/>
  <c r="AE116" i="6"/>
  <c r="AF116" i="6"/>
  <c r="AG116" i="6"/>
  <c r="AH116" i="6"/>
  <c r="AI116" i="6"/>
  <c r="AJ116" i="6"/>
  <c r="AK116" i="6"/>
  <c r="AL116" i="6"/>
  <c r="AM116" i="6"/>
  <c r="AN116" i="6"/>
  <c r="AO116" i="6"/>
  <c r="AP116" i="6"/>
  <c r="AQ116" i="6"/>
  <c r="AR116" i="6"/>
  <c r="AS116" i="6"/>
  <c r="AT116" i="6"/>
  <c r="AU116" i="6"/>
  <c r="AV116" i="6"/>
  <c r="AW116" i="6"/>
  <c r="U116" i="6"/>
  <c r="V116" i="6"/>
  <c r="W116" i="6"/>
  <c r="X116" i="6"/>
  <c r="Y116" i="6"/>
  <c r="Z116" i="6"/>
  <c r="AA116" i="6"/>
  <c r="T116" i="6"/>
  <c r="P115" i="6"/>
  <c r="Q115" i="6"/>
  <c r="R115" i="6"/>
  <c r="S115" i="6"/>
  <c r="T115" i="6"/>
  <c r="O115" i="6"/>
  <c r="C4" i="36"/>
  <c r="C3" i="36"/>
  <c r="B4" i="36"/>
  <c r="B3" i="36"/>
  <c r="B5" i="36"/>
  <c r="B346" i="28" l="1"/>
  <c r="AD411" i="12" l="1"/>
  <c r="AD393" i="12"/>
  <c r="AD329" i="12"/>
  <c r="AD330" i="12"/>
  <c r="AD331" i="12"/>
  <c r="AD332" i="12"/>
  <c r="AD333" i="12"/>
  <c r="AD266" i="12"/>
  <c r="AD267" i="12"/>
  <c r="AD268" i="12"/>
  <c r="AD269" i="12"/>
  <c r="AD270" i="12"/>
  <c r="M49" i="34" l="1"/>
  <c r="M47" i="34"/>
  <c r="D100" i="13" l="1"/>
  <c r="D115" i="8"/>
  <c r="AD132" i="10" l="1"/>
  <c r="AD133" i="10"/>
  <c r="AD134" i="10"/>
  <c r="AD135" i="10"/>
  <c r="AD136" i="10"/>
  <c r="AD137" i="10"/>
  <c r="AD138" i="10"/>
  <c r="AD139" i="10"/>
  <c r="AD140" i="10"/>
  <c r="AD141" i="10"/>
  <c r="B9" i="32" l="1"/>
  <c r="AD33" i="29" l="1"/>
  <c r="AD30" i="29"/>
  <c r="AB408" i="28" l="1"/>
  <c r="AB395" i="28"/>
  <c r="AB387" i="28"/>
  <c r="AB375" i="28"/>
  <c r="AB367" i="28"/>
  <c r="AB352" i="28"/>
  <c r="AB344" i="28"/>
  <c r="AB331" i="28"/>
  <c r="AB324" i="28"/>
  <c r="AB312" i="28" l="1"/>
  <c r="B19" i="29" l="1"/>
  <c r="D138" i="7" l="1"/>
  <c r="B138" i="7"/>
  <c r="B153" i="6"/>
  <c r="D136" i="6"/>
  <c r="B136" i="6"/>
  <c r="C136" i="6"/>
  <c r="B155" i="7"/>
  <c r="C138" i="7"/>
  <c r="C143" i="7" l="1"/>
  <c r="C144" i="7"/>
  <c r="C145" i="7"/>
  <c r="C146" i="7"/>
  <c r="C147" i="7"/>
  <c r="C148" i="7"/>
  <c r="C149" i="7"/>
  <c r="C150" i="7"/>
  <c r="C151" i="7"/>
  <c r="C152" i="7"/>
  <c r="C153" i="7"/>
  <c r="C154" i="7"/>
  <c r="C142" i="7"/>
  <c r="D142" i="7" s="1"/>
  <c r="E126" i="7"/>
  <c r="E127" i="7"/>
  <c r="E128" i="7"/>
  <c r="E129" i="7"/>
  <c r="E130" i="7"/>
  <c r="E131" i="7"/>
  <c r="E132" i="7"/>
  <c r="E133" i="7"/>
  <c r="E134" i="7"/>
  <c r="E135" i="7"/>
  <c r="E136" i="7"/>
  <c r="E137" i="7"/>
  <c r="E125" i="7"/>
  <c r="F125" i="7" s="1"/>
  <c r="C141" i="6"/>
  <c r="C142" i="6"/>
  <c r="C143" i="6"/>
  <c r="C144" i="6"/>
  <c r="C145" i="6"/>
  <c r="C146" i="6"/>
  <c r="C147" i="6"/>
  <c r="C148" i="6"/>
  <c r="C149" i="6"/>
  <c r="C150" i="6"/>
  <c r="C151" i="6"/>
  <c r="C152" i="6"/>
  <c r="C140" i="6"/>
  <c r="D140" i="6" s="1"/>
  <c r="E124" i="6"/>
  <c r="E125" i="6"/>
  <c r="E126" i="6"/>
  <c r="E127" i="6"/>
  <c r="E128" i="6"/>
  <c r="E129" i="6"/>
  <c r="E130" i="6"/>
  <c r="E131" i="6"/>
  <c r="E132" i="6"/>
  <c r="E133" i="6"/>
  <c r="E134" i="6"/>
  <c r="E135" i="6"/>
  <c r="E123" i="6"/>
  <c r="F123" i="6" l="1"/>
  <c r="F124" i="6" s="1"/>
  <c r="F125" i="6" s="1"/>
  <c r="F126" i="6" s="1"/>
  <c r="F127" i="6" s="1"/>
  <c r="F128" i="6" s="1"/>
  <c r="F129" i="6" s="1"/>
  <c r="F130" i="6" s="1"/>
  <c r="F131" i="6" s="1"/>
  <c r="F132" i="6" s="1"/>
  <c r="F133" i="6" s="1"/>
  <c r="F134" i="6" s="1"/>
  <c r="F135" i="6" s="1"/>
  <c r="D143" i="7"/>
  <c r="D144" i="7" s="1"/>
  <c r="D145" i="7" s="1"/>
  <c r="D146" i="7" s="1"/>
  <c r="D147" i="7" s="1"/>
  <c r="D148" i="7" s="1"/>
  <c r="D149" i="7" s="1"/>
  <c r="D150" i="7" s="1"/>
  <c r="D151" i="7" s="1"/>
  <c r="D152" i="7" s="1"/>
  <c r="D153" i="7" s="1"/>
  <c r="D154" i="7" s="1"/>
  <c r="F126" i="7"/>
  <c r="F127" i="7" s="1"/>
  <c r="F128" i="7" s="1"/>
  <c r="F129" i="7" s="1"/>
  <c r="F130" i="7" s="1"/>
  <c r="F131" i="7" s="1"/>
  <c r="F132" i="7" s="1"/>
  <c r="F133" i="7" s="1"/>
  <c r="F134" i="7" s="1"/>
  <c r="F135" i="7" s="1"/>
  <c r="F136" i="7" s="1"/>
  <c r="F137" i="7" s="1"/>
  <c r="D141" i="6"/>
  <c r="D142" i="6" s="1"/>
  <c r="D143" i="6" s="1"/>
  <c r="D144" i="6" s="1"/>
  <c r="D145" i="6" s="1"/>
  <c r="D146" i="6" s="1"/>
  <c r="D147" i="6" s="1"/>
  <c r="D148" i="6" s="1"/>
  <c r="D149" i="6" s="1"/>
  <c r="D150" i="6" s="1"/>
  <c r="D151" i="6" s="1"/>
  <c r="D152" i="6" s="1"/>
  <c r="C22" i="2"/>
  <c r="B21" i="2"/>
  <c r="C393" i="12" l="1"/>
  <c r="D393" i="12"/>
  <c r="E393" i="12"/>
  <c r="F393" i="12"/>
  <c r="G393" i="12"/>
  <c r="H393" i="12"/>
  <c r="I393" i="12"/>
  <c r="J393" i="12"/>
  <c r="K393" i="12"/>
  <c r="L393" i="12"/>
  <c r="M393" i="12"/>
  <c r="N393" i="12"/>
  <c r="O393" i="12"/>
  <c r="P393" i="12"/>
  <c r="Q393" i="12"/>
  <c r="R393" i="12"/>
  <c r="S393" i="12"/>
  <c r="T393" i="12"/>
  <c r="U393" i="12"/>
  <c r="V393" i="12"/>
  <c r="W393" i="12"/>
  <c r="X393" i="12"/>
  <c r="Y393" i="12"/>
  <c r="Z393" i="12"/>
  <c r="AA393" i="12"/>
  <c r="AB393" i="12"/>
  <c r="AC393" i="12"/>
  <c r="AD397" i="12" s="1"/>
  <c r="B393" i="12"/>
  <c r="C329" i="12"/>
  <c r="D329" i="12"/>
  <c r="E329" i="12"/>
  <c r="F329" i="12"/>
  <c r="G329" i="12"/>
  <c r="H329" i="12"/>
  <c r="I329" i="12"/>
  <c r="J329" i="12"/>
  <c r="K329" i="12"/>
  <c r="L329" i="12"/>
  <c r="M329" i="12"/>
  <c r="N329" i="12"/>
  <c r="O329" i="12"/>
  <c r="P329" i="12"/>
  <c r="Q329" i="12"/>
  <c r="R329" i="12"/>
  <c r="S329" i="12"/>
  <c r="T329" i="12"/>
  <c r="U329" i="12"/>
  <c r="V329" i="12"/>
  <c r="W329" i="12"/>
  <c r="X329" i="12"/>
  <c r="Y329" i="12"/>
  <c r="Z329" i="12"/>
  <c r="AA329" i="12"/>
  <c r="AB329" i="12"/>
  <c r="AC329" i="12"/>
  <c r="AD338" i="12" s="1"/>
  <c r="C330" i="12"/>
  <c r="D330" i="12"/>
  <c r="E330" i="12"/>
  <c r="F330" i="12"/>
  <c r="G330" i="12"/>
  <c r="H330" i="12"/>
  <c r="I330" i="12"/>
  <c r="J330" i="12"/>
  <c r="K330" i="12"/>
  <c r="L330" i="12"/>
  <c r="M330" i="12"/>
  <c r="N330" i="12"/>
  <c r="O330" i="12"/>
  <c r="P330" i="12"/>
  <c r="Q330" i="12"/>
  <c r="R330" i="12"/>
  <c r="S330" i="12"/>
  <c r="T330" i="12"/>
  <c r="U330" i="12"/>
  <c r="V330" i="12"/>
  <c r="W330" i="12"/>
  <c r="X330" i="12"/>
  <c r="Y330" i="12"/>
  <c r="Z330" i="12"/>
  <c r="AA330" i="12"/>
  <c r="AB330" i="12"/>
  <c r="AC330" i="12"/>
  <c r="AD349" i="12" s="1"/>
  <c r="C331" i="12"/>
  <c r="D331" i="12"/>
  <c r="E331" i="12"/>
  <c r="F331" i="12"/>
  <c r="G331" i="12"/>
  <c r="H331" i="12"/>
  <c r="I331" i="12"/>
  <c r="J331" i="12"/>
  <c r="K331" i="12"/>
  <c r="L331" i="12"/>
  <c r="M331" i="12"/>
  <c r="N331" i="12"/>
  <c r="O331" i="12"/>
  <c r="P331" i="12"/>
  <c r="Q331" i="12"/>
  <c r="R331" i="12"/>
  <c r="S331" i="12"/>
  <c r="T331" i="12"/>
  <c r="U331" i="12"/>
  <c r="V331" i="12"/>
  <c r="W331" i="12"/>
  <c r="X331" i="12"/>
  <c r="Y331" i="12"/>
  <c r="Z331" i="12"/>
  <c r="AA331" i="12"/>
  <c r="AB331" i="12"/>
  <c r="AC331" i="12"/>
  <c r="AD360" i="12" s="1"/>
  <c r="C332" i="12"/>
  <c r="D332" i="12"/>
  <c r="E332" i="12"/>
  <c r="F332" i="12"/>
  <c r="G332" i="12"/>
  <c r="H332" i="12"/>
  <c r="I332" i="12"/>
  <c r="J332" i="12"/>
  <c r="K332" i="12"/>
  <c r="L332" i="12"/>
  <c r="M332" i="12"/>
  <c r="N332" i="12"/>
  <c r="O332" i="12"/>
  <c r="P332" i="12"/>
  <c r="Q332" i="12"/>
  <c r="R332" i="12"/>
  <c r="S332" i="12"/>
  <c r="T332" i="12"/>
  <c r="U332" i="12"/>
  <c r="V332" i="12"/>
  <c r="W332" i="12"/>
  <c r="X332" i="12"/>
  <c r="Y332" i="12"/>
  <c r="Z332" i="12"/>
  <c r="AA332" i="12"/>
  <c r="AB332" i="12"/>
  <c r="AC332" i="12"/>
  <c r="AD371" i="12" s="1"/>
  <c r="C333" i="12"/>
  <c r="D333" i="12"/>
  <c r="E333" i="12"/>
  <c r="F333" i="12"/>
  <c r="G333" i="12"/>
  <c r="H333" i="12"/>
  <c r="I333" i="12"/>
  <c r="J333" i="12"/>
  <c r="K333" i="12"/>
  <c r="L333" i="12"/>
  <c r="M333" i="12"/>
  <c r="N333" i="12"/>
  <c r="O333" i="12"/>
  <c r="P333" i="12"/>
  <c r="Q333" i="12"/>
  <c r="R333" i="12"/>
  <c r="S333" i="12"/>
  <c r="T333" i="12"/>
  <c r="U333" i="12"/>
  <c r="V333" i="12"/>
  <c r="W333" i="12"/>
  <c r="X333" i="12"/>
  <c r="Y333" i="12"/>
  <c r="Z333" i="12"/>
  <c r="AA333" i="12"/>
  <c r="AB333" i="12"/>
  <c r="AC333" i="12"/>
  <c r="AD382" i="12" s="1"/>
  <c r="B330" i="12"/>
  <c r="B331" i="12"/>
  <c r="B332" i="12"/>
  <c r="B333" i="12"/>
  <c r="B329" i="12"/>
  <c r="C266" i="12"/>
  <c r="D266" i="12"/>
  <c r="E266" i="12"/>
  <c r="F266" i="12"/>
  <c r="G266" i="12"/>
  <c r="H266" i="12"/>
  <c r="I266" i="12"/>
  <c r="J266" i="12"/>
  <c r="K266" i="12"/>
  <c r="L266" i="12"/>
  <c r="M266" i="12"/>
  <c r="N266" i="12"/>
  <c r="O266" i="12"/>
  <c r="P266" i="12"/>
  <c r="Q266" i="12"/>
  <c r="R266" i="12"/>
  <c r="S266" i="12"/>
  <c r="T266" i="12"/>
  <c r="U266" i="12"/>
  <c r="V266" i="12"/>
  <c r="W266" i="12"/>
  <c r="X266" i="12"/>
  <c r="Y266" i="12"/>
  <c r="Z266" i="12"/>
  <c r="AA266" i="12"/>
  <c r="AB266" i="12"/>
  <c r="AC266" i="12"/>
  <c r="AD274" i="12" s="1"/>
  <c r="C267" i="12"/>
  <c r="D267" i="12"/>
  <c r="E267" i="12"/>
  <c r="F267" i="12"/>
  <c r="G267" i="12"/>
  <c r="H267" i="12"/>
  <c r="I267" i="12"/>
  <c r="J267" i="12"/>
  <c r="K267" i="12"/>
  <c r="L267" i="12"/>
  <c r="M267" i="12"/>
  <c r="N267" i="12"/>
  <c r="O267" i="12"/>
  <c r="P267" i="12"/>
  <c r="Q267" i="12"/>
  <c r="R267" i="12"/>
  <c r="S267" i="12"/>
  <c r="T267" i="12"/>
  <c r="U267" i="12"/>
  <c r="V267" i="12"/>
  <c r="W267" i="12"/>
  <c r="X267" i="12"/>
  <c r="Y267" i="12"/>
  <c r="Z267" i="12"/>
  <c r="AA267" i="12"/>
  <c r="AB267" i="12"/>
  <c r="AC267" i="12"/>
  <c r="AD285" i="12" s="1"/>
  <c r="C268" i="12"/>
  <c r="D268" i="12"/>
  <c r="E268" i="12"/>
  <c r="F268" i="12"/>
  <c r="G268" i="12"/>
  <c r="H268" i="12"/>
  <c r="I268" i="12"/>
  <c r="J268" i="12"/>
  <c r="K268" i="12"/>
  <c r="L268" i="12"/>
  <c r="M268" i="12"/>
  <c r="N268" i="12"/>
  <c r="O268" i="12"/>
  <c r="P268" i="12"/>
  <c r="Q268" i="12"/>
  <c r="R268" i="12"/>
  <c r="S268" i="12"/>
  <c r="T268" i="12"/>
  <c r="U268" i="12"/>
  <c r="V268" i="12"/>
  <c r="W268" i="12"/>
  <c r="X268" i="12"/>
  <c r="Y268" i="12"/>
  <c r="Z268" i="12"/>
  <c r="AA268" i="12"/>
  <c r="AB268" i="12"/>
  <c r="AC268" i="12"/>
  <c r="AD296" i="12" s="1"/>
  <c r="C269" i="12"/>
  <c r="D269" i="12"/>
  <c r="E269" i="12"/>
  <c r="F269" i="12"/>
  <c r="G269" i="12"/>
  <c r="H269" i="12"/>
  <c r="I269" i="12"/>
  <c r="J269" i="12"/>
  <c r="K269" i="12"/>
  <c r="L269" i="12"/>
  <c r="M269" i="12"/>
  <c r="N269" i="12"/>
  <c r="O269" i="12"/>
  <c r="P269" i="12"/>
  <c r="Q269" i="12"/>
  <c r="R269" i="12"/>
  <c r="S269" i="12"/>
  <c r="T269" i="12"/>
  <c r="U269" i="12"/>
  <c r="V269" i="12"/>
  <c r="W269" i="12"/>
  <c r="X269" i="12"/>
  <c r="Y269" i="12"/>
  <c r="Z269" i="12"/>
  <c r="AA269" i="12"/>
  <c r="AB269" i="12"/>
  <c r="AC269" i="12"/>
  <c r="AD307" i="12" s="1"/>
  <c r="C270" i="12"/>
  <c r="D270" i="12"/>
  <c r="E270" i="12"/>
  <c r="F270" i="12"/>
  <c r="G270" i="12"/>
  <c r="H270" i="12"/>
  <c r="I270" i="12"/>
  <c r="J270" i="12"/>
  <c r="K270" i="12"/>
  <c r="L270" i="12"/>
  <c r="M270" i="12"/>
  <c r="N270" i="12"/>
  <c r="O270" i="12"/>
  <c r="P270" i="12"/>
  <c r="Q270" i="12"/>
  <c r="R270" i="12"/>
  <c r="S270" i="12"/>
  <c r="T270" i="12"/>
  <c r="U270" i="12"/>
  <c r="V270" i="12"/>
  <c r="W270" i="12"/>
  <c r="X270" i="12"/>
  <c r="Y270" i="12"/>
  <c r="Z270" i="12"/>
  <c r="AA270" i="12"/>
  <c r="AB270" i="12"/>
  <c r="AC270" i="12"/>
  <c r="AD318" i="12" s="1"/>
  <c r="B267" i="12"/>
  <c r="B268" i="12"/>
  <c r="B269" i="12"/>
  <c r="B270" i="12"/>
  <c r="B266" i="12"/>
  <c r="B5" i="12"/>
  <c r="C31" i="12"/>
  <c r="C411" i="12" s="1"/>
  <c r="D31" i="12"/>
  <c r="D411" i="12" s="1"/>
  <c r="E31" i="12"/>
  <c r="E411" i="12" s="1"/>
  <c r="F31" i="12"/>
  <c r="F411" i="12" s="1"/>
  <c r="G31" i="12"/>
  <c r="G411" i="12" s="1"/>
  <c r="H31" i="12"/>
  <c r="H411" i="12" s="1"/>
  <c r="I31" i="12"/>
  <c r="I411" i="12" s="1"/>
  <c r="J31" i="12"/>
  <c r="J411" i="12" s="1"/>
  <c r="K31" i="12"/>
  <c r="K411" i="12" s="1"/>
  <c r="L31" i="12"/>
  <c r="L411" i="12" s="1"/>
  <c r="M31" i="12"/>
  <c r="M411" i="12" s="1"/>
  <c r="N31" i="12"/>
  <c r="N411" i="12" s="1"/>
  <c r="O31" i="12"/>
  <c r="O411" i="12" s="1"/>
  <c r="P31" i="12"/>
  <c r="P411" i="12" s="1"/>
  <c r="Q31" i="12"/>
  <c r="Q411" i="12" s="1"/>
  <c r="R31" i="12"/>
  <c r="R411" i="12" s="1"/>
  <c r="S31" i="12"/>
  <c r="S411" i="12" s="1"/>
  <c r="T31" i="12"/>
  <c r="T411" i="12" s="1"/>
  <c r="U31" i="12"/>
  <c r="U411" i="12" s="1"/>
  <c r="V31" i="12"/>
  <c r="V411" i="12" s="1"/>
  <c r="W31" i="12"/>
  <c r="W411" i="12" s="1"/>
  <c r="X31" i="12"/>
  <c r="X411" i="12" s="1"/>
  <c r="Y31" i="12"/>
  <c r="Y411" i="12" s="1"/>
  <c r="Z31" i="12"/>
  <c r="Z411" i="12" s="1"/>
  <c r="AA31" i="12"/>
  <c r="AA411" i="12" s="1"/>
  <c r="AB31" i="12"/>
  <c r="AB411" i="12" s="1"/>
  <c r="AC31" i="12"/>
  <c r="B4" i="12" s="1"/>
  <c r="B31" i="12"/>
  <c r="B411" i="12" s="1"/>
  <c r="AC411" i="12" l="1"/>
  <c r="AD416" i="12" s="1"/>
  <c r="C19" i="26"/>
  <c r="D19" i="26"/>
  <c r="E19" i="26"/>
  <c r="F19" i="26"/>
  <c r="G19" i="26"/>
  <c r="H19" i="26"/>
  <c r="I19" i="26"/>
  <c r="J19" i="26"/>
  <c r="K19" i="26"/>
  <c r="L19" i="26"/>
  <c r="M19" i="26"/>
  <c r="B19" i="26"/>
  <c r="C12" i="26"/>
  <c r="D12" i="26"/>
  <c r="E12" i="26"/>
  <c r="F12" i="26"/>
  <c r="G12" i="26"/>
  <c r="H12" i="26"/>
  <c r="I12" i="26"/>
  <c r="J12" i="26"/>
  <c r="K12" i="26"/>
  <c r="L12" i="26"/>
  <c r="M12" i="26"/>
  <c r="B12" i="26"/>
  <c r="L15" i="26"/>
  <c r="M15" i="26"/>
  <c r="AB24" i="5" l="1"/>
  <c r="AC397" i="12" l="1"/>
  <c r="AC382" i="12"/>
  <c r="AC371" i="12"/>
  <c r="AC360" i="12"/>
  <c r="AC349" i="12"/>
  <c r="AC338" i="12"/>
  <c r="AC318" i="12"/>
  <c r="AC307" i="12"/>
  <c r="AC296" i="12"/>
  <c r="AC285" i="12"/>
  <c r="AC274" i="12"/>
  <c r="AC33" i="29" l="1"/>
  <c r="AC30" i="29"/>
  <c r="AB33" i="29"/>
  <c r="B4" i="21"/>
  <c r="C3" i="48" l="1"/>
  <c r="B3" i="48"/>
  <c r="B4" i="19"/>
  <c r="C3" i="46"/>
  <c r="B3" i="46"/>
  <c r="J23" i="16" l="1"/>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22" i="16"/>
  <c r="I12" i="16"/>
  <c r="I13" i="16"/>
  <c r="I14" i="16"/>
  <c r="I15" i="16"/>
  <c r="I16" i="16"/>
  <c r="I17" i="16"/>
  <c r="I18" i="16"/>
  <c r="I19" i="16"/>
  <c r="I20" i="16"/>
  <c r="I21" i="16"/>
  <c r="I22" i="16"/>
  <c r="I11" i="16"/>
  <c r="D114" i="8" l="1"/>
  <c r="D99" i="13"/>
  <c r="B5" i="10"/>
  <c r="B4" i="10"/>
  <c r="AC132" i="10" l="1"/>
  <c r="AC133" i="10"/>
  <c r="AC134" i="10"/>
  <c r="AC135" i="10"/>
  <c r="AC136" i="10"/>
  <c r="AC137" i="10"/>
  <c r="AC138" i="10"/>
  <c r="AC139" i="10"/>
  <c r="AC140" i="10"/>
  <c r="AC141" i="10"/>
  <c r="AA408" i="28" l="1"/>
  <c r="AA395" i="28"/>
  <c r="AB399" i="28" s="1"/>
  <c r="AA387" i="28"/>
  <c r="AA375" i="28"/>
  <c r="AA367" i="28"/>
  <c r="AA352" i="28"/>
  <c r="AB357" i="28" s="1"/>
  <c r="AA344" i="28"/>
  <c r="AA331" i="28"/>
  <c r="AB336" i="28" s="1"/>
  <c r="AA324" i="28"/>
  <c r="AA312" i="28"/>
  <c r="AB314" i="28" s="1"/>
  <c r="AB397" i="12"/>
  <c r="AC416" i="12"/>
  <c r="AB379" i="28" l="1"/>
  <c r="B4" i="25" l="1"/>
  <c r="D113" i="8"/>
  <c r="D98" i="13" l="1"/>
  <c r="Z116" i="7" l="1"/>
  <c r="AA116" i="7"/>
  <c r="Z108" i="7"/>
  <c r="AA108" i="7"/>
  <c r="AB382" i="12" l="1"/>
  <c r="AB371" i="12"/>
  <c r="AB360" i="12"/>
  <c r="AB349" i="12"/>
  <c r="AB338" i="12"/>
  <c r="AB318" i="12"/>
  <c r="AB307" i="12"/>
  <c r="AB296" i="12"/>
  <c r="AB285" i="12"/>
  <c r="AB274" i="12"/>
  <c r="B6" i="9" l="1"/>
  <c r="AB132" i="10" l="1"/>
  <c r="AB133" i="10"/>
  <c r="AB134" i="10"/>
  <c r="AB135" i="10"/>
  <c r="AB136" i="10"/>
  <c r="AB137" i="10"/>
  <c r="AB138" i="10"/>
  <c r="AB139" i="10"/>
  <c r="AB140" i="10"/>
  <c r="AB141" i="10"/>
  <c r="Z410" i="28"/>
  <c r="AA410" i="28"/>
  <c r="AB410" i="28"/>
  <c r="AC410" i="28"/>
  <c r="AD410" i="28"/>
  <c r="AE410" i="28"/>
  <c r="AF410" i="28"/>
  <c r="AG410" i="28"/>
  <c r="AH410" i="28"/>
  <c r="AI410" i="28"/>
  <c r="AJ410" i="28"/>
  <c r="AK410" i="28"/>
  <c r="AL410" i="28"/>
  <c r="AM410" i="28"/>
  <c r="AN410" i="28"/>
  <c r="AO410" i="28"/>
  <c r="AP410" i="28"/>
  <c r="AQ410" i="28"/>
  <c r="AR410" i="28"/>
  <c r="AS410" i="28"/>
  <c r="AT410" i="28"/>
  <c r="AU410" i="28"/>
  <c r="AV410" i="28"/>
  <c r="AW410" i="28"/>
  <c r="Z408" i="28"/>
  <c r="C395" i="28"/>
  <c r="D395" i="28"/>
  <c r="E395" i="28"/>
  <c r="F395" i="28"/>
  <c r="G395" i="28"/>
  <c r="H395" i="28"/>
  <c r="I395" i="28"/>
  <c r="J395" i="28"/>
  <c r="K395" i="28"/>
  <c r="L395" i="28"/>
  <c r="M395" i="28"/>
  <c r="N395" i="28"/>
  <c r="O395" i="28"/>
  <c r="P395" i="28"/>
  <c r="Q395" i="28"/>
  <c r="R395" i="28"/>
  <c r="S395" i="28"/>
  <c r="T395" i="28"/>
  <c r="U395" i="28"/>
  <c r="V395" i="28"/>
  <c r="W395" i="28"/>
  <c r="X395" i="28"/>
  <c r="Y395" i="28"/>
  <c r="Z395" i="28"/>
  <c r="AA399" i="28" s="1"/>
  <c r="B395" i="28"/>
  <c r="Z389" i="28"/>
  <c r="AA389" i="28"/>
  <c r="AB389" i="28"/>
  <c r="AC389" i="28"/>
  <c r="AD389" i="28"/>
  <c r="AE389" i="28"/>
  <c r="AF389" i="28"/>
  <c r="AG389" i="28"/>
  <c r="AH389" i="28"/>
  <c r="AI389" i="28"/>
  <c r="AJ389" i="28"/>
  <c r="AK389" i="28"/>
  <c r="AL389" i="28"/>
  <c r="AM389" i="28"/>
  <c r="AN389" i="28"/>
  <c r="AO389" i="28"/>
  <c r="AP389" i="28"/>
  <c r="AQ389" i="28"/>
  <c r="AR389" i="28"/>
  <c r="AS389" i="28"/>
  <c r="AT389" i="28"/>
  <c r="AU389" i="28"/>
  <c r="AV389" i="28"/>
  <c r="AW389" i="28"/>
  <c r="Z387" i="28"/>
  <c r="C375" i="28"/>
  <c r="D375" i="28"/>
  <c r="E375" i="28"/>
  <c r="F375" i="28"/>
  <c r="G375" i="28"/>
  <c r="H375" i="28"/>
  <c r="I375" i="28"/>
  <c r="J375" i="28"/>
  <c r="K375" i="28"/>
  <c r="L375" i="28"/>
  <c r="M375" i="28"/>
  <c r="N375" i="28"/>
  <c r="O375" i="28"/>
  <c r="P375" i="28"/>
  <c r="Q375" i="28"/>
  <c r="R375" i="28"/>
  <c r="S375" i="28"/>
  <c r="T375" i="28"/>
  <c r="U375" i="28"/>
  <c r="V375" i="28"/>
  <c r="W375" i="28"/>
  <c r="X375" i="28"/>
  <c r="Y375" i="28"/>
  <c r="Z375" i="28"/>
  <c r="B375" i="28"/>
  <c r="Z369" i="28"/>
  <c r="AA369" i="28"/>
  <c r="AB369" i="28"/>
  <c r="AC369" i="28"/>
  <c r="AD369" i="28"/>
  <c r="AE369" i="28"/>
  <c r="AF369" i="28"/>
  <c r="AG369" i="28"/>
  <c r="AH369" i="28"/>
  <c r="AI369" i="28"/>
  <c r="AJ369" i="28"/>
  <c r="AK369" i="28"/>
  <c r="AL369" i="28"/>
  <c r="AM369" i="28"/>
  <c r="AN369" i="28"/>
  <c r="AO369" i="28"/>
  <c r="AP369" i="28"/>
  <c r="AQ369" i="28"/>
  <c r="AR369" i="28"/>
  <c r="AS369" i="28"/>
  <c r="AT369" i="28"/>
  <c r="AU369" i="28"/>
  <c r="AV369" i="28"/>
  <c r="AW369" i="28"/>
  <c r="Z367" i="28"/>
  <c r="Z366" i="28"/>
  <c r="AA366" i="28"/>
  <c r="AB366" i="28"/>
  <c r="AC366" i="28"/>
  <c r="AD366" i="28"/>
  <c r="AE366" i="28"/>
  <c r="AF366" i="28"/>
  <c r="AG366" i="28"/>
  <c r="AH366" i="28"/>
  <c r="AI366" i="28"/>
  <c r="AJ366" i="28"/>
  <c r="AK366" i="28"/>
  <c r="AL366" i="28"/>
  <c r="AM366" i="28"/>
  <c r="AN366" i="28"/>
  <c r="AO366" i="28"/>
  <c r="AP366" i="28"/>
  <c r="AQ366" i="28"/>
  <c r="AR366" i="28"/>
  <c r="AS366" i="28"/>
  <c r="AT366" i="28"/>
  <c r="AU366" i="28"/>
  <c r="AV366" i="28"/>
  <c r="AW366" i="28"/>
  <c r="C352" i="28"/>
  <c r="D352" i="28"/>
  <c r="E352" i="28"/>
  <c r="F352" i="28"/>
  <c r="G352" i="28"/>
  <c r="H352" i="28"/>
  <c r="I352" i="28"/>
  <c r="J352" i="28"/>
  <c r="K352" i="28"/>
  <c r="L352" i="28"/>
  <c r="M352" i="28"/>
  <c r="N352" i="28"/>
  <c r="O352" i="28"/>
  <c r="P352" i="28"/>
  <c r="Q352" i="28"/>
  <c r="R352" i="28"/>
  <c r="S352" i="28"/>
  <c r="T352" i="28"/>
  <c r="U352" i="28"/>
  <c r="V352" i="28"/>
  <c r="W352" i="28"/>
  <c r="X352" i="28"/>
  <c r="Y352" i="28"/>
  <c r="Z352" i="28"/>
  <c r="B352" i="28"/>
  <c r="AW346" i="28"/>
  <c r="Z346" i="28"/>
  <c r="AA346" i="28"/>
  <c r="AB346" i="28"/>
  <c r="AC346" i="28"/>
  <c r="AD346" i="28"/>
  <c r="AE346" i="28"/>
  <c r="AF346" i="28"/>
  <c r="AG346" i="28"/>
  <c r="AH346" i="28"/>
  <c r="AI346" i="28"/>
  <c r="AJ346" i="28"/>
  <c r="AK346" i="28"/>
  <c r="AL346" i="28"/>
  <c r="AM346" i="28"/>
  <c r="AN346" i="28"/>
  <c r="AO346" i="28"/>
  <c r="AP346" i="28"/>
  <c r="AQ346" i="28"/>
  <c r="AR346" i="28"/>
  <c r="AS346" i="28"/>
  <c r="AT346" i="28"/>
  <c r="AU346" i="28"/>
  <c r="AV346" i="28"/>
  <c r="Z344" i="28"/>
  <c r="C331" i="28"/>
  <c r="D331" i="28"/>
  <c r="E331" i="28"/>
  <c r="F331" i="28"/>
  <c r="G331" i="28"/>
  <c r="H331" i="28"/>
  <c r="I331" i="28"/>
  <c r="J331" i="28"/>
  <c r="K331" i="28"/>
  <c r="L331" i="28"/>
  <c r="M331" i="28"/>
  <c r="N331" i="28"/>
  <c r="O331" i="28"/>
  <c r="P331" i="28"/>
  <c r="Q331" i="28"/>
  <c r="R331" i="28"/>
  <c r="S331" i="28"/>
  <c r="T331" i="28"/>
  <c r="U331" i="28"/>
  <c r="V331" i="28"/>
  <c r="W331" i="28"/>
  <c r="X331" i="28"/>
  <c r="Y331" i="28"/>
  <c r="Z331" i="28"/>
  <c r="AA336" i="28" s="1"/>
  <c r="B331" i="28"/>
  <c r="Z326" i="28"/>
  <c r="AA326" i="28"/>
  <c r="AB326" i="28"/>
  <c r="AC326" i="28"/>
  <c r="AD326" i="28"/>
  <c r="AE326" i="28"/>
  <c r="AF326" i="28"/>
  <c r="AG326" i="28"/>
  <c r="AH326" i="28"/>
  <c r="AI326" i="28"/>
  <c r="AJ326" i="28"/>
  <c r="AK326" i="28"/>
  <c r="AL326" i="28"/>
  <c r="AM326" i="28"/>
  <c r="AN326" i="28"/>
  <c r="AO326" i="28"/>
  <c r="AP326" i="28"/>
  <c r="AQ326" i="28"/>
  <c r="AR326" i="28"/>
  <c r="AS326" i="28"/>
  <c r="AT326" i="28"/>
  <c r="AU326" i="28"/>
  <c r="AV326" i="28"/>
  <c r="AW326" i="28"/>
  <c r="Z324" i="28"/>
  <c r="Z322" i="28"/>
  <c r="AA322" i="28"/>
  <c r="AB322" i="28"/>
  <c r="AC322" i="28"/>
  <c r="AD322" i="28"/>
  <c r="AE322" i="28"/>
  <c r="AF322" i="28"/>
  <c r="AG322" i="28"/>
  <c r="AH322" i="28"/>
  <c r="AI322" i="28"/>
  <c r="AJ322" i="28"/>
  <c r="AK322" i="28"/>
  <c r="AL322" i="28"/>
  <c r="AM322" i="28"/>
  <c r="AN322" i="28"/>
  <c r="AO322" i="28"/>
  <c r="AP322" i="28"/>
  <c r="AQ322" i="28"/>
  <c r="AR322" i="28"/>
  <c r="AS322" i="28"/>
  <c r="AT322" i="28"/>
  <c r="AU322" i="28"/>
  <c r="AV322" i="28"/>
  <c r="AW322" i="28"/>
  <c r="Z323" i="28"/>
  <c r="AA323" i="28"/>
  <c r="AB323" i="28"/>
  <c r="AC323" i="28"/>
  <c r="AD323" i="28"/>
  <c r="AE323" i="28"/>
  <c r="AF323" i="28"/>
  <c r="AG323" i="28"/>
  <c r="AH323" i="28"/>
  <c r="AI323" i="28"/>
  <c r="AJ323" i="28"/>
  <c r="AK323" i="28"/>
  <c r="AL323" i="28"/>
  <c r="AM323" i="28"/>
  <c r="AN323" i="28"/>
  <c r="AO323" i="28"/>
  <c r="AP323" i="28"/>
  <c r="AQ323" i="28"/>
  <c r="AR323" i="28"/>
  <c r="AS323" i="28"/>
  <c r="AT323" i="28"/>
  <c r="AU323" i="28"/>
  <c r="AV323" i="28"/>
  <c r="AW323" i="28"/>
  <c r="C312" i="28"/>
  <c r="D312" i="28"/>
  <c r="E312" i="28"/>
  <c r="F312" i="28"/>
  <c r="G312" i="28"/>
  <c r="H312" i="28"/>
  <c r="I312" i="28"/>
  <c r="J312" i="28"/>
  <c r="K312" i="28"/>
  <c r="L312" i="28"/>
  <c r="M312" i="28"/>
  <c r="N312" i="28"/>
  <c r="O312" i="28"/>
  <c r="P312" i="28"/>
  <c r="Q312" i="28"/>
  <c r="R312" i="28"/>
  <c r="S312" i="28"/>
  <c r="T312" i="28"/>
  <c r="U312" i="28"/>
  <c r="V312" i="28"/>
  <c r="W312" i="28"/>
  <c r="X312" i="28"/>
  <c r="Y312" i="28"/>
  <c r="Z312" i="28"/>
  <c r="B312"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Z24" i="28"/>
  <c r="Y24" i="28"/>
  <c r="Y23" i="28"/>
  <c r="AB30" i="29"/>
  <c r="Z379" i="28" l="1"/>
  <c r="AA379" i="28"/>
  <c r="AF356" i="28"/>
  <c r="AN356" i="28"/>
  <c r="AV356" i="28"/>
  <c r="AC356" i="28"/>
  <c r="AT356" i="28"/>
  <c r="AW356" i="28"/>
  <c r="AG356" i="28"/>
  <c r="AO356" i="28"/>
  <c r="Y356" i="28"/>
  <c r="AH356" i="28"/>
  <c r="AP356" i="28"/>
  <c r="AA356" i="28"/>
  <c r="AI356" i="28"/>
  <c r="AR356" i="28"/>
  <c r="AS356" i="28"/>
  <c r="AL356" i="28"/>
  <c r="AU356" i="28"/>
  <c r="Z356" i="28"/>
  <c r="Y355" i="28"/>
  <c r="AQ356" i="28"/>
  <c r="AD356" i="28"/>
  <c r="AM356" i="28"/>
  <c r="AB356" i="28"/>
  <c r="AJ356" i="28"/>
  <c r="AK356" i="28"/>
  <c r="AE356" i="28"/>
  <c r="AA378" i="28"/>
  <c r="X314" i="28"/>
  <c r="AO398" i="28"/>
  <c r="AM334" i="28"/>
  <c r="AL334" i="28"/>
  <c r="Z314" i="28"/>
  <c r="AA314" i="28"/>
  <c r="AE334" i="28"/>
  <c r="AN398" i="28"/>
  <c r="Z378" i="28"/>
  <c r="AG398" i="28"/>
  <c r="AD334" i="28"/>
  <c r="Z357" i="28"/>
  <c r="AA357" i="28"/>
  <c r="AB378" i="28"/>
  <c r="AA401" i="28"/>
  <c r="AB401" i="28"/>
  <c r="AM359" i="28"/>
  <c r="AN359" i="28"/>
  <c r="Z381" i="28"/>
  <c r="AR378" i="28"/>
  <c r="AJ381" i="28"/>
  <c r="AK316" i="28"/>
  <c r="AK381" i="28"/>
  <c r="AQ378" i="28"/>
  <c r="AI381" i="28"/>
  <c r="AW401" i="28"/>
  <c r="AP378" i="28"/>
  <c r="AJ401" i="28"/>
  <c r="Z399" i="28"/>
  <c r="AO381" i="28"/>
  <c r="AA359" i="28"/>
  <c r="AG338" i="28"/>
  <c r="AT359" i="28"/>
  <c r="AI316" i="28"/>
  <c r="AB316" i="28"/>
  <c r="AA316" i="28"/>
  <c r="AN334" i="28"/>
  <c r="AE316" i="28"/>
  <c r="AM316" i="28"/>
  <c r="AU316" i="28"/>
  <c r="AD316" i="28"/>
  <c r="AN316" i="28"/>
  <c r="AW316" i="28"/>
  <c r="C316" i="28"/>
  <c r="AF316" i="28"/>
  <c r="AO316" i="28"/>
  <c r="AH316" i="28"/>
  <c r="AG316" i="28"/>
  <c r="AP316" i="28"/>
  <c r="AQ316" i="28"/>
  <c r="AC316" i="28"/>
  <c r="AL316" i="28"/>
  <c r="AV316" i="28"/>
  <c r="AJ316" i="28"/>
  <c r="AT316" i="28"/>
  <c r="Z316" i="28"/>
  <c r="AG334" i="28"/>
  <c r="AO334" i="28"/>
  <c r="AW334" i="28"/>
  <c r="AH334" i="28"/>
  <c r="AQ334" i="28"/>
  <c r="AT334" i="28"/>
  <c r="Z334" i="28"/>
  <c r="AI334" i="28"/>
  <c r="AR334" i="28"/>
  <c r="AJ334" i="28"/>
  <c r="AK334" i="28"/>
  <c r="Z338" i="28"/>
  <c r="AA334" i="28"/>
  <c r="AS334" i="28"/>
  <c r="AB334" i="28"/>
  <c r="AF334" i="28"/>
  <c r="AP334" i="28"/>
  <c r="AC334" i="28"/>
  <c r="AW338" i="28"/>
  <c r="AS316" i="28"/>
  <c r="Z336" i="28"/>
  <c r="AV334" i="28"/>
  <c r="AO338" i="28"/>
  <c r="AR316" i="28"/>
  <c r="AU334" i="28"/>
  <c r="AD359" i="28"/>
  <c r="AO359" i="28"/>
  <c r="AE359" i="28"/>
  <c r="AP359" i="28"/>
  <c r="AU359" i="28"/>
  <c r="Z359" i="28"/>
  <c r="AF378" i="28"/>
  <c r="AP381" i="28"/>
  <c r="AP398" i="28"/>
  <c r="AI401" i="28"/>
  <c r="Z401" i="28"/>
  <c r="AL359" i="28"/>
  <c r="AF398" i="28"/>
  <c r="AP401" i="28"/>
  <c r="AH359" i="28"/>
  <c r="AO378" i="28"/>
  <c r="AB381" i="28"/>
  <c r="AB398" i="28"/>
  <c r="AO401" i="28"/>
  <c r="AW359" i="28"/>
  <c r="AG359" i="28"/>
  <c r="AN378" i="28"/>
  <c r="AA381" i="28"/>
  <c r="AR398" i="28"/>
  <c r="AA398" i="28"/>
  <c r="AK401" i="28"/>
  <c r="AV359" i="28"/>
  <c r="AF359" i="28"/>
  <c r="AG378" i="28"/>
  <c r="AW381" i="28"/>
  <c r="AQ398" i="28"/>
  <c r="Z398" i="28"/>
  <c r="AD381" i="28"/>
  <c r="AL381" i="28"/>
  <c r="AT381" i="28"/>
  <c r="AC378" i="28"/>
  <c r="AK378" i="28"/>
  <c r="AS378" i="28"/>
  <c r="AE381" i="28"/>
  <c r="AM381" i="28"/>
  <c r="AU381" i="28"/>
  <c r="AD378" i="28"/>
  <c r="AL378" i="28"/>
  <c r="AT378" i="28"/>
  <c r="AF381" i="28"/>
  <c r="AN381" i="28"/>
  <c r="AV381" i="28"/>
  <c r="AE378" i="28"/>
  <c r="AM378" i="28"/>
  <c r="AU378" i="28"/>
  <c r="AJ378" i="28"/>
  <c r="AS381" i="28"/>
  <c r="AH381" i="28"/>
  <c r="AD401" i="28"/>
  <c r="AL401" i="28"/>
  <c r="AT401" i="28"/>
  <c r="AC398" i="28"/>
  <c r="AK398" i="28"/>
  <c r="AS398" i="28"/>
  <c r="AE401" i="28"/>
  <c r="AM401" i="28"/>
  <c r="AU401" i="28"/>
  <c r="AD398" i="28"/>
  <c r="AL398" i="28"/>
  <c r="AT398" i="28"/>
  <c r="AF401" i="28"/>
  <c r="AN401" i="28"/>
  <c r="AV401" i="28"/>
  <c r="AE398" i="28"/>
  <c r="AM398" i="28"/>
  <c r="AU398" i="28"/>
  <c r="AJ398" i="28"/>
  <c r="AS401" i="28"/>
  <c r="AH401" i="28"/>
  <c r="AW378" i="28"/>
  <c r="AI378" i="28"/>
  <c r="AR381" i="28"/>
  <c r="AG381" i="28"/>
  <c r="AW398" i="28"/>
  <c r="AI398" i="28"/>
  <c r="AR401" i="28"/>
  <c r="AG401" i="28"/>
  <c r="AV378" i="28"/>
  <c r="AH378" i="28"/>
  <c r="AQ381" i="28"/>
  <c r="AC381" i="28"/>
  <c r="AV398" i="28"/>
  <c r="AH398" i="28"/>
  <c r="AQ401" i="28"/>
  <c r="AC401" i="28"/>
  <c r="AS359" i="28"/>
  <c r="AK359" i="28"/>
  <c r="AC359" i="28"/>
  <c r="AR359" i="28"/>
  <c r="AJ359" i="28"/>
  <c r="AB359" i="28"/>
  <c r="AQ359" i="28"/>
  <c r="AI359" i="28"/>
  <c r="AT338" i="28"/>
  <c r="AL338" i="28"/>
  <c r="AD338" i="28"/>
  <c r="AU338" i="28"/>
  <c r="AC338" i="28"/>
  <c r="AN338" i="28"/>
  <c r="AF338" i="28"/>
  <c r="AM338" i="28"/>
  <c r="AE338" i="28"/>
  <c r="AS338" i="28"/>
  <c r="AK338" i="28"/>
  <c r="AR338" i="28"/>
  <c r="AJ338" i="28"/>
  <c r="AB338" i="28"/>
  <c r="AV338" i="28"/>
  <c r="AQ338" i="28"/>
  <c r="AI338" i="28"/>
  <c r="AA338" i="28"/>
  <c r="AP338" i="28"/>
  <c r="AH338" i="28"/>
  <c r="M45" i="34" l="1"/>
  <c r="M44" i="34"/>
  <c r="J20" i="34" l="1"/>
  <c r="H204" i="29"/>
  <c r="I204" i="29"/>
  <c r="J204" i="29"/>
  <c r="K204" i="29"/>
  <c r="L204" i="29"/>
  <c r="M204" i="29"/>
  <c r="N204" i="29"/>
  <c r="O204" i="29"/>
  <c r="P204" i="29"/>
  <c r="Q204" i="29"/>
  <c r="R204" i="29"/>
  <c r="S204" i="29"/>
  <c r="T204" i="29"/>
  <c r="U204" i="29"/>
  <c r="V204" i="29"/>
  <c r="W204" i="29"/>
  <c r="X204" i="29"/>
  <c r="Y204" i="29"/>
  <c r="Z204" i="29"/>
  <c r="AA204" i="29"/>
  <c r="AB204" i="29"/>
  <c r="AC204" i="29"/>
  <c r="AD204" i="29"/>
  <c r="AE204" i="29"/>
  <c r="AF204" i="29"/>
  <c r="AG204" i="29"/>
  <c r="AH204" i="29"/>
  <c r="AI204" i="29"/>
  <c r="AJ204" i="29"/>
  <c r="AK204" i="29"/>
  <c r="AL204" i="29"/>
  <c r="AM204" i="29"/>
  <c r="AN204" i="29"/>
  <c r="AO204" i="29"/>
  <c r="AP204" i="29"/>
  <c r="AQ204" i="29"/>
  <c r="AR204" i="29"/>
  <c r="AS204" i="29"/>
  <c r="AT204" i="29"/>
  <c r="AU204" i="29"/>
  <c r="AV204" i="29"/>
  <c r="AW204" i="29"/>
  <c r="C204" i="29"/>
  <c r="D204" i="29"/>
  <c r="E204" i="29"/>
  <c r="F204" i="29"/>
  <c r="G204" i="29"/>
  <c r="B204" i="29"/>
  <c r="E191" i="29"/>
  <c r="F191" i="29"/>
  <c r="G191" i="29"/>
  <c r="H191" i="29"/>
  <c r="I191" i="29"/>
  <c r="J191" i="29"/>
  <c r="K191" i="29"/>
  <c r="L191" i="29"/>
  <c r="M191" i="29"/>
  <c r="N191" i="29"/>
  <c r="O191" i="29"/>
  <c r="P191" i="29"/>
  <c r="Q191" i="29"/>
  <c r="R191" i="29"/>
  <c r="S191" i="29"/>
  <c r="T191" i="29"/>
  <c r="U191" i="29"/>
  <c r="V191" i="29"/>
  <c r="W191" i="29"/>
  <c r="X191" i="29"/>
  <c r="Y191" i="29"/>
  <c r="Z191" i="29"/>
  <c r="AA191" i="29"/>
  <c r="AB191" i="29"/>
  <c r="AC191" i="29"/>
  <c r="AD191" i="29"/>
  <c r="AE191" i="29"/>
  <c r="AF191" i="29"/>
  <c r="AG191" i="29"/>
  <c r="AH191" i="29"/>
  <c r="AI191" i="29"/>
  <c r="AJ191" i="29"/>
  <c r="AK191" i="29"/>
  <c r="AL191" i="29"/>
  <c r="AM191" i="29"/>
  <c r="AN191" i="29"/>
  <c r="AO191" i="29"/>
  <c r="AP191" i="29"/>
  <c r="AQ191" i="29"/>
  <c r="AR191" i="29"/>
  <c r="AS191" i="29"/>
  <c r="AT191" i="29"/>
  <c r="AU191" i="29"/>
  <c r="AV191" i="29"/>
  <c r="AW191" i="29"/>
  <c r="C191" i="29"/>
  <c r="D191" i="29"/>
  <c r="B191" i="29"/>
  <c r="AB167" i="29"/>
  <c r="AC167" i="29"/>
  <c r="AD167" i="29"/>
  <c r="AD172" i="29" s="1"/>
  <c r="AE167" i="29"/>
  <c r="AF167" i="29"/>
  <c r="AG167" i="29"/>
  <c r="AH167" i="29"/>
  <c r="AI167" i="29"/>
  <c r="AJ167" i="29"/>
  <c r="AK167" i="29"/>
  <c r="AL167" i="29"/>
  <c r="AM167" i="29"/>
  <c r="AN167" i="29"/>
  <c r="AO167" i="29"/>
  <c r="AP167" i="29"/>
  <c r="AQ167" i="29"/>
  <c r="AR167" i="29"/>
  <c r="AS167" i="29"/>
  <c r="AT167" i="29"/>
  <c r="AU167" i="29"/>
  <c r="AV167" i="29"/>
  <c r="AW167" i="29"/>
  <c r="C180" i="29"/>
  <c r="D180" i="29"/>
  <c r="E180" i="29"/>
  <c r="F180" i="29"/>
  <c r="G180" i="29"/>
  <c r="H180" i="29"/>
  <c r="I180" i="29"/>
  <c r="J180" i="29"/>
  <c r="K180" i="29"/>
  <c r="L180" i="29"/>
  <c r="M180" i="29"/>
  <c r="N180" i="29"/>
  <c r="O180" i="29"/>
  <c r="P180" i="29"/>
  <c r="Q180" i="29"/>
  <c r="R180" i="29"/>
  <c r="S180" i="29"/>
  <c r="T180" i="29"/>
  <c r="U180" i="29"/>
  <c r="V180" i="29"/>
  <c r="W180" i="29"/>
  <c r="X180" i="29"/>
  <c r="Y180" i="29"/>
  <c r="Z180" i="29"/>
  <c r="AA180" i="29"/>
  <c r="AB180" i="29"/>
  <c r="AC180" i="29"/>
  <c r="AC183" i="29" s="1"/>
  <c r="AD180" i="29"/>
  <c r="AE180" i="29"/>
  <c r="AF180" i="29"/>
  <c r="AG180" i="29"/>
  <c r="AH180" i="29"/>
  <c r="AI180" i="29"/>
  <c r="AJ180" i="29"/>
  <c r="AK180" i="29"/>
  <c r="AL180" i="29"/>
  <c r="AM180" i="29"/>
  <c r="AN180" i="29"/>
  <c r="AO180" i="29"/>
  <c r="AP180" i="29"/>
  <c r="AQ180" i="29"/>
  <c r="AR180" i="29"/>
  <c r="AS180" i="29"/>
  <c r="AT180" i="29"/>
  <c r="AU180" i="29"/>
  <c r="AV180" i="29"/>
  <c r="AW180" i="29"/>
  <c r="B180" i="29"/>
  <c r="C167" i="29"/>
  <c r="D167" i="29"/>
  <c r="E167" i="29"/>
  <c r="F167" i="29"/>
  <c r="G167" i="29"/>
  <c r="H167" i="29"/>
  <c r="I167" i="29"/>
  <c r="J167" i="29"/>
  <c r="K167" i="29"/>
  <c r="L167" i="29"/>
  <c r="M167" i="29"/>
  <c r="N167" i="29"/>
  <c r="O167" i="29"/>
  <c r="P167" i="29"/>
  <c r="Q167" i="29"/>
  <c r="R167" i="29"/>
  <c r="S167" i="29"/>
  <c r="T167" i="29"/>
  <c r="U167" i="29"/>
  <c r="V167" i="29"/>
  <c r="W167" i="29"/>
  <c r="X167" i="29"/>
  <c r="Y167" i="29"/>
  <c r="Z167" i="29"/>
  <c r="AA167" i="29"/>
  <c r="B167" i="29"/>
  <c r="F154" i="29"/>
  <c r="G154" i="29"/>
  <c r="H154" i="29"/>
  <c r="I154" i="29"/>
  <c r="J154" i="29"/>
  <c r="K154" i="29"/>
  <c r="L154" i="29"/>
  <c r="M154" i="29"/>
  <c r="N154" i="29"/>
  <c r="O154" i="29"/>
  <c r="P154" i="29"/>
  <c r="Q154" i="29"/>
  <c r="R154" i="29"/>
  <c r="S154" i="29"/>
  <c r="T154" i="29"/>
  <c r="U154" i="29"/>
  <c r="V154" i="29"/>
  <c r="W154" i="29"/>
  <c r="X154" i="29"/>
  <c r="Y154" i="29"/>
  <c r="Z154" i="29"/>
  <c r="AA154" i="29"/>
  <c r="AB154" i="29"/>
  <c r="AC154" i="29"/>
  <c r="AD154" i="29"/>
  <c r="AD159" i="29" s="1"/>
  <c r="AE154" i="29"/>
  <c r="AF154" i="29"/>
  <c r="AG154" i="29"/>
  <c r="AH154" i="29"/>
  <c r="AI154" i="29"/>
  <c r="AJ154" i="29"/>
  <c r="AK154" i="29"/>
  <c r="AL154" i="29"/>
  <c r="AM154" i="29"/>
  <c r="AN154" i="29"/>
  <c r="AO154" i="29"/>
  <c r="AP154" i="29"/>
  <c r="AQ154" i="29"/>
  <c r="AR154" i="29"/>
  <c r="AS154" i="29"/>
  <c r="AT154" i="29"/>
  <c r="AU154" i="29"/>
  <c r="AV154" i="29"/>
  <c r="AW154" i="29"/>
  <c r="C154" i="29"/>
  <c r="D154" i="29"/>
  <c r="E154" i="29"/>
  <c r="B154" i="29"/>
  <c r="AB159" i="29" l="1"/>
  <c r="AD209" i="29"/>
  <c r="AD183" i="29"/>
  <c r="AD196" i="29"/>
  <c r="AC196" i="29"/>
  <c r="AC209" i="29"/>
  <c r="AC172" i="29"/>
  <c r="AC159" i="29"/>
  <c r="AB183" i="29"/>
  <c r="AB196" i="29"/>
  <c r="AB209" i="29"/>
  <c r="AB172" i="29"/>
  <c r="C15" i="23"/>
  <c r="D15" i="23"/>
  <c r="E15"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B15" i="23"/>
  <c r="C14" i="23"/>
  <c r="D14" i="23"/>
  <c r="E14" i="23"/>
  <c r="F14" i="23"/>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B14" i="23"/>
  <c r="AB15" i="5"/>
  <c r="AC15" i="5"/>
  <c r="AD15" i="5"/>
  <c r="AE15" i="5"/>
  <c r="AF15" i="5"/>
  <c r="AG15" i="5"/>
  <c r="AH15" i="5"/>
  <c r="AI15" i="5"/>
  <c r="AJ15" i="5"/>
  <c r="AK15" i="5"/>
  <c r="AL15" i="5"/>
  <c r="AM15" i="5"/>
  <c r="AN15" i="5"/>
  <c r="AO15" i="5"/>
  <c r="AP15" i="5"/>
  <c r="AQ15" i="5"/>
  <c r="AR15" i="5"/>
  <c r="AS15" i="5"/>
  <c r="AT15" i="5"/>
  <c r="AU15" i="5"/>
  <c r="AV15" i="5"/>
  <c r="AW15" i="5"/>
  <c r="AB16" i="5"/>
  <c r="AC16" i="5"/>
  <c r="AD16" i="5"/>
  <c r="AE16" i="5"/>
  <c r="AF16" i="5"/>
  <c r="AG16" i="5"/>
  <c r="AH16" i="5"/>
  <c r="AI16" i="5"/>
  <c r="AJ16" i="5"/>
  <c r="AK16" i="5"/>
  <c r="AL16" i="5"/>
  <c r="AM16" i="5"/>
  <c r="AN16" i="5"/>
  <c r="AO16" i="5"/>
  <c r="AP16" i="5"/>
  <c r="AQ16" i="5"/>
  <c r="AR16" i="5"/>
  <c r="AS16" i="5"/>
  <c r="AT16" i="5"/>
  <c r="AU16" i="5"/>
  <c r="AV16" i="5"/>
  <c r="AW16" i="5"/>
  <c r="C15" i="5"/>
  <c r="D15" i="5"/>
  <c r="E15" i="5"/>
  <c r="F15" i="5"/>
  <c r="G15" i="5"/>
  <c r="H15" i="5"/>
  <c r="I15" i="5"/>
  <c r="J15" i="5"/>
  <c r="K15" i="5"/>
  <c r="L15" i="5"/>
  <c r="M15" i="5"/>
  <c r="N15" i="5"/>
  <c r="O15" i="5"/>
  <c r="P15" i="5"/>
  <c r="Q15" i="5"/>
  <c r="R15" i="5"/>
  <c r="S15" i="5"/>
  <c r="T15" i="5"/>
  <c r="U15" i="5"/>
  <c r="V15" i="5"/>
  <c r="W15" i="5"/>
  <c r="X15" i="5"/>
  <c r="Y15" i="5"/>
  <c r="Z15" i="5"/>
  <c r="AA15" i="5"/>
  <c r="B15" i="5"/>
  <c r="B16" i="5"/>
  <c r="C16" i="5"/>
  <c r="D16" i="5"/>
  <c r="E16" i="5"/>
  <c r="F16" i="5"/>
  <c r="G16" i="5"/>
  <c r="H16" i="5"/>
  <c r="I16" i="5"/>
  <c r="J16" i="5"/>
  <c r="K16" i="5"/>
  <c r="L16" i="5"/>
  <c r="M16" i="5"/>
  <c r="N16" i="5"/>
  <c r="O16" i="5"/>
  <c r="P16" i="5"/>
  <c r="Q16" i="5"/>
  <c r="R16" i="5"/>
  <c r="S16" i="5"/>
  <c r="T16" i="5"/>
  <c r="U16" i="5"/>
  <c r="V16" i="5"/>
  <c r="W16" i="5"/>
  <c r="X16" i="5"/>
  <c r="Y16" i="5"/>
  <c r="Z16" i="5"/>
  <c r="AA16" i="5"/>
  <c r="AB10" i="5"/>
  <c r="AC24" i="5"/>
  <c r="AC25" i="5" s="1"/>
  <c r="AD24" i="5"/>
  <c r="AD25" i="5" s="1"/>
  <c r="AE24" i="5"/>
  <c r="AE10" i="5" s="1"/>
  <c r="AF24" i="5"/>
  <c r="AF10" i="5" s="1"/>
  <c r="AG24" i="5"/>
  <c r="AG10" i="5" s="1"/>
  <c r="AH24" i="5"/>
  <c r="AH25" i="5" s="1"/>
  <c r="AI24" i="5"/>
  <c r="AI25" i="5" s="1"/>
  <c r="AJ24" i="5"/>
  <c r="AJ10" i="5" s="1"/>
  <c r="AK24" i="5"/>
  <c r="AK25" i="5" s="1"/>
  <c r="AL24" i="5"/>
  <c r="AL25" i="5" s="1"/>
  <c r="AM24" i="5"/>
  <c r="AM25" i="5" s="1"/>
  <c r="AN24" i="5"/>
  <c r="AN10" i="5" s="1"/>
  <c r="AO24" i="5"/>
  <c r="AO10" i="5" s="1"/>
  <c r="AP24" i="5"/>
  <c r="AP25" i="5" s="1"/>
  <c r="AQ24" i="5"/>
  <c r="AQ25" i="5" s="1"/>
  <c r="AR24" i="5"/>
  <c r="AR25" i="5" s="1"/>
  <c r="AS24" i="5"/>
  <c r="AS25" i="5" s="1"/>
  <c r="AT24" i="5"/>
  <c r="AT25" i="5" s="1"/>
  <c r="AU24" i="5"/>
  <c r="AU10" i="5" s="1"/>
  <c r="AV24" i="5"/>
  <c r="AV10" i="5" s="1"/>
  <c r="AW24" i="5"/>
  <c r="AW10" i="5" s="1"/>
  <c r="AB31" i="5"/>
  <c r="AC31" i="5"/>
  <c r="AD31" i="5"/>
  <c r="AE31" i="5"/>
  <c r="AF31" i="5"/>
  <c r="AG31" i="5"/>
  <c r="AH31" i="5"/>
  <c r="AI31" i="5"/>
  <c r="AJ31" i="5"/>
  <c r="AK31" i="5"/>
  <c r="AL31" i="5"/>
  <c r="AM31" i="5"/>
  <c r="AN31" i="5"/>
  <c r="AO31" i="5"/>
  <c r="AP31" i="5"/>
  <c r="AQ31" i="5"/>
  <c r="AR31" i="5"/>
  <c r="AS31" i="5"/>
  <c r="AT31" i="5"/>
  <c r="AU31" i="5"/>
  <c r="AV31" i="5"/>
  <c r="AW31" i="5"/>
  <c r="AB32" i="5"/>
  <c r="AC32" i="5"/>
  <c r="AD32" i="5"/>
  <c r="AE32" i="5"/>
  <c r="AF32" i="5"/>
  <c r="AG32" i="5"/>
  <c r="AH32" i="5"/>
  <c r="AI32" i="5"/>
  <c r="AJ32" i="5"/>
  <c r="AK32" i="5"/>
  <c r="AL32" i="5"/>
  <c r="AM32" i="5"/>
  <c r="AN32" i="5"/>
  <c r="AO32" i="5"/>
  <c r="AP32" i="5"/>
  <c r="AQ32" i="5"/>
  <c r="AR32" i="5"/>
  <c r="AS32" i="5"/>
  <c r="AT32" i="5"/>
  <c r="AU32" i="5"/>
  <c r="AV32" i="5"/>
  <c r="AW32" i="5"/>
  <c r="AA31" i="5"/>
  <c r="AA32" i="5"/>
  <c r="AA24" i="5"/>
  <c r="AA10" i="5" s="1"/>
  <c r="AU25" i="5" l="1"/>
  <c r="AE25" i="5"/>
  <c r="AJ25" i="5"/>
  <c r="AR10" i="5"/>
  <c r="AA25" i="5"/>
  <c r="AM10" i="5"/>
  <c r="AD10" i="5"/>
  <c r="AB25" i="5"/>
  <c r="AK10" i="5"/>
  <c r="AC10" i="5"/>
  <c r="AN25" i="5"/>
  <c r="AS10" i="5"/>
  <c r="AO25" i="5"/>
  <c r="AP10" i="5"/>
  <c r="AH10" i="5"/>
  <c r="AI10" i="5"/>
  <c r="AW25" i="5"/>
  <c r="AG25" i="5"/>
  <c r="AQ10" i="5"/>
  <c r="AV25" i="5"/>
  <c r="AF25" i="5"/>
  <c r="AT10" i="5"/>
  <c r="AL10" i="5"/>
  <c r="AB416" i="12" l="1"/>
  <c r="AA397" i="12"/>
  <c r="AA382" i="12"/>
  <c r="AA371" i="12"/>
  <c r="AA360" i="12"/>
  <c r="Y360" i="12"/>
  <c r="W360" i="12"/>
  <c r="X360" i="12"/>
  <c r="Z360" i="12"/>
  <c r="AA349" i="12"/>
  <c r="AA318" i="12"/>
  <c r="AA307" i="12"/>
  <c r="AA296" i="12"/>
  <c r="AA285" i="12"/>
  <c r="AA274" i="12"/>
  <c r="AA338" i="12"/>
  <c r="H24" i="16" l="1"/>
  <c r="H25" i="16"/>
  <c r="H26" i="16"/>
  <c r="H27" i="16"/>
  <c r="H28" i="16"/>
  <c r="H29" i="16"/>
  <c r="H30" i="16"/>
  <c r="H31" i="16"/>
  <c r="H32" i="16"/>
  <c r="H33" i="16"/>
  <c r="H34" i="16"/>
  <c r="H23" i="16"/>
  <c r="H12" i="16"/>
  <c r="H13" i="16"/>
  <c r="H14" i="16"/>
  <c r="H15" i="16"/>
  <c r="H16" i="16"/>
  <c r="H17" i="16"/>
  <c r="H18" i="16"/>
  <c r="H19" i="16"/>
  <c r="H20" i="16"/>
  <c r="H21" i="16"/>
  <c r="H22" i="16"/>
  <c r="H11" i="16"/>
  <c r="H24" i="15"/>
  <c r="H25" i="15"/>
  <c r="H26" i="15"/>
  <c r="H27" i="15"/>
  <c r="H28" i="15"/>
  <c r="H29" i="15"/>
  <c r="H30" i="15"/>
  <c r="H31" i="15"/>
  <c r="H32" i="15"/>
  <c r="H33" i="15"/>
  <c r="H34" i="15"/>
  <c r="H23" i="15"/>
  <c r="H12" i="15"/>
  <c r="H13" i="15"/>
  <c r="H14" i="15"/>
  <c r="H15" i="15"/>
  <c r="H16" i="15"/>
  <c r="H17" i="15"/>
  <c r="H18" i="15"/>
  <c r="H19" i="15"/>
  <c r="H20" i="15"/>
  <c r="H21" i="15"/>
  <c r="H22" i="15"/>
  <c r="H11" i="15"/>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35" i="16"/>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35" i="15"/>
  <c r="D112" i="8" l="1"/>
  <c r="C198" i="29" l="1"/>
  <c r="D198" i="29"/>
  <c r="E198" i="29"/>
  <c r="F198" i="29"/>
  <c r="G198" i="29"/>
  <c r="H198" i="29"/>
  <c r="I198" i="29"/>
  <c r="J198" i="29"/>
  <c r="K198" i="29"/>
  <c r="L198" i="29"/>
  <c r="M198" i="29"/>
  <c r="N198" i="29"/>
  <c r="O198" i="29"/>
  <c r="P198" i="29"/>
  <c r="Q198" i="29"/>
  <c r="R198" i="29"/>
  <c r="S198" i="29"/>
  <c r="T198" i="29"/>
  <c r="U198" i="29"/>
  <c r="V198" i="29"/>
  <c r="W198" i="29"/>
  <c r="X198" i="29"/>
  <c r="Y198" i="29"/>
  <c r="Z198" i="29"/>
  <c r="AA198" i="29"/>
  <c r="AB198" i="29"/>
  <c r="AC198" i="29"/>
  <c r="AD198" i="29"/>
  <c r="AE198" i="29"/>
  <c r="AF198" i="29"/>
  <c r="AG198" i="29"/>
  <c r="AH198" i="29"/>
  <c r="AI198" i="29"/>
  <c r="AJ198" i="29"/>
  <c r="AK198" i="29"/>
  <c r="AL198" i="29"/>
  <c r="AM198" i="29"/>
  <c r="AN198" i="29"/>
  <c r="AO198" i="29"/>
  <c r="AP198" i="29"/>
  <c r="AQ198" i="29"/>
  <c r="AR198" i="29"/>
  <c r="AS198" i="29"/>
  <c r="AT198" i="29"/>
  <c r="AU198" i="29"/>
  <c r="AV198" i="29"/>
  <c r="AW198" i="29"/>
  <c r="B198" i="29"/>
  <c r="X209" i="29"/>
  <c r="Y209" i="29"/>
  <c r="V209" i="29"/>
  <c r="M209" i="29"/>
  <c r="C211" i="29"/>
  <c r="D211" i="29"/>
  <c r="E211" i="29"/>
  <c r="F211" i="29"/>
  <c r="G211" i="29"/>
  <c r="H211" i="29"/>
  <c r="I211" i="29"/>
  <c r="J211" i="29"/>
  <c r="K211" i="29"/>
  <c r="L211" i="29"/>
  <c r="M211" i="29"/>
  <c r="N211" i="29"/>
  <c r="O211" i="29"/>
  <c r="P211" i="29"/>
  <c r="Q211" i="29"/>
  <c r="R211" i="29"/>
  <c r="S211" i="29"/>
  <c r="T211" i="29"/>
  <c r="U211" i="29"/>
  <c r="V211" i="29"/>
  <c r="W211" i="29"/>
  <c r="X211" i="29"/>
  <c r="Y211" i="29"/>
  <c r="Z211" i="29"/>
  <c r="AA211" i="29"/>
  <c r="AB211" i="29"/>
  <c r="AC211" i="29"/>
  <c r="AD211" i="29"/>
  <c r="AE211" i="29"/>
  <c r="AF211" i="29"/>
  <c r="AG211" i="29"/>
  <c r="AH211" i="29"/>
  <c r="AI211" i="29"/>
  <c r="AJ211" i="29"/>
  <c r="AK211" i="29"/>
  <c r="AL211" i="29"/>
  <c r="AM211" i="29"/>
  <c r="AN211" i="29"/>
  <c r="AO211" i="29"/>
  <c r="AP211" i="29"/>
  <c r="AQ211" i="29"/>
  <c r="AR211" i="29"/>
  <c r="AS211" i="29"/>
  <c r="AT211" i="29"/>
  <c r="AU211" i="29"/>
  <c r="AV211" i="29"/>
  <c r="AW211" i="29"/>
  <c r="B211" i="29"/>
  <c r="D209" i="29"/>
  <c r="E209" i="29"/>
  <c r="F209" i="29"/>
  <c r="G209" i="29"/>
  <c r="H209" i="29"/>
  <c r="I209" i="29"/>
  <c r="J209" i="29"/>
  <c r="K209" i="29"/>
  <c r="L209" i="29"/>
  <c r="N209" i="29"/>
  <c r="O209" i="29"/>
  <c r="P209" i="29"/>
  <c r="Q209" i="29"/>
  <c r="R209" i="29"/>
  <c r="S209" i="29"/>
  <c r="T209" i="29"/>
  <c r="U209" i="29"/>
  <c r="W209" i="29"/>
  <c r="Z209" i="29"/>
  <c r="AA209" i="29"/>
  <c r="C209" i="29"/>
  <c r="Q196" i="29"/>
  <c r="R196" i="29"/>
  <c r="V196" i="29"/>
  <c r="X196" i="29"/>
  <c r="Y196" i="29"/>
  <c r="AA196" i="29"/>
  <c r="D196" i="29"/>
  <c r="E196" i="29"/>
  <c r="F196" i="29"/>
  <c r="G196" i="29"/>
  <c r="H196" i="29"/>
  <c r="I196" i="29"/>
  <c r="J196" i="29"/>
  <c r="K196" i="29"/>
  <c r="L196" i="29"/>
  <c r="M196" i="29"/>
  <c r="N196" i="29"/>
  <c r="O196" i="29"/>
  <c r="P196" i="29"/>
  <c r="S196" i="29"/>
  <c r="T196" i="29"/>
  <c r="U196" i="29"/>
  <c r="W196" i="29"/>
  <c r="Z196" i="29"/>
  <c r="C196" i="29"/>
  <c r="C185" i="29"/>
  <c r="D185" i="29"/>
  <c r="E185" i="29"/>
  <c r="F185" i="29"/>
  <c r="G185" i="29"/>
  <c r="H185" i="29"/>
  <c r="I185" i="29"/>
  <c r="J185" i="29"/>
  <c r="K185" i="29"/>
  <c r="L185" i="29"/>
  <c r="M185" i="29"/>
  <c r="N185" i="29"/>
  <c r="O185" i="29"/>
  <c r="P185" i="29"/>
  <c r="Q185" i="29"/>
  <c r="R185" i="29"/>
  <c r="S185" i="29"/>
  <c r="T185" i="29"/>
  <c r="U185" i="29"/>
  <c r="V185" i="29"/>
  <c r="W185" i="29"/>
  <c r="X185" i="29"/>
  <c r="Y185" i="29"/>
  <c r="Z185" i="29"/>
  <c r="AA185" i="29"/>
  <c r="AB185" i="29"/>
  <c r="AC185" i="29"/>
  <c r="AD185" i="29"/>
  <c r="AE185" i="29"/>
  <c r="AF185" i="29"/>
  <c r="AG185" i="29"/>
  <c r="AH185" i="29"/>
  <c r="AI185" i="29"/>
  <c r="AJ185" i="29"/>
  <c r="AK185" i="29"/>
  <c r="AL185" i="29"/>
  <c r="AM185" i="29"/>
  <c r="AN185" i="29"/>
  <c r="AO185" i="29"/>
  <c r="AP185" i="29"/>
  <c r="AQ185" i="29"/>
  <c r="AR185" i="29"/>
  <c r="AS185" i="29"/>
  <c r="AT185" i="29"/>
  <c r="AU185" i="29"/>
  <c r="AV185" i="29"/>
  <c r="AW185" i="29"/>
  <c r="B185" i="29"/>
  <c r="Y183" i="29"/>
  <c r="X183" i="29"/>
  <c r="V183" i="29"/>
  <c r="O183" i="29"/>
  <c r="N183" i="29"/>
  <c r="M183" i="29"/>
  <c r="L183" i="29"/>
  <c r="K183" i="29"/>
  <c r="H183" i="29"/>
  <c r="C183" i="29"/>
  <c r="D183" i="29"/>
  <c r="E183" i="29"/>
  <c r="F183" i="29"/>
  <c r="G183" i="29"/>
  <c r="I183" i="29"/>
  <c r="J183" i="29"/>
  <c r="P183" i="29"/>
  <c r="Q183" i="29"/>
  <c r="R183" i="29"/>
  <c r="S183" i="29"/>
  <c r="T183" i="29"/>
  <c r="U183" i="29"/>
  <c r="W183" i="29"/>
  <c r="Z183" i="29"/>
  <c r="AA183" i="29"/>
  <c r="P172" i="29"/>
  <c r="C174" i="29"/>
  <c r="D174" i="29"/>
  <c r="E174" i="29"/>
  <c r="F174" i="29"/>
  <c r="G174" i="29"/>
  <c r="H174" i="29"/>
  <c r="I174" i="29"/>
  <c r="J174" i="29"/>
  <c r="K174" i="29"/>
  <c r="L174" i="29"/>
  <c r="M174" i="29"/>
  <c r="N174" i="29"/>
  <c r="O174" i="29"/>
  <c r="P174" i="29"/>
  <c r="Q174" i="29"/>
  <c r="R174" i="29"/>
  <c r="S174" i="29"/>
  <c r="T174" i="29"/>
  <c r="U174" i="29"/>
  <c r="V174" i="29"/>
  <c r="W174" i="29"/>
  <c r="X174" i="29"/>
  <c r="Y174" i="29"/>
  <c r="Z174" i="29"/>
  <c r="AA174" i="29"/>
  <c r="AB174" i="29"/>
  <c r="AC174" i="29"/>
  <c r="AD174" i="29"/>
  <c r="AE174" i="29"/>
  <c r="AF174" i="29"/>
  <c r="AG174" i="29"/>
  <c r="AH174" i="29"/>
  <c r="AI174" i="29"/>
  <c r="AJ174" i="29"/>
  <c r="AK174" i="29"/>
  <c r="AL174" i="29"/>
  <c r="AM174" i="29"/>
  <c r="AN174" i="29"/>
  <c r="AO174" i="29"/>
  <c r="AP174" i="29"/>
  <c r="AQ174" i="29"/>
  <c r="AR174" i="29"/>
  <c r="AS174" i="29"/>
  <c r="AT174" i="29"/>
  <c r="AU174" i="29"/>
  <c r="AV174" i="29"/>
  <c r="AW174" i="29"/>
  <c r="B174" i="29"/>
  <c r="D172" i="29"/>
  <c r="E172" i="29"/>
  <c r="F172" i="29"/>
  <c r="G172" i="29"/>
  <c r="H172" i="29"/>
  <c r="I172" i="29"/>
  <c r="J172" i="29"/>
  <c r="K172" i="29"/>
  <c r="L172" i="29"/>
  <c r="M172" i="29"/>
  <c r="N172" i="29"/>
  <c r="O172" i="29"/>
  <c r="Q172" i="29"/>
  <c r="R172" i="29"/>
  <c r="S172" i="29"/>
  <c r="T172" i="29"/>
  <c r="U172" i="29"/>
  <c r="V172" i="29"/>
  <c r="W172" i="29"/>
  <c r="X172" i="29"/>
  <c r="Y172" i="29"/>
  <c r="Z172" i="29"/>
  <c r="AA172" i="29"/>
  <c r="C172" i="29"/>
  <c r="C161" i="29"/>
  <c r="D161" i="29"/>
  <c r="E161" i="29"/>
  <c r="F161" i="29"/>
  <c r="G161" i="29"/>
  <c r="H161" i="29"/>
  <c r="I161" i="29"/>
  <c r="J161" i="29"/>
  <c r="K161" i="29"/>
  <c r="L161" i="29"/>
  <c r="M161" i="29"/>
  <c r="N161" i="29"/>
  <c r="O161" i="29"/>
  <c r="P161" i="29"/>
  <c r="Q161" i="29"/>
  <c r="R161" i="29"/>
  <c r="S161" i="29"/>
  <c r="T161" i="29"/>
  <c r="U161" i="29"/>
  <c r="V161" i="29"/>
  <c r="W161" i="29"/>
  <c r="X161" i="29"/>
  <c r="Y161" i="29"/>
  <c r="Z161" i="29"/>
  <c r="AA161" i="29"/>
  <c r="AB161" i="29"/>
  <c r="AC161" i="29"/>
  <c r="AD161" i="29"/>
  <c r="AE161" i="29"/>
  <c r="AF161" i="29"/>
  <c r="AG161" i="29"/>
  <c r="AH161" i="29"/>
  <c r="AI161" i="29"/>
  <c r="AJ161" i="29"/>
  <c r="AK161" i="29"/>
  <c r="AL161" i="29"/>
  <c r="AM161" i="29"/>
  <c r="AN161" i="29"/>
  <c r="AO161" i="29"/>
  <c r="AP161" i="29"/>
  <c r="AQ161" i="29"/>
  <c r="AR161" i="29"/>
  <c r="AS161" i="29"/>
  <c r="AT161" i="29"/>
  <c r="AU161" i="29"/>
  <c r="AV161" i="29"/>
  <c r="AW161" i="29"/>
  <c r="B161" i="29"/>
  <c r="V159" i="29"/>
  <c r="Y159" i="29"/>
  <c r="D159" i="29"/>
  <c r="E159" i="29"/>
  <c r="F159" i="29"/>
  <c r="G159" i="29"/>
  <c r="H159" i="29"/>
  <c r="I159" i="29"/>
  <c r="J159" i="29"/>
  <c r="K159" i="29"/>
  <c r="L159" i="29"/>
  <c r="M159" i="29"/>
  <c r="N159" i="29"/>
  <c r="O159" i="29"/>
  <c r="P159" i="29"/>
  <c r="Q159" i="29"/>
  <c r="R159" i="29"/>
  <c r="S159" i="29"/>
  <c r="T159" i="29"/>
  <c r="U159" i="29"/>
  <c r="W159" i="29"/>
  <c r="X159" i="29"/>
  <c r="Z159" i="29"/>
  <c r="AA159" i="29"/>
  <c r="C159" i="29"/>
  <c r="AA141" i="10"/>
  <c r="AA140" i="10"/>
  <c r="AA139" i="10"/>
  <c r="AA138" i="10"/>
  <c r="AA137" i="10"/>
  <c r="AA136" i="10"/>
  <c r="AA135" i="10"/>
  <c r="AA134" i="10"/>
  <c r="AA133" i="10"/>
  <c r="AA132" i="10"/>
  <c r="B186" i="29" l="1"/>
  <c r="B187" i="29" s="1"/>
  <c r="Q188" i="29" s="1"/>
  <c r="B175" i="29"/>
  <c r="B176" i="29" s="1"/>
  <c r="P178" i="29" s="1"/>
  <c r="B199" i="29"/>
  <c r="B200" i="29" s="1"/>
  <c r="AP201" i="29" s="1"/>
  <c r="B162" i="29"/>
  <c r="B163" i="29" s="1"/>
  <c r="E164" i="29" s="1"/>
  <c r="B212" i="29"/>
  <c r="B213" i="29" s="1"/>
  <c r="C35" i="29"/>
  <c r="D35" i="29"/>
  <c r="E35" i="29"/>
  <c r="F35" i="29"/>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B35" i="29"/>
  <c r="Y33" i="29"/>
  <c r="V33" i="29"/>
  <c r="L33" i="29"/>
  <c r="C33" i="29"/>
  <c r="D33" i="29"/>
  <c r="E33" i="29"/>
  <c r="F33" i="29"/>
  <c r="G33" i="29"/>
  <c r="H33" i="29"/>
  <c r="I33" i="29"/>
  <c r="J33" i="29"/>
  <c r="K33" i="29"/>
  <c r="M33" i="29"/>
  <c r="N33" i="29"/>
  <c r="O33" i="29"/>
  <c r="P33" i="29"/>
  <c r="Q33" i="29"/>
  <c r="R33" i="29"/>
  <c r="S33" i="29"/>
  <c r="T33" i="29"/>
  <c r="U33" i="29"/>
  <c r="W33" i="29"/>
  <c r="X33" i="29"/>
  <c r="Z33" i="29"/>
  <c r="AA33" i="29"/>
  <c r="Z208" i="29"/>
  <c r="AA208" i="29"/>
  <c r="AB208" i="29"/>
  <c r="AC208" i="29"/>
  <c r="AD208" i="29"/>
  <c r="AE208" i="29"/>
  <c r="AF208" i="29"/>
  <c r="AG208" i="29"/>
  <c r="AH208" i="29"/>
  <c r="AI208" i="29"/>
  <c r="AJ208" i="29"/>
  <c r="AK208" i="29"/>
  <c r="AL208" i="29"/>
  <c r="AM208" i="29"/>
  <c r="AN208" i="29"/>
  <c r="AO208" i="29"/>
  <c r="AP208" i="29"/>
  <c r="AQ208" i="29"/>
  <c r="AR208" i="29"/>
  <c r="AS208" i="29"/>
  <c r="AT208" i="29"/>
  <c r="AU208" i="29"/>
  <c r="AV208" i="29"/>
  <c r="AW208" i="29"/>
  <c r="Y208" i="29"/>
  <c r="O207" i="29"/>
  <c r="P207" i="29"/>
  <c r="Q207" i="29"/>
  <c r="R207" i="29"/>
  <c r="S207" i="29"/>
  <c r="T207" i="29"/>
  <c r="U207" i="29"/>
  <c r="V207" i="29"/>
  <c r="W207" i="29"/>
  <c r="X207" i="29"/>
  <c r="Y207" i="29"/>
  <c r="N207" i="29"/>
  <c r="N206" i="29"/>
  <c r="M206" i="29"/>
  <c r="C205" i="29"/>
  <c r="D205" i="29"/>
  <c r="E205" i="29"/>
  <c r="F205" i="29"/>
  <c r="G205" i="29"/>
  <c r="H205" i="29"/>
  <c r="I205" i="29"/>
  <c r="J205" i="29"/>
  <c r="K205" i="29"/>
  <c r="L205" i="29"/>
  <c r="M205" i="29"/>
  <c r="B205" i="29"/>
  <c r="Z195" i="29"/>
  <c r="AA195" i="29"/>
  <c r="AB195" i="29"/>
  <c r="AC195" i="29"/>
  <c r="AD195" i="29"/>
  <c r="AE195" i="29"/>
  <c r="AF195" i="29"/>
  <c r="AG195" i="29"/>
  <c r="AH195" i="29"/>
  <c r="AI195" i="29"/>
  <c r="AJ195" i="29"/>
  <c r="AK195" i="29"/>
  <c r="AL195" i="29"/>
  <c r="AM195" i="29"/>
  <c r="AN195" i="29"/>
  <c r="AO195" i="29"/>
  <c r="AP195" i="29"/>
  <c r="AQ195" i="29"/>
  <c r="AR195" i="29"/>
  <c r="AS195" i="29"/>
  <c r="AT195" i="29"/>
  <c r="AU195" i="29"/>
  <c r="AV195" i="29"/>
  <c r="AW195" i="29"/>
  <c r="Y195" i="29"/>
  <c r="O194" i="29"/>
  <c r="P194" i="29"/>
  <c r="Q194" i="29"/>
  <c r="R194" i="29"/>
  <c r="S194" i="29"/>
  <c r="T194" i="29"/>
  <c r="U194" i="29"/>
  <c r="V194" i="29"/>
  <c r="W194" i="29"/>
  <c r="X194" i="29"/>
  <c r="Y194" i="29"/>
  <c r="N194" i="29"/>
  <c r="Z158" i="29"/>
  <c r="AA158" i="29"/>
  <c r="AB158" i="29"/>
  <c r="AC158" i="29"/>
  <c r="AD158" i="29"/>
  <c r="AE158" i="29"/>
  <c r="AF158" i="29"/>
  <c r="AG158" i="29"/>
  <c r="AH158" i="29"/>
  <c r="AI158" i="29"/>
  <c r="AJ158" i="29"/>
  <c r="AK158" i="29"/>
  <c r="AL158" i="29"/>
  <c r="AM158" i="29"/>
  <c r="AN158" i="29"/>
  <c r="AO158" i="29"/>
  <c r="AP158" i="29"/>
  <c r="AQ158" i="29"/>
  <c r="AR158" i="29"/>
  <c r="AS158" i="29"/>
  <c r="AT158" i="29"/>
  <c r="AU158" i="29"/>
  <c r="AV158" i="29"/>
  <c r="AW158" i="29"/>
  <c r="Y158" i="29"/>
  <c r="O157" i="29"/>
  <c r="P157" i="29"/>
  <c r="Q157" i="29"/>
  <c r="R157" i="29"/>
  <c r="S157" i="29"/>
  <c r="T157" i="29"/>
  <c r="U157" i="29"/>
  <c r="V157" i="29"/>
  <c r="W157" i="29"/>
  <c r="X157" i="29"/>
  <c r="Y157" i="29"/>
  <c r="N157" i="29"/>
  <c r="N156" i="29"/>
  <c r="M156" i="29"/>
  <c r="C155" i="29"/>
  <c r="D155" i="29"/>
  <c r="E155" i="29"/>
  <c r="F155" i="29"/>
  <c r="G155" i="29"/>
  <c r="H155" i="29"/>
  <c r="I155" i="29"/>
  <c r="J155" i="29"/>
  <c r="K155" i="29"/>
  <c r="L155" i="29"/>
  <c r="M155" i="29"/>
  <c r="B155" i="29"/>
  <c r="D192" i="29"/>
  <c r="AH182" i="29"/>
  <c r="N193" i="29"/>
  <c r="M193" i="29"/>
  <c r="E192" i="29"/>
  <c r="F192" i="29"/>
  <c r="I192" i="29"/>
  <c r="J192" i="29"/>
  <c r="M192" i="29"/>
  <c r="B192" i="29"/>
  <c r="AA182" i="29"/>
  <c r="AD182" i="29"/>
  <c r="AI182" i="29"/>
  <c r="AL182" i="29"/>
  <c r="AQ182" i="29"/>
  <c r="AT182" i="29"/>
  <c r="O182" i="29"/>
  <c r="R182" i="29"/>
  <c r="W182" i="29"/>
  <c r="Z182" i="29"/>
  <c r="F181" i="29"/>
  <c r="I181" i="29"/>
  <c r="B181" i="29"/>
  <c r="Z171" i="29"/>
  <c r="AA171" i="29"/>
  <c r="AB171" i="29"/>
  <c r="AC171" i="29"/>
  <c r="AD171" i="29"/>
  <c r="AE171" i="29"/>
  <c r="AF171" i="29"/>
  <c r="AG171" i="29"/>
  <c r="AH171" i="29"/>
  <c r="AI171" i="29"/>
  <c r="AJ171" i="29"/>
  <c r="AK171" i="29"/>
  <c r="AL171" i="29"/>
  <c r="AM171" i="29"/>
  <c r="AN171" i="29"/>
  <c r="AO171" i="29"/>
  <c r="AP171" i="29"/>
  <c r="AQ171" i="29"/>
  <c r="AR171" i="29"/>
  <c r="AS171" i="29"/>
  <c r="AT171" i="29"/>
  <c r="AU171" i="29"/>
  <c r="AV171" i="29"/>
  <c r="AW171" i="29"/>
  <c r="Y171" i="29"/>
  <c r="O170" i="29"/>
  <c r="P170" i="29"/>
  <c r="Q170" i="29"/>
  <c r="R170" i="29"/>
  <c r="S170" i="29"/>
  <c r="T170" i="29"/>
  <c r="U170" i="29"/>
  <c r="V170" i="29"/>
  <c r="W170" i="29"/>
  <c r="X170" i="29"/>
  <c r="Y170" i="29"/>
  <c r="N170" i="29"/>
  <c r="AB26" i="29"/>
  <c r="AC26" i="29"/>
  <c r="AD26" i="29"/>
  <c r="AE26" i="29"/>
  <c r="AF26" i="29"/>
  <c r="AG26" i="29"/>
  <c r="AH26" i="29"/>
  <c r="AI26" i="29"/>
  <c r="AJ26" i="29"/>
  <c r="AK26" i="29"/>
  <c r="AL26" i="29"/>
  <c r="AM26" i="29"/>
  <c r="AN26" i="29"/>
  <c r="AO26" i="29"/>
  <c r="AP26" i="29"/>
  <c r="AQ26" i="29"/>
  <c r="AR26" i="29"/>
  <c r="AS26" i="29"/>
  <c r="AT26" i="29"/>
  <c r="AU26" i="29"/>
  <c r="AV26" i="29"/>
  <c r="AW26" i="29"/>
  <c r="Z26" i="29"/>
  <c r="AA26" i="29"/>
  <c r="Y26" i="29"/>
  <c r="U25" i="29"/>
  <c r="V25" i="29"/>
  <c r="W25" i="29"/>
  <c r="X25" i="29"/>
  <c r="Y25" i="29"/>
  <c r="T25" i="29"/>
  <c r="T24" i="29"/>
  <c r="S24" i="29"/>
  <c r="S23" i="29"/>
  <c r="R23" i="29"/>
  <c r="Q23" i="29"/>
  <c r="P23" i="29"/>
  <c r="O23" i="29"/>
  <c r="N23" i="29"/>
  <c r="N22" i="29"/>
  <c r="M22" i="29"/>
  <c r="M21" i="29"/>
  <c r="L21" i="29"/>
  <c r="K21" i="29"/>
  <c r="J21" i="29"/>
  <c r="I21" i="29"/>
  <c r="H21" i="29"/>
  <c r="H20" i="29"/>
  <c r="G20" i="29"/>
  <c r="G19" i="29"/>
  <c r="F19" i="29"/>
  <c r="E19" i="29"/>
  <c r="D19" i="29"/>
  <c r="C19" i="29"/>
  <c r="Z30" i="29"/>
  <c r="AA30" i="29"/>
  <c r="Y30" i="29"/>
  <c r="O29" i="29"/>
  <c r="P29" i="29"/>
  <c r="Q29" i="29"/>
  <c r="R29" i="29"/>
  <c r="S29" i="29"/>
  <c r="T29" i="29"/>
  <c r="U29" i="29"/>
  <c r="V29" i="29"/>
  <c r="W29" i="29"/>
  <c r="X29" i="29"/>
  <c r="Y29" i="29"/>
  <c r="N29" i="29"/>
  <c r="C153" i="29"/>
  <c r="D153" i="29"/>
  <c r="E153" i="29"/>
  <c r="F153" i="29"/>
  <c r="G153" i="29"/>
  <c r="H153" i="29"/>
  <c r="I153" i="29"/>
  <c r="J153" i="29"/>
  <c r="K153" i="29"/>
  <c r="L153" i="29"/>
  <c r="M153" i="29"/>
  <c r="N153" i="29"/>
  <c r="O153" i="29"/>
  <c r="P153" i="29"/>
  <c r="Q153" i="29"/>
  <c r="R153" i="29"/>
  <c r="S153" i="29"/>
  <c r="T153" i="29"/>
  <c r="U153" i="29"/>
  <c r="V153" i="29"/>
  <c r="W153" i="29"/>
  <c r="X153" i="29"/>
  <c r="Y153" i="29"/>
  <c r="Z153" i="29"/>
  <c r="AA153" i="29"/>
  <c r="AB153" i="29"/>
  <c r="AC153" i="29"/>
  <c r="AD153" i="29"/>
  <c r="AE153" i="29"/>
  <c r="AF153" i="29"/>
  <c r="AG153" i="29"/>
  <c r="AH153" i="29"/>
  <c r="AI153" i="29"/>
  <c r="AJ153" i="29"/>
  <c r="AK153" i="29"/>
  <c r="AL153" i="29"/>
  <c r="AM153" i="29"/>
  <c r="AN153" i="29"/>
  <c r="AO153" i="29"/>
  <c r="AP153" i="29"/>
  <c r="AQ153" i="29"/>
  <c r="AR153" i="29"/>
  <c r="AS153" i="29"/>
  <c r="AT153" i="29"/>
  <c r="AU153" i="29"/>
  <c r="AV153" i="29"/>
  <c r="AW153" i="29"/>
  <c r="B153" i="29"/>
  <c r="N28" i="29"/>
  <c r="M28" i="29"/>
  <c r="C27" i="29"/>
  <c r="D27" i="29"/>
  <c r="E27" i="29"/>
  <c r="F27" i="29"/>
  <c r="G27" i="29"/>
  <c r="H27" i="29"/>
  <c r="I27" i="29"/>
  <c r="J27" i="29"/>
  <c r="K27" i="29"/>
  <c r="L27" i="29"/>
  <c r="M27" i="29"/>
  <c r="B27" i="29"/>
  <c r="AM201" i="29" l="1"/>
  <c r="M164" i="29"/>
  <c r="AC201" i="29"/>
  <c r="Y202" i="29"/>
  <c r="I164" i="29"/>
  <c r="F201" i="29"/>
  <c r="Q164" i="29"/>
  <c r="C177" i="29"/>
  <c r="V178" i="29"/>
  <c r="AU178" i="29"/>
  <c r="AO177" i="29"/>
  <c r="AW178" i="29"/>
  <c r="G164" i="29"/>
  <c r="F178" i="29"/>
  <c r="AH178" i="29"/>
  <c r="AV178" i="29"/>
  <c r="Y178" i="29"/>
  <c r="AE178" i="29"/>
  <c r="K178" i="29"/>
  <c r="AQ177" i="29"/>
  <c r="O177" i="29"/>
  <c r="R177" i="29"/>
  <c r="AQ178" i="29"/>
  <c r="AD177" i="29"/>
  <c r="AJ178" i="29"/>
  <c r="AM178" i="29"/>
  <c r="S178" i="29"/>
  <c r="S177" i="29"/>
  <c r="AD178" i="29"/>
  <c r="T178" i="29"/>
  <c r="AT178" i="29"/>
  <c r="N177" i="29"/>
  <c r="Q178" i="29"/>
  <c r="O178" i="29"/>
  <c r="C178" i="29"/>
  <c r="Z202" i="29"/>
  <c r="E177" i="29"/>
  <c r="I177" i="29"/>
  <c r="AK177" i="29"/>
  <c r="Y177" i="29"/>
  <c r="AP177" i="29"/>
  <c r="AV177" i="29"/>
  <c r="AB177" i="29"/>
  <c r="G177" i="29"/>
  <c r="AE177" i="29"/>
  <c r="AS177" i="29"/>
  <c r="AR178" i="29"/>
  <c r="M177" i="29"/>
  <c r="I178" i="29"/>
  <c r="AJ177" i="29"/>
  <c r="AG177" i="29"/>
  <c r="AT177" i="29"/>
  <c r="V177" i="29"/>
  <c r="AW177" i="29"/>
  <c r="B177" i="29"/>
  <c r="AH177" i="29"/>
  <c r="AF177" i="29"/>
  <c r="T177" i="29"/>
  <c r="U177" i="29"/>
  <c r="F177" i="29"/>
  <c r="Z178" i="29"/>
  <c r="AS178" i="29"/>
  <c r="AK178" i="29"/>
  <c r="M178" i="29"/>
  <c r="AU177" i="29"/>
  <c r="L178" i="29"/>
  <c r="Z177" i="29"/>
  <c r="H177" i="29"/>
  <c r="L177" i="29"/>
  <c r="AB178" i="29"/>
  <c r="AL189" i="29"/>
  <c r="W189" i="29"/>
  <c r="AS189" i="29"/>
  <c r="AQ189" i="29"/>
  <c r="U189" i="29"/>
  <c r="C189" i="29"/>
  <c r="AF188" i="29"/>
  <c r="AI189" i="29"/>
  <c r="Y189" i="29"/>
  <c r="G188" i="29"/>
  <c r="J189" i="29"/>
  <c r="AA188" i="29"/>
  <c r="T189" i="29"/>
  <c r="AK188" i="29"/>
  <c r="D188" i="29"/>
  <c r="AL188" i="29"/>
  <c r="AF189" i="29"/>
  <c r="AE189" i="29"/>
  <c r="AT188" i="29"/>
  <c r="AN188" i="29"/>
  <c r="R188" i="29"/>
  <c r="O188" i="29"/>
  <c r="R189" i="29"/>
  <c r="AI188" i="29"/>
  <c r="AB189" i="29"/>
  <c r="AS188" i="29"/>
  <c r="AI177" i="29"/>
  <c r="AF178" i="29"/>
  <c r="F189" i="29"/>
  <c r="AL177" i="29"/>
  <c r="AA177" i="29"/>
  <c r="J177" i="29"/>
  <c r="AN177" i="29"/>
  <c r="W178" i="29"/>
  <c r="D177" i="29"/>
  <c r="AP178" i="29"/>
  <c r="AU189" i="29"/>
  <c r="S189" i="29"/>
  <c r="Q189" i="29"/>
  <c r="AG188" i="29"/>
  <c r="N188" i="29"/>
  <c r="F188" i="29"/>
  <c r="AD188" i="29"/>
  <c r="AP188" i="29"/>
  <c r="AL178" i="29"/>
  <c r="AN178" i="29"/>
  <c r="U188" i="29"/>
  <c r="J188" i="29"/>
  <c r="I188" i="29"/>
  <c r="P189" i="29"/>
  <c r="AR188" i="29"/>
  <c r="S188" i="29"/>
  <c r="W188" i="29"/>
  <c r="Z189" i="29"/>
  <c r="AQ188" i="29"/>
  <c r="AJ189" i="29"/>
  <c r="G189" i="29"/>
  <c r="E189" i="29"/>
  <c r="I189" i="29"/>
  <c r="AN189" i="29"/>
  <c r="N189" i="29"/>
  <c r="AE188" i="29"/>
  <c r="AH189" i="29"/>
  <c r="B188" i="29"/>
  <c r="AR189" i="29"/>
  <c r="E178" i="29"/>
  <c r="AM177" i="29"/>
  <c r="K177" i="29"/>
  <c r="H178" i="29"/>
  <c r="AC177" i="29"/>
  <c r="AO178" i="29"/>
  <c r="X177" i="29"/>
  <c r="G178" i="29"/>
  <c r="AI178" i="29"/>
  <c r="AB188" i="29"/>
  <c r="AW188" i="29"/>
  <c r="AV188" i="29"/>
  <c r="AO188" i="29"/>
  <c r="H188" i="29"/>
  <c r="B189" i="29"/>
  <c r="AA189" i="29"/>
  <c r="M189" i="29"/>
  <c r="N178" i="29"/>
  <c r="K188" i="29"/>
  <c r="Z188" i="29"/>
  <c r="Y188" i="29"/>
  <c r="AT189" i="29"/>
  <c r="L189" i="29"/>
  <c r="H189" i="29"/>
  <c r="T188" i="29"/>
  <c r="V189" i="29"/>
  <c r="AM188" i="29"/>
  <c r="AP189" i="29"/>
  <c r="E188" i="29"/>
  <c r="R178" i="29"/>
  <c r="X178" i="29"/>
  <c r="W177" i="29"/>
  <c r="U178" i="29"/>
  <c r="J178" i="29"/>
  <c r="B178" i="29"/>
  <c r="AG178" i="29"/>
  <c r="P177" i="29"/>
  <c r="AR177" i="29"/>
  <c r="AA178" i="29"/>
  <c r="AW189" i="29"/>
  <c r="AJ188" i="29"/>
  <c r="AH188" i="29"/>
  <c r="AK189" i="29"/>
  <c r="AO189" i="29"/>
  <c r="L188" i="29"/>
  <c r="O189" i="29"/>
  <c r="AJ202" i="29"/>
  <c r="D178" i="29"/>
  <c r="Q177" i="29"/>
  <c r="AM189" i="29"/>
  <c r="D189" i="29"/>
  <c r="K189" i="29"/>
  <c r="AC188" i="29"/>
  <c r="AD189" i="29"/>
  <c r="AU188" i="29"/>
  <c r="C188" i="29"/>
  <c r="M188" i="29"/>
  <c r="X189" i="29"/>
  <c r="X188" i="29"/>
  <c r="V188" i="29"/>
  <c r="AV189" i="29"/>
  <c r="AC189" i="29"/>
  <c r="AG189" i="29"/>
  <c r="P188" i="29"/>
  <c r="AJ215" i="29"/>
  <c r="AS214" i="29"/>
  <c r="AK215" i="29"/>
  <c r="AT214" i="29"/>
  <c r="AV215" i="29"/>
  <c r="I215" i="29"/>
  <c r="R214" i="29"/>
  <c r="B215" i="29"/>
  <c r="K214" i="29"/>
  <c r="S215" i="29"/>
  <c r="AB214" i="29"/>
  <c r="O215" i="29"/>
  <c r="AN214" i="29"/>
  <c r="G215" i="29"/>
  <c r="C215" i="29"/>
  <c r="U215" i="29"/>
  <c r="AF215" i="29"/>
  <c r="Y215" i="29"/>
  <c r="AP215" i="29"/>
  <c r="AI215" i="29"/>
  <c r="AT215" i="29"/>
  <c r="AR215" i="29"/>
  <c r="M215" i="29"/>
  <c r="V214" i="29"/>
  <c r="E215" i="29"/>
  <c r="I214" i="29"/>
  <c r="Q215" i="29"/>
  <c r="Z214" i="29"/>
  <c r="AH215" i="29"/>
  <c r="S214" i="29"/>
  <c r="AA215" i="29"/>
  <c r="AJ214" i="29"/>
  <c r="O214" i="29"/>
  <c r="H214" i="29"/>
  <c r="W214" i="29"/>
  <c r="E214" i="29"/>
  <c r="AD214" i="29"/>
  <c r="Q214" i="29"/>
  <c r="AH214" i="29"/>
  <c r="B214" i="29"/>
  <c r="AR214" i="29"/>
  <c r="AM215" i="29"/>
  <c r="AV214" i="29"/>
  <c r="AD215" i="29"/>
  <c r="K215" i="29"/>
  <c r="AW214" i="29"/>
  <c r="AL215" i="29"/>
  <c r="C214" i="29"/>
  <c r="AB215" i="29"/>
  <c r="L201" i="29"/>
  <c r="U202" i="29"/>
  <c r="AN201" i="29"/>
  <c r="G201" i="29"/>
  <c r="V202" i="29"/>
  <c r="AU215" i="29"/>
  <c r="AF214" i="29"/>
  <c r="AL214" i="29"/>
  <c r="U201" i="29"/>
  <c r="AJ201" i="29"/>
  <c r="AB202" i="29"/>
  <c r="AI202" i="29"/>
  <c r="H201" i="29"/>
  <c r="W202" i="29"/>
  <c r="AE214" i="29"/>
  <c r="M214" i="29"/>
  <c r="B36" i="29"/>
  <c r="B37" i="29" s="1"/>
  <c r="G39" i="29" s="1"/>
  <c r="AN215" i="29"/>
  <c r="AC202" i="29"/>
  <c r="AH202" i="29"/>
  <c r="R201" i="29"/>
  <c r="B201" i="29"/>
  <c r="AD202" i="29"/>
  <c r="N201" i="29"/>
  <c r="AT201" i="29"/>
  <c r="AE202" i="29"/>
  <c r="O201" i="29"/>
  <c r="AU201" i="29"/>
  <c r="AF202" i="29"/>
  <c r="P201" i="29"/>
  <c r="AV201" i="29"/>
  <c r="AG202" i="29"/>
  <c r="T202" i="29"/>
  <c r="E201" i="29"/>
  <c r="AG201" i="29"/>
  <c r="K201" i="29"/>
  <c r="D202" i="29"/>
  <c r="T201" i="29"/>
  <c r="AB201" i="29"/>
  <c r="AS201" i="29"/>
  <c r="AA202" i="29"/>
  <c r="D201" i="29"/>
  <c r="AV202" i="29"/>
  <c r="L202" i="29"/>
  <c r="AQ201" i="29"/>
  <c r="AI201" i="29"/>
  <c r="M201" i="29"/>
  <c r="C201" i="29"/>
  <c r="J202" i="29"/>
  <c r="AP202" i="29"/>
  <c r="Z201" i="29"/>
  <c r="F202" i="29"/>
  <c r="AL202" i="29"/>
  <c r="V201" i="29"/>
  <c r="G202" i="29"/>
  <c r="AM202" i="29"/>
  <c r="W201" i="29"/>
  <c r="H202" i="29"/>
  <c r="AN202" i="29"/>
  <c r="X201" i="29"/>
  <c r="I202" i="29"/>
  <c r="AO202" i="29"/>
  <c r="AQ202" i="29"/>
  <c r="Y201" i="29"/>
  <c r="S201" i="29"/>
  <c r="AA201" i="29"/>
  <c r="AS202" i="29"/>
  <c r="S202" i="29"/>
  <c r="AR201" i="29"/>
  <c r="C202" i="29"/>
  <c r="E202" i="29"/>
  <c r="AK201" i="29"/>
  <c r="K202" i="29"/>
  <c r="R202" i="29"/>
  <c r="B202" i="29"/>
  <c r="AH201" i="29"/>
  <c r="N202" i="29"/>
  <c r="AT202" i="29"/>
  <c r="AD201" i="29"/>
  <c r="O202" i="29"/>
  <c r="AU202" i="29"/>
  <c r="AE201" i="29"/>
  <c r="P202" i="29"/>
  <c r="AF201" i="29"/>
  <c r="Q202" i="29"/>
  <c r="AW202" i="29"/>
  <c r="AO201" i="29"/>
  <c r="M202" i="29"/>
  <c r="AK202" i="29"/>
  <c r="AR202" i="29"/>
  <c r="AP214" i="29"/>
  <c r="W215" i="29"/>
  <c r="T214" i="29"/>
  <c r="AG215" i="29"/>
  <c r="AC215" i="29"/>
  <c r="AW201" i="29"/>
  <c r="Q201" i="29"/>
  <c r="I201" i="29"/>
  <c r="X202" i="29"/>
  <c r="AL201" i="29"/>
  <c r="J201" i="29"/>
  <c r="AC178" i="29"/>
  <c r="AC165" i="29"/>
  <c r="I165" i="29"/>
  <c r="U165" i="29"/>
  <c r="AH165" i="29"/>
  <c r="AU165" i="29"/>
  <c r="L164" i="29"/>
  <c r="Z164" i="29"/>
  <c r="AL164" i="29"/>
  <c r="B164" i="29"/>
  <c r="J165" i="29"/>
  <c r="AW165" i="29"/>
  <c r="AA164" i="29"/>
  <c r="AN164" i="29"/>
  <c r="M165" i="29"/>
  <c r="AM165" i="29"/>
  <c r="AD164" i="29"/>
  <c r="F164" i="29"/>
  <c r="T164" i="29"/>
  <c r="W165" i="29"/>
  <c r="AI165" i="29"/>
  <c r="N164" i="29"/>
  <c r="Z165" i="29"/>
  <c r="R164" i="29"/>
  <c r="AQ164" i="29"/>
  <c r="AA165" i="29"/>
  <c r="AF164" i="29"/>
  <c r="C165" i="29"/>
  <c r="AP165" i="29"/>
  <c r="AH164" i="29"/>
  <c r="AE165" i="29"/>
  <c r="K165" i="29"/>
  <c r="Y165" i="29"/>
  <c r="AK165" i="29"/>
  <c r="C164" i="29"/>
  <c r="P164" i="29"/>
  <c r="AB164" i="29"/>
  <c r="AP164" i="29"/>
  <c r="D164" i="29"/>
  <c r="O165" i="29"/>
  <c r="AO165" i="29"/>
  <c r="S164" i="29"/>
  <c r="AR164" i="29"/>
  <c r="Q165" i="29"/>
  <c r="H164" i="29"/>
  <c r="AT164" i="29"/>
  <c r="E165" i="29"/>
  <c r="R165" i="29"/>
  <c r="S165" i="29"/>
  <c r="AI164" i="29"/>
  <c r="AV164" i="29"/>
  <c r="B165" i="29"/>
  <c r="J164" i="29"/>
  <c r="G165" i="29"/>
  <c r="X164" i="29"/>
  <c r="AG165" i="29"/>
  <c r="AJ164" i="29"/>
  <c r="AQ165" i="29"/>
  <c r="AS165" i="29"/>
  <c r="K164" i="29"/>
  <c r="V164" i="29"/>
  <c r="AO164" i="29"/>
  <c r="V165" i="29"/>
  <c r="AF165" i="29"/>
  <c r="AW164" i="29"/>
  <c r="AB165" i="29"/>
  <c r="AS164" i="29"/>
  <c r="AD165" i="29"/>
  <c r="AU164" i="29"/>
  <c r="V215" i="29"/>
  <c r="G214" i="29"/>
  <c r="AM214" i="29"/>
  <c r="L214" i="29"/>
  <c r="AQ214" i="29"/>
  <c r="Z215" i="29"/>
  <c r="J214" i="29"/>
  <c r="AO214" i="29"/>
  <c r="X215" i="29"/>
  <c r="N214" i="29"/>
  <c r="AK214" i="29"/>
  <c r="T215" i="29"/>
  <c r="AK164" i="29"/>
  <c r="AM164" i="29"/>
  <c r="AN165" i="29"/>
  <c r="AJ165" i="29"/>
  <c r="AL165" i="29"/>
  <c r="F215" i="29"/>
  <c r="H165" i="29"/>
  <c r="AU214" i="29"/>
  <c r="AE215" i="29"/>
  <c r="D214" i="29"/>
  <c r="AI214" i="29"/>
  <c r="R215" i="29"/>
  <c r="AW215" i="29"/>
  <c r="AG214" i="29"/>
  <c r="P215" i="29"/>
  <c r="F214" i="29"/>
  <c r="AC214" i="29"/>
  <c r="L215" i="29"/>
  <c r="O164" i="29"/>
  <c r="X165" i="29"/>
  <c r="T165" i="29"/>
  <c r="AV165" i="29"/>
  <c r="AR165" i="29"/>
  <c r="AT165" i="29"/>
  <c r="X214" i="29"/>
  <c r="P214" i="29"/>
  <c r="N215" i="29"/>
  <c r="AQ215" i="29"/>
  <c r="AA214" i="29"/>
  <c r="J215" i="29"/>
  <c r="AO215" i="29"/>
  <c r="Y214" i="29"/>
  <c r="H215" i="29"/>
  <c r="AS215" i="29"/>
  <c r="U214" i="29"/>
  <c r="D215" i="29"/>
  <c r="Y164" i="29"/>
  <c r="D165" i="29"/>
  <c r="U164" i="29"/>
  <c r="F165" i="29"/>
  <c r="W164" i="29"/>
  <c r="P165" i="29"/>
  <c r="AG164" i="29"/>
  <c r="L165" i="29"/>
  <c r="AC164" i="29"/>
  <c r="N165" i="29"/>
  <c r="AE164" i="29"/>
  <c r="K192" i="29"/>
  <c r="G192" i="29"/>
  <c r="C192" i="29"/>
  <c r="L192" i="29"/>
  <c r="H192" i="29"/>
  <c r="J181" i="29"/>
  <c r="M182" i="29"/>
  <c r="S182" i="29"/>
  <c r="AU182" i="29"/>
  <c r="AM182" i="29"/>
  <c r="AE182" i="29"/>
  <c r="M181" i="29"/>
  <c r="E181" i="29"/>
  <c r="V182" i="29"/>
  <c r="N182" i="29"/>
  <c r="AP182" i="29"/>
  <c r="AC182" i="29"/>
  <c r="K181" i="29"/>
  <c r="G181" i="29"/>
  <c r="C181" i="29"/>
  <c r="X182" i="29"/>
  <c r="T182" i="29"/>
  <c r="P182" i="29"/>
  <c r="AV182" i="29"/>
  <c r="AR182" i="29"/>
  <c r="AN182" i="29"/>
  <c r="AJ182" i="29"/>
  <c r="AF182" i="29"/>
  <c r="AB182" i="29"/>
  <c r="L181" i="29"/>
  <c r="H181" i="29"/>
  <c r="D181" i="29"/>
  <c r="Y182" i="29"/>
  <c r="U182" i="29"/>
  <c r="Q182" i="29"/>
  <c r="AW182" i="29"/>
  <c r="AS182" i="29"/>
  <c r="AO182" i="29"/>
  <c r="AK182" i="29"/>
  <c r="AG182" i="29"/>
  <c r="H168" i="29"/>
  <c r="N169" i="29"/>
  <c r="K168" i="29"/>
  <c r="G168" i="29"/>
  <c r="C168" i="29"/>
  <c r="L168" i="29"/>
  <c r="D168" i="29"/>
  <c r="B168" i="29"/>
  <c r="J168" i="29"/>
  <c r="F168" i="29"/>
  <c r="M169" i="29"/>
  <c r="M168" i="29"/>
  <c r="I168" i="29"/>
  <c r="E168" i="29"/>
  <c r="U382" i="12"/>
  <c r="S382" i="12"/>
  <c r="Q382" i="12"/>
  <c r="O382" i="12"/>
  <c r="M382" i="12"/>
  <c r="L382" i="12"/>
  <c r="K382" i="12"/>
  <c r="I382" i="12"/>
  <c r="H382" i="12"/>
  <c r="J382" i="12"/>
  <c r="N382" i="12"/>
  <c r="P382" i="12"/>
  <c r="R382" i="12"/>
  <c r="T382" i="12"/>
  <c r="C320" i="12"/>
  <c r="D320" i="12"/>
  <c r="E320" i="12"/>
  <c r="F320" i="12"/>
  <c r="G320" i="12"/>
  <c r="H320" i="12"/>
  <c r="I320" i="12"/>
  <c r="J320" i="12"/>
  <c r="K320" i="12"/>
  <c r="L320" i="12"/>
  <c r="M320" i="12"/>
  <c r="N320" i="12"/>
  <c r="O320" i="12"/>
  <c r="P320" i="12"/>
  <c r="Q320" i="12"/>
  <c r="R320" i="12"/>
  <c r="S320" i="12"/>
  <c r="T320" i="12"/>
  <c r="U320" i="12"/>
  <c r="V320" i="12"/>
  <c r="W320" i="12"/>
  <c r="X320" i="12"/>
  <c r="Y320" i="12"/>
  <c r="Z320" i="12"/>
  <c r="AA320" i="12"/>
  <c r="AB320" i="12"/>
  <c r="AC320" i="12"/>
  <c r="AD320" i="12"/>
  <c r="AE320" i="12"/>
  <c r="AF320" i="12"/>
  <c r="AG320" i="12"/>
  <c r="AH320" i="12"/>
  <c r="AI320" i="12"/>
  <c r="AJ320" i="12"/>
  <c r="AK320" i="12"/>
  <c r="AL320" i="12"/>
  <c r="AM320" i="12"/>
  <c r="AN320" i="12"/>
  <c r="AO320" i="12"/>
  <c r="AP320" i="12"/>
  <c r="AQ320" i="12"/>
  <c r="AR320" i="12"/>
  <c r="AS320" i="12"/>
  <c r="AT320" i="12"/>
  <c r="AU320" i="12"/>
  <c r="AV320" i="12"/>
  <c r="AW320" i="12"/>
  <c r="B320" i="12"/>
  <c r="D38" i="29" l="1"/>
  <c r="F38" i="29"/>
  <c r="M38" i="29"/>
  <c r="Y39" i="29"/>
  <c r="AB38" i="29"/>
  <c r="AL38" i="29"/>
  <c r="AE39" i="29"/>
  <c r="AJ38" i="29"/>
  <c r="AQ38" i="29"/>
  <c r="AP39" i="29"/>
  <c r="W39" i="29"/>
  <c r="K38" i="29"/>
  <c r="AO38" i="29"/>
  <c r="AL39" i="29"/>
  <c r="AU38" i="29"/>
  <c r="I38" i="29"/>
  <c r="S38" i="29"/>
  <c r="H38" i="29"/>
  <c r="G38" i="29"/>
  <c r="Q38" i="29"/>
  <c r="AB39" i="29"/>
  <c r="U39" i="29"/>
  <c r="C38" i="29"/>
  <c r="AF39" i="29"/>
  <c r="AK38" i="29"/>
  <c r="AH38" i="29"/>
  <c r="AQ39" i="29"/>
  <c r="E38" i="29"/>
  <c r="AC39" i="29"/>
  <c r="R38" i="29"/>
  <c r="AV38" i="29"/>
  <c r="AS38" i="29"/>
  <c r="N38" i="29"/>
  <c r="J38" i="29"/>
  <c r="N39" i="29"/>
  <c r="X39" i="29"/>
  <c r="K39" i="29"/>
  <c r="AT38" i="29"/>
  <c r="Z39" i="29"/>
  <c r="W38" i="29"/>
  <c r="Z38" i="29"/>
  <c r="AN38" i="29"/>
  <c r="S39" i="29"/>
  <c r="T39" i="29"/>
  <c r="AE38" i="29"/>
  <c r="AI38" i="29"/>
  <c r="AW38" i="29"/>
  <c r="P38" i="29"/>
  <c r="C39" i="29"/>
  <c r="AA39" i="29"/>
  <c r="L38" i="29"/>
  <c r="AR38" i="29"/>
  <c r="D39" i="29"/>
  <c r="AJ39" i="29"/>
  <c r="U38" i="29"/>
  <c r="E39" i="29"/>
  <c r="AK39" i="29"/>
  <c r="V38" i="29"/>
  <c r="B39" i="29"/>
  <c r="AD39" i="29"/>
  <c r="AH39" i="29"/>
  <c r="AG39" i="29"/>
  <c r="AT39" i="29"/>
  <c r="R39" i="29"/>
  <c r="AM38" i="29"/>
  <c r="B38" i="29"/>
  <c r="AW39" i="29"/>
  <c r="AG38" i="29"/>
  <c r="AV39" i="29"/>
  <c r="P39" i="29"/>
  <c r="AF38" i="29"/>
  <c r="AU39" i="29"/>
  <c r="O39" i="29"/>
  <c r="AI39" i="29"/>
  <c r="T38" i="29"/>
  <c r="L39" i="29"/>
  <c r="AR39" i="29"/>
  <c r="AC38" i="29"/>
  <c r="M39" i="29"/>
  <c r="AS39" i="29"/>
  <c r="AD38" i="29"/>
  <c r="AO39" i="29"/>
  <c r="F39" i="29"/>
  <c r="J39" i="29"/>
  <c r="Q39" i="29"/>
  <c r="V39" i="29"/>
  <c r="AP38" i="29"/>
  <c r="O38" i="29"/>
  <c r="AA38" i="29"/>
  <c r="I39" i="29"/>
  <c r="Y38" i="29"/>
  <c r="AN39" i="29"/>
  <c r="H39" i="29"/>
  <c r="X38" i="29"/>
  <c r="AM39" i="29"/>
  <c r="C384" i="12"/>
  <c r="D384" i="12"/>
  <c r="E384" i="12"/>
  <c r="F384" i="12"/>
  <c r="G384" i="12"/>
  <c r="H384" i="12"/>
  <c r="I384" i="12"/>
  <c r="J384" i="12"/>
  <c r="K384" i="12"/>
  <c r="L384" i="12"/>
  <c r="M384" i="12"/>
  <c r="N384" i="12"/>
  <c r="O384" i="12"/>
  <c r="P384" i="12"/>
  <c r="Q384" i="12"/>
  <c r="R384" i="12"/>
  <c r="S384" i="12"/>
  <c r="T384" i="12"/>
  <c r="U384" i="12"/>
  <c r="V384" i="12"/>
  <c r="W384" i="12"/>
  <c r="X384" i="12"/>
  <c r="Y384" i="12"/>
  <c r="Z384" i="12"/>
  <c r="AA384" i="12"/>
  <c r="AB384" i="12"/>
  <c r="AC384" i="12"/>
  <c r="AD384" i="12"/>
  <c r="AE384" i="12"/>
  <c r="AF384" i="12"/>
  <c r="AG384" i="12"/>
  <c r="AH384" i="12"/>
  <c r="AI384" i="12"/>
  <c r="AJ384" i="12"/>
  <c r="AK384" i="12"/>
  <c r="AL384" i="12"/>
  <c r="AM384" i="12"/>
  <c r="AN384" i="12"/>
  <c r="AO384" i="12"/>
  <c r="AP384" i="12"/>
  <c r="AQ384" i="12"/>
  <c r="AR384" i="12"/>
  <c r="AS384" i="12"/>
  <c r="AT384" i="12"/>
  <c r="AU384" i="12"/>
  <c r="AV384" i="12"/>
  <c r="AW384" i="12"/>
  <c r="B384" i="12"/>
  <c r="C338" i="12"/>
  <c r="C399" i="12"/>
  <c r="D399" i="12"/>
  <c r="E399" i="12"/>
  <c r="F399" i="12"/>
  <c r="G399" i="12"/>
  <c r="H399" i="12"/>
  <c r="I399" i="12"/>
  <c r="J399" i="12"/>
  <c r="K399" i="12"/>
  <c r="L399" i="12"/>
  <c r="M399" i="12"/>
  <c r="N399" i="12"/>
  <c r="O399" i="12"/>
  <c r="P399" i="12"/>
  <c r="Q399" i="12"/>
  <c r="R399" i="12"/>
  <c r="S399" i="12"/>
  <c r="T399" i="12"/>
  <c r="U399" i="12"/>
  <c r="V399" i="12"/>
  <c r="W399" i="12"/>
  <c r="X399" i="12"/>
  <c r="Y399" i="12"/>
  <c r="Z399" i="12"/>
  <c r="AA399" i="12"/>
  <c r="AB399" i="12"/>
  <c r="AC399" i="12"/>
  <c r="AD399" i="12"/>
  <c r="AE399" i="12"/>
  <c r="AF399" i="12"/>
  <c r="AG399" i="12"/>
  <c r="AH399" i="12"/>
  <c r="AI399" i="12"/>
  <c r="AJ399" i="12"/>
  <c r="AK399" i="12"/>
  <c r="AL399" i="12"/>
  <c r="AM399" i="12"/>
  <c r="AN399" i="12"/>
  <c r="AO399" i="12"/>
  <c r="AP399" i="12"/>
  <c r="AQ399" i="12"/>
  <c r="AR399" i="12"/>
  <c r="AS399" i="12"/>
  <c r="AT399" i="12"/>
  <c r="AU399" i="12"/>
  <c r="AV399" i="12"/>
  <c r="AW399" i="12"/>
  <c r="B399" i="12"/>
  <c r="C373" i="12"/>
  <c r="D373" i="12"/>
  <c r="E373" i="12"/>
  <c r="F373" i="12"/>
  <c r="G373" i="12"/>
  <c r="H373" i="12"/>
  <c r="I373" i="12"/>
  <c r="J373" i="12"/>
  <c r="K373" i="12"/>
  <c r="L373" i="12"/>
  <c r="M373" i="12"/>
  <c r="N373" i="12"/>
  <c r="O373" i="12"/>
  <c r="P373" i="12"/>
  <c r="Q373" i="12"/>
  <c r="R373" i="12"/>
  <c r="S373" i="12"/>
  <c r="T373" i="12"/>
  <c r="U373" i="12"/>
  <c r="V373" i="12"/>
  <c r="W373" i="12"/>
  <c r="X373" i="12"/>
  <c r="Y373" i="12"/>
  <c r="Z373" i="12"/>
  <c r="AA373" i="12"/>
  <c r="AB373" i="12"/>
  <c r="AC373" i="12"/>
  <c r="AD373" i="12"/>
  <c r="AE373" i="12"/>
  <c r="AF373" i="12"/>
  <c r="AG373" i="12"/>
  <c r="AH373" i="12"/>
  <c r="AI373" i="12"/>
  <c r="AJ373" i="12"/>
  <c r="AK373" i="12"/>
  <c r="AL373" i="12"/>
  <c r="AM373" i="12"/>
  <c r="AN373" i="12"/>
  <c r="AO373" i="12"/>
  <c r="AP373" i="12"/>
  <c r="AQ373" i="12"/>
  <c r="AR373" i="12"/>
  <c r="AS373" i="12"/>
  <c r="AT373" i="12"/>
  <c r="AU373" i="12"/>
  <c r="AV373" i="12"/>
  <c r="AW373" i="12"/>
  <c r="B373" i="12"/>
  <c r="C362" i="12"/>
  <c r="D362" i="12"/>
  <c r="E362" i="12"/>
  <c r="F362" i="12"/>
  <c r="G362" i="12"/>
  <c r="H362" i="12"/>
  <c r="I362" i="12"/>
  <c r="J362" i="12"/>
  <c r="K362" i="12"/>
  <c r="L362" i="12"/>
  <c r="M362" i="12"/>
  <c r="N362" i="12"/>
  <c r="O362" i="12"/>
  <c r="P362" i="12"/>
  <c r="Q362" i="12"/>
  <c r="R362" i="12"/>
  <c r="S362" i="12"/>
  <c r="T362" i="12"/>
  <c r="U362" i="12"/>
  <c r="V362" i="12"/>
  <c r="W362" i="12"/>
  <c r="X362" i="12"/>
  <c r="Y362" i="12"/>
  <c r="Z362" i="12"/>
  <c r="AA362" i="12"/>
  <c r="AB362" i="12"/>
  <c r="AC362" i="12"/>
  <c r="AD362" i="12"/>
  <c r="AE362" i="12"/>
  <c r="AF362" i="12"/>
  <c r="AG362" i="12"/>
  <c r="AH362" i="12"/>
  <c r="AI362" i="12"/>
  <c r="AJ362" i="12"/>
  <c r="AK362" i="12"/>
  <c r="AL362" i="12"/>
  <c r="AM362" i="12"/>
  <c r="AN362" i="12"/>
  <c r="AO362" i="12"/>
  <c r="AP362" i="12"/>
  <c r="AQ362" i="12"/>
  <c r="AR362" i="12"/>
  <c r="AS362" i="12"/>
  <c r="AT362" i="12"/>
  <c r="AU362" i="12"/>
  <c r="AV362" i="12"/>
  <c r="AW362" i="12"/>
  <c r="B362" i="12"/>
  <c r="C351" i="12"/>
  <c r="D351" i="12"/>
  <c r="E351" i="12"/>
  <c r="F351" i="12"/>
  <c r="G351" i="12"/>
  <c r="H351" i="12"/>
  <c r="I351" i="12"/>
  <c r="J351" i="12"/>
  <c r="K351" i="12"/>
  <c r="L351" i="12"/>
  <c r="M351" i="12"/>
  <c r="N351" i="12"/>
  <c r="O351" i="12"/>
  <c r="P351" i="12"/>
  <c r="Q351" i="12"/>
  <c r="R351" i="12"/>
  <c r="S351" i="12"/>
  <c r="T351" i="12"/>
  <c r="U351" i="12"/>
  <c r="V351" i="12"/>
  <c r="W351" i="12"/>
  <c r="X351" i="12"/>
  <c r="Y351" i="12"/>
  <c r="Z351" i="12"/>
  <c r="AA351" i="12"/>
  <c r="AB351" i="12"/>
  <c r="AC351" i="12"/>
  <c r="AD351" i="12"/>
  <c r="AE351" i="12"/>
  <c r="AF351" i="12"/>
  <c r="AG351" i="12"/>
  <c r="AH351" i="12"/>
  <c r="AI351" i="12"/>
  <c r="AJ351" i="12"/>
  <c r="AK351" i="12"/>
  <c r="AL351" i="12"/>
  <c r="AM351" i="12"/>
  <c r="AN351" i="12"/>
  <c r="AO351" i="12"/>
  <c r="AP351" i="12"/>
  <c r="AQ351" i="12"/>
  <c r="AR351" i="12"/>
  <c r="AS351" i="12"/>
  <c r="AT351" i="12"/>
  <c r="AU351" i="12"/>
  <c r="AV351" i="12"/>
  <c r="AW351" i="12"/>
  <c r="B351" i="12"/>
  <c r="B316" i="28" l="1"/>
  <c r="C314" i="28"/>
  <c r="Y397" i="12" l="1"/>
  <c r="Z397" i="12" l="1"/>
  <c r="Z349" i="12"/>
  <c r="Z340" i="12"/>
  <c r="Z318" i="12"/>
  <c r="Z307" i="12"/>
  <c r="Z296" i="12"/>
  <c r="Z285" i="12"/>
  <c r="Z274" i="12"/>
  <c r="Z338" i="12"/>
  <c r="Y366" i="28"/>
  <c r="Y365" i="28"/>
  <c r="N355" i="28"/>
  <c r="Y323" i="28"/>
  <c r="Y322" i="28"/>
  <c r="B410" i="28"/>
  <c r="C410" i="28"/>
  <c r="D410" i="28"/>
  <c r="E410" i="28"/>
  <c r="F410" i="28"/>
  <c r="G410" i="28"/>
  <c r="H410" i="28"/>
  <c r="I410" i="28"/>
  <c r="J410" i="28"/>
  <c r="K410" i="28"/>
  <c r="L410" i="28"/>
  <c r="M410" i="28"/>
  <c r="N410" i="28"/>
  <c r="O410" i="28"/>
  <c r="P410" i="28"/>
  <c r="Q410" i="28"/>
  <c r="R410" i="28"/>
  <c r="S410" i="28"/>
  <c r="T410" i="28"/>
  <c r="U410" i="28"/>
  <c r="V410" i="28"/>
  <c r="W410" i="28"/>
  <c r="Y410" i="28"/>
  <c r="X410" i="28"/>
  <c r="Y408" i="28"/>
  <c r="X408" i="28"/>
  <c r="B401" i="28"/>
  <c r="C401" i="28"/>
  <c r="D401" i="28"/>
  <c r="E401" i="28"/>
  <c r="F401" i="28"/>
  <c r="G401" i="28"/>
  <c r="H401" i="28"/>
  <c r="I401" i="28"/>
  <c r="J401" i="28"/>
  <c r="K401" i="28"/>
  <c r="L401" i="28"/>
  <c r="M401" i="28"/>
  <c r="N401" i="28"/>
  <c r="O401" i="28"/>
  <c r="P401" i="28"/>
  <c r="Q401" i="28"/>
  <c r="R401" i="28"/>
  <c r="S401" i="28"/>
  <c r="T401" i="28"/>
  <c r="U401" i="28"/>
  <c r="V401" i="28"/>
  <c r="W401" i="28"/>
  <c r="Y401" i="28"/>
  <c r="X401" i="28"/>
  <c r="Y399" i="28"/>
  <c r="X399" i="28"/>
  <c r="Y398" i="28"/>
  <c r="X398" i="28"/>
  <c r="B389" i="28"/>
  <c r="C389" i="28"/>
  <c r="D389" i="28"/>
  <c r="E389" i="28"/>
  <c r="F389" i="28"/>
  <c r="G389" i="28"/>
  <c r="H389" i="28"/>
  <c r="I389" i="28"/>
  <c r="J389" i="28"/>
  <c r="K389" i="28"/>
  <c r="L389" i="28"/>
  <c r="M389" i="28"/>
  <c r="N389" i="28"/>
  <c r="O389" i="28"/>
  <c r="P389" i="28"/>
  <c r="Q389" i="28"/>
  <c r="R389" i="28"/>
  <c r="S389" i="28"/>
  <c r="T389" i="28"/>
  <c r="U389" i="28"/>
  <c r="V389" i="28"/>
  <c r="W389" i="28"/>
  <c r="Y389" i="28"/>
  <c r="X389" i="28"/>
  <c r="Y387" i="28"/>
  <c r="X387" i="28"/>
  <c r="B381" i="28"/>
  <c r="C381" i="28"/>
  <c r="D381" i="28"/>
  <c r="E381" i="28"/>
  <c r="F381" i="28"/>
  <c r="G381" i="28"/>
  <c r="H381" i="28"/>
  <c r="I381" i="28"/>
  <c r="J381" i="28"/>
  <c r="K381" i="28"/>
  <c r="L381" i="28"/>
  <c r="M381" i="28"/>
  <c r="N381" i="28"/>
  <c r="O381" i="28"/>
  <c r="P381" i="28"/>
  <c r="Q381" i="28"/>
  <c r="R381" i="28"/>
  <c r="S381" i="28"/>
  <c r="T381" i="28"/>
  <c r="U381" i="28"/>
  <c r="V381" i="28"/>
  <c r="W381" i="28"/>
  <c r="Y381" i="28"/>
  <c r="X381" i="28"/>
  <c r="Y379" i="28"/>
  <c r="Y378" i="28"/>
  <c r="X378" i="28"/>
  <c r="X379" i="28"/>
  <c r="B369" i="28"/>
  <c r="C369" i="28"/>
  <c r="D369" i="28"/>
  <c r="E369" i="28"/>
  <c r="F369" i="28"/>
  <c r="G369" i="28"/>
  <c r="H369" i="28"/>
  <c r="I369" i="28"/>
  <c r="J369" i="28"/>
  <c r="K369" i="28"/>
  <c r="L369" i="28"/>
  <c r="M369" i="28"/>
  <c r="N369" i="28"/>
  <c r="O369" i="28"/>
  <c r="P369" i="28"/>
  <c r="Q369" i="28"/>
  <c r="R369" i="28"/>
  <c r="S369" i="28"/>
  <c r="T369" i="28"/>
  <c r="U369" i="28"/>
  <c r="V369" i="28"/>
  <c r="W369" i="28"/>
  <c r="Y369" i="28"/>
  <c r="X369" i="28"/>
  <c r="Y367" i="28"/>
  <c r="X367" i="28"/>
  <c r="N365" i="28"/>
  <c r="O365" i="28"/>
  <c r="P365" i="28"/>
  <c r="Q365" i="28"/>
  <c r="R365" i="28"/>
  <c r="S365" i="28"/>
  <c r="T365" i="28"/>
  <c r="U365" i="28"/>
  <c r="V365" i="28"/>
  <c r="W365" i="28"/>
  <c r="X365" i="28"/>
  <c r="O367" i="28"/>
  <c r="B359" i="28"/>
  <c r="C359" i="28"/>
  <c r="D359" i="28"/>
  <c r="E359" i="28"/>
  <c r="F359" i="28"/>
  <c r="G359" i="28"/>
  <c r="H359" i="28"/>
  <c r="I359" i="28"/>
  <c r="J359" i="28"/>
  <c r="K359" i="28"/>
  <c r="L359" i="28"/>
  <c r="M359" i="28"/>
  <c r="N359" i="28"/>
  <c r="O359" i="28"/>
  <c r="P359" i="28"/>
  <c r="Q359" i="28"/>
  <c r="R359" i="28"/>
  <c r="S359" i="28"/>
  <c r="T359" i="28"/>
  <c r="U359" i="28"/>
  <c r="V359" i="28"/>
  <c r="W359" i="28"/>
  <c r="Y359" i="28"/>
  <c r="X359" i="28"/>
  <c r="Y357" i="28"/>
  <c r="X357" i="28"/>
  <c r="W355" i="28"/>
  <c r="X355" i="28"/>
  <c r="B338" i="28"/>
  <c r="C338" i="28"/>
  <c r="D338" i="28"/>
  <c r="E338" i="28"/>
  <c r="F338" i="28"/>
  <c r="G338" i="28"/>
  <c r="H338" i="28"/>
  <c r="I338" i="28"/>
  <c r="J338" i="28"/>
  <c r="K338" i="28"/>
  <c r="L338" i="28"/>
  <c r="M338" i="28"/>
  <c r="N338" i="28"/>
  <c r="O338" i="28"/>
  <c r="P338" i="28"/>
  <c r="Q338" i="28"/>
  <c r="R338" i="28"/>
  <c r="S338" i="28"/>
  <c r="T338" i="28"/>
  <c r="U338" i="28"/>
  <c r="V338" i="28"/>
  <c r="W338" i="28"/>
  <c r="Y338" i="28"/>
  <c r="X338" i="28"/>
  <c r="Y334" i="28"/>
  <c r="X334" i="28"/>
  <c r="B326" i="28"/>
  <c r="C326" i="28"/>
  <c r="D326" i="28"/>
  <c r="E326" i="28"/>
  <c r="F326" i="28"/>
  <c r="G326" i="28"/>
  <c r="H326" i="28"/>
  <c r="I326" i="28"/>
  <c r="J326" i="28"/>
  <c r="K326" i="28"/>
  <c r="L326" i="28"/>
  <c r="M326" i="28"/>
  <c r="N326" i="28"/>
  <c r="O326" i="28"/>
  <c r="P326" i="28"/>
  <c r="Q326" i="28"/>
  <c r="R326" i="28"/>
  <c r="S326" i="28"/>
  <c r="T326" i="28"/>
  <c r="U326" i="28"/>
  <c r="V326" i="28"/>
  <c r="W326" i="28"/>
  <c r="Y326" i="28"/>
  <c r="X326" i="28"/>
  <c r="Y324" i="28"/>
  <c r="X324" i="28"/>
  <c r="N322" i="28"/>
  <c r="O322" i="28"/>
  <c r="P322" i="28"/>
  <c r="Q322" i="28"/>
  <c r="R322" i="28"/>
  <c r="S322" i="28"/>
  <c r="T322" i="28"/>
  <c r="U322" i="28"/>
  <c r="V322" i="28"/>
  <c r="W322" i="28"/>
  <c r="X322" i="28"/>
  <c r="D316" i="28"/>
  <c r="E316" i="28"/>
  <c r="F316" i="28"/>
  <c r="G316" i="28"/>
  <c r="H316" i="28"/>
  <c r="I316" i="28"/>
  <c r="J316" i="28"/>
  <c r="K316" i="28"/>
  <c r="L316" i="28"/>
  <c r="M316" i="28"/>
  <c r="N316" i="28"/>
  <c r="O316" i="28"/>
  <c r="P316" i="28"/>
  <c r="Q316" i="28"/>
  <c r="R316" i="28"/>
  <c r="S316" i="28"/>
  <c r="T316" i="28"/>
  <c r="U316" i="28"/>
  <c r="V316" i="28"/>
  <c r="W316" i="28"/>
  <c r="Y316" i="28"/>
  <c r="X316" i="28"/>
  <c r="Y344" i="28"/>
  <c r="C346" i="28"/>
  <c r="D346" i="28"/>
  <c r="E346" i="28"/>
  <c r="F346" i="28"/>
  <c r="G346" i="28"/>
  <c r="H346" i="28"/>
  <c r="I346" i="28"/>
  <c r="J346" i="28"/>
  <c r="K346" i="28"/>
  <c r="L346" i="28"/>
  <c r="M346" i="28"/>
  <c r="N346" i="28"/>
  <c r="O346" i="28"/>
  <c r="P346" i="28"/>
  <c r="Q346" i="28"/>
  <c r="R346" i="28"/>
  <c r="S346" i="28"/>
  <c r="T346" i="28"/>
  <c r="U346" i="28"/>
  <c r="V346" i="28"/>
  <c r="W346" i="28"/>
  <c r="X346" i="28"/>
  <c r="Y346" i="28"/>
  <c r="X344" i="28"/>
  <c r="Y336" i="28"/>
  <c r="X336" i="28"/>
  <c r="Y314" i="28"/>
  <c r="V314" i="28"/>
  <c r="U314" i="28"/>
  <c r="W314" i="28"/>
  <c r="Z24" i="5"/>
  <c r="Z31" i="5"/>
  <c r="Z32" i="5"/>
  <c r="X397" i="12"/>
  <c r="Z25" i="5" l="1"/>
  <c r="Z10" i="5"/>
  <c r="AA416" i="12"/>
  <c r="C309" i="12" l="1"/>
  <c r="D309" i="12"/>
  <c r="E309" i="12"/>
  <c r="F309" i="12"/>
  <c r="G309" i="12"/>
  <c r="H309" i="12"/>
  <c r="I309" i="12"/>
  <c r="J309" i="12"/>
  <c r="K309" i="12"/>
  <c r="L309" i="12"/>
  <c r="M309" i="12"/>
  <c r="N309" i="12"/>
  <c r="O309" i="12"/>
  <c r="P309" i="12"/>
  <c r="Q309" i="12"/>
  <c r="R309" i="12"/>
  <c r="S309" i="12"/>
  <c r="T309" i="12"/>
  <c r="U309" i="12"/>
  <c r="V309" i="12"/>
  <c r="W309" i="12"/>
  <c r="X309" i="12"/>
  <c r="Y309" i="12"/>
  <c r="Z309" i="12"/>
  <c r="AA309" i="12"/>
  <c r="AB309" i="12"/>
  <c r="AC309" i="12"/>
  <c r="AD309" i="12"/>
  <c r="AE309" i="12"/>
  <c r="AF309" i="12"/>
  <c r="AG309" i="12"/>
  <c r="AH309" i="12"/>
  <c r="AI309" i="12"/>
  <c r="AJ309" i="12"/>
  <c r="AK309" i="12"/>
  <c r="AL309" i="12"/>
  <c r="AM309" i="12"/>
  <c r="AN309" i="12"/>
  <c r="AO309" i="12"/>
  <c r="AP309" i="12"/>
  <c r="AQ309" i="12"/>
  <c r="AR309" i="12"/>
  <c r="AS309" i="12"/>
  <c r="AT309" i="12"/>
  <c r="AU309" i="12"/>
  <c r="AV309" i="12"/>
  <c r="AW309" i="12"/>
  <c r="B309" i="12"/>
  <c r="C298" i="12"/>
  <c r="D298" i="12"/>
  <c r="E298" i="12"/>
  <c r="F298" i="12"/>
  <c r="G298" i="12"/>
  <c r="H298" i="12"/>
  <c r="I298" i="12"/>
  <c r="J298" i="12"/>
  <c r="K298" i="12"/>
  <c r="L298" i="12"/>
  <c r="M298" i="12"/>
  <c r="N298" i="12"/>
  <c r="O298" i="12"/>
  <c r="P298" i="12"/>
  <c r="Q298" i="12"/>
  <c r="R298" i="12"/>
  <c r="S298" i="12"/>
  <c r="T298" i="12"/>
  <c r="U298" i="12"/>
  <c r="V298" i="12"/>
  <c r="W298" i="12"/>
  <c r="X298" i="12"/>
  <c r="Y298" i="12"/>
  <c r="Z298" i="12"/>
  <c r="AA298" i="12"/>
  <c r="AB298" i="12"/>
  <c r="AC298" i="12"/>
  <c r="AD298" i="12"/>
  <c r="AE298" i="12"/>
  <c r="AF298" i="12"/>
  <c r="AG298" i="12"/>
  <c r="AH298" i="12"/>
  <c r="AI298" i="12"/>
  <c r="AJ298" i="12"/>
  <c r="AK298" i="12"/>
  <c r="AL298" i="12"/>
  <c r="AM298" i="12"/>
  <c r="AN298" i="12"/>
  <c r="AO298" i="12"/>
  <c r="AP298" i="12"/>
  <c r="AQ298" i="12"/>
  <c r="AR298" i="12"/>
  <c r="AS298" i="12"/>
  <c r="AT298" i="12"/>
  <c r="AU298" i="12"/>
  <c r="AV298" i="12"/>
  <c r="AW298" i="12"/>
  <c r="B298" i="12"/>
  <c r="B5" i="48" l="1"/>
  <c r="C340" i="12" l="1"/>
  <c r="D340" i="12"/>
  <c r="E340" i="12"/>
  <c r="F340" i="12"/>
  <c r="G340" i="12"/>
  <c r="H340" i="12"/>
  <c r="I340" i="12"/>
  <c r="J340" i="12"/>
  <c r="K340" i="12"/>
  <c r="L340" i="12"/>
  <c r="M340" i="12"/>
  <c r="N340" i="12"/>
  <c r="O340" i="12"/>
  <c r="P340" i="12"/>
  <c r="Q340" i="12"/>
  <c r="R340" i="12"/>
  <c r="S340" i="12"/>
  <c r="T340" i="12"/>
  <c r="U340" i="12"/>
  <c r="V340" i="12"/>
  <c r="W340" i="12"/>
  <c r="X340" i="12"/>
  <c r="Y340" i="12"/>
  <c r="AA340" i="12"/>
  <c r="AB340" i="12"/>
  <c r="AC340" i="12"/>
  <c r="AD340" i="12"/>
  <c r="AE340" i="12"/>
  <c r="AF340" i="12"/>
  <c r="AG340" i="12"/>
  <c r="AH340" i="12"/>
  <c r="AI340" i="12"/>
  <c r="AJ340" i="12"/>
  <c r="AK340" i="12"/>
  <c r="AL340" i="12"/>
  <c r="AM340" i="12"/>
  <c r="AN340" i="12"/>
  <c r="AO340" i="12"/>
  <c r="AP340" i="12"/>
  <c r="AQ340" i="12"/>
  <c r="AR340" i="12"/>
  <c r="AS340" i="12"/>
  <c r="AT340" i="12"/>
  <c r="AU340" i="12"/>
  <c r="AV340" i="12"/>
  <c r="AW340" i="12"/>
  <c r="B340" i="12"/>
  <c r="L397" i="12"/>
  <c r="S397" i="12"/>
  <c r="Q397" i="12"/>
  <c r="P397" i="12"/>
  <c r="O397" i="12"/>
  <c r="J397" i="12"/>
  <c r="K397" i="12"/>
  <c r="M397" i="12"/>
  <c r="N397" i="12"/>
  <c r="R397" i="12"/>
  <c r="T397" i="12"/>
  <c r="U397" i="12"/>
  <c r="V397" i="12"/>
  <c r="W397" i="12"/>
  <c r="I397" i="12"/>
  <c r="Z382" i="12"/>
  <c r="Y382" i="12"/>
  <c r="X382" i="12"/>
  <c r="F382" i="12"/>
  <c r="E382" i="12"/>
  <c r="D382" i="12"/>
  <c r="C382" i="12"/>
  <c r="G382" i="12"/>
  <c r="V382" i="12"/>
  <c r="W382" i="12"/>
  <c r="D371" i="12"/>
  <c r="E371" i="12"/>
  <c r="F371" i="12"/>
  <c r="G371" i="12"/>
  <c r="H371" i="12"/>
  <c r="I371" i="12"/>
  <c r="J371" i="12"/>
  <c r="K371" i="12"/>
  <c r="L371" i="12"/>
  <c r="M371" i="12"/>
  <c r="N371" i="12"/>
  <c r="O371" i="12"/>
  <c r="P371" i="12"/>
  <c r="Q371" i="12"/>
  <c r="R371" i="12"/>
  <c r="S371" i="12"/>
  <c r="T371" i="12"/>
  <c r="U371" i="12"/>
  <c r="V371" i="12"/>
  <c r="W371" i="12"/>
  <c r="X371" i="12"/>
  <c r="Y371" i="12"/>
  <c r="Z371" i="12"/>
  <c r="C371" i="12"/>
  <c r="S360" i="12"/>
  <c r="M360" i="12"/>
  <c r="K360" i="12"/>
  <c r="H360" i="12"/>
  <c r="E360" i="12"/>
  <c r="C360" i="12"/>
  <c r="D360" i="12"/>
  <c r="F360" i="12"/>
  <c r="G360" i="12"/>
  <c r="I360" i="12"/>
  <c r="J360" i="12"/>
  <c r="L360" i="12"/>
  <c r="N360" i="12"/>
  <c r="O360" i="12"/>
  <c r="P360" i="12"/>
  <c r="Q360" i="12"/>
  <c r="R360" i="12"/>
  <c r="T360" i="12"/>
  <c r="U360" i="12"/>
  <c r="V360" i="12"/>
  <c r="Y349" i="12"/>
  <c r="X349" i="12"/>
  <c r="V349" i="12"/>
  <c r="U349" i="12"/>
  <c r="S349" i="12"/>
  <c r="Q349" i="12"/>
  <c r="O349" i="12"/>
  <c r="K349" i="12"/>
  <c r="I349" i="12"/>
  <c r="H349" i="12"/>
  <c r="F349" i="12"/>
  <c r="D349" i="12"/>
  <c r="C349" i="12"/>
  <c r="E349" i="12"/>
  <c r="G349" i="12"/>
  <c r="J349" i="12"/>
  <c r="L349" i="12"/>
  <c r="M349" i="12"/>
  <c r="N349" i="12"/>
  <c r="P349" i="12"/>
  <c r="R349" i="12"/>
  <c r="T349" i="12"/>
  <c r="W349" i="12"/>
  <c r="X338" i="12"/>
  <c r="U338" i="12"/>
  <c r="S338" i="12"/>
  <c r="R338" i="12"/>
  <c r="Q338" i="12"/>
  <c r="O338" i="12"/>
  <c r="M338" i="12"/>
  <c r="I338" i="12"/>
  <c r="H338" i="12"/>
  <c r="F338" i="12"/>
  <c r="E338" i="12"/>
  <c r="D338" i="12"/>
  <c r="G338" i="12"/>
  <c r="J338" i="12"/>
  <c r="K338" i="12"/>
  <c r="L338" i="12"/>
  <c r="N338" i="12"/>
  <c r="P338" i="12"/>
  <c r="T338" i="12"/>
  <c r="V338" i="12"/>
  <c r="W338" i="12"/>
  <c r="Y338" i="12"/>
  <c r="B363" i="12" l="1"/>
  <c r="B364" i="12" s="1"/>
  <c r="B385" i="12"/>
  <c r="B386" i="12" s="1"/>
  <c r="AV388" i="12" s="1"/>
  <c r="B341" i="12"/>
  <c r="B342" i="12" s="1"/>
  <c r="B374" i="12"/>
  <c r="B375" i="12" s="1"/>
  <c r="B400" i="12"/>
  <c r="B401" i="12" s="1"/>
  <c r="B352" i="12"/>
  <c r="B353" i="12" s="1"/>
  <c r="C287" i="12"/>
  <c r="D287" i="12"/>
  <c r="E287" i="12"/>
  <c r="F287" i="12"/>
  <c r="G287" i="12"/>
  <c r="H287" i="12"/>
  <c r="I287" i="12"/>
  <c r="J287" i="12"/>
  <c r="K287" i="12"/>
  <c r="L287" i="12"/>
  <c r="M287" i="12"/>
  <c r="N287" i="12"/>
  <c r="O287" i="12"/>
  <c r="P287" i="12"/>
  <c r="Q287" i="12"/>
  <c r="R287" i="12"/>
  <c r="S287" i="12"/>
  <c r="T287" i="12"/>
  <c r="U287" i="12"/>
  <c r="V287" i="12"/>
  <c r="W287" i="12"/>
  <c r="X287" i="12"/>
  <c r="Y287" i="12"/>
  <c r="Z287" i="12"/>
  <c r="AA287" i="12"/>
  <c r="AB287" i="12"/>
  <c r="AC287" i="12"/>
  <c r="AD287" i="12"/>
  <c r="AE287" i="12"/>
  <c r="AF287" i="12"/>
  <c r="AG287" i="12"/>
  <c r="AH287" i="12"/>
  <c r="AI287" i="12"/>
  <c r="AJ287" i="12"/>
  <c r="AK287" i="12"/>
  <c r="AL287" i="12"/>
  <c r="AM287" i="12"/>
  <c r="AN287" i="12"/>
  <c r="AO287" i="12"/>
  <c r="AP287" i="12"/>
  <c r="AQ287" i="12"/>
  <c r="AR287" i="12"/>
  <c r="AS287" i="12"/>
  <c r="AT287" i="12"/>
  <c r="AU287" i="12"/>
  <c r="AV287" i="12"/>
  <c r="AW287" i="12"/>
  <c r="B287" i="12"/>
  <c r="C276" i="12"/>
  <c r="D276" i="12"/>
  <c r="E276" i="12"/>
  <c r="F276" i="12"/>
  <c r="G276" i="12"/>
  <c r="H276" i="12"/>
  <c r="I276" i="12"/>
  <c r="J276" i="12"/>
  <c r="K276" i="12"/>
  <c r="L276" i="12"/>
  <c r="M276" i="12"/>
  <c r="N276" i="12"/>
  <c r="O276" i="12"/>
  <c r="P276" i="12"/>
  <c r="Q276" i="12"/>
  <c r="R276" i="12"/>
  <c r="S276" i="12"/>
  <c r="T276" i="12"/>
  <c r="U276" i="12"/>
  <c r="V276" i="12"/>
  <c r="W276" i="12"/>
  <c r="X276" i="12"/>
  <c r="Y276" i="12"/>
  <c r="Z276" i="12"/>
  <c r="AA276" i="12"/>
  <c r="AB276" i="12"/>
  <c r="AC276" i="12"/>
  <c r="AD276" i="12"/>
  <c r="AE276" i="12"/>
  <c r="AF276" i="12"/>
  <c r="AG276" i="12"/>
  <c r="AH276" i="12"/>
  <c r="AI276" i="12"/>
  <c r="AJ276" i="12"/>
  <c r="AK276" i="12"/>
  <c r="AL276" i="12"/>
  <c r="AM276" i="12"/>
  <c r="AN276" i="12"/>
  <c r="AO276" i="12"/>
  <c r="AP276" i="12"/>
  <c r="AQ276" i="12"/>
  <c r="AR276" i="12"/>
  <c r="AS276" i="12"/>
  <c r="AT276" i="12"/>
  <c r="AU276" i="12"/>
  <c r="AV276" i="12"/>
  <c r="AW276" i="12"/>
  <c r="B276" i="12"/>
  <c r="X307" i="12"/>
  <c r="R307" i="12"/>
  <c r="P307" i="12"/>
  <c r="L307" i="12"/>
  <c r="K307" i="12"/>
  <c r="J307" i="12"/>
  <c r="I307" i="12"/>
  <c r="C307" i="12"/>
  <c r="D307" i="12"/>
  <c r="E307" i="12"/>
  <c r="F307" i="12"/>
  <c r="G307" i="12"/>
  <c r="H307" i="12"/>
  <c r="M307" i="12"/>
  <c r="N307" i="12"/>
  <c r="O307" i="12"/>
  <c r="Q307" i="12"/>
  <c r="S307" i="12"/>
  <c r="T307" i="12"/>
  <c r="U307" i="12"/>
  <c r="V307" i="12"/>
  <c r="W307" i="12"/>
  <c r="Y307" i="12"/>
  <c r="X296" i="12"/>
  <c r="V296" i="12"/>
  <c r="U296" i="12"/>
  <c r="P296" i="12"/>
  <c r="O296" i="12"/>
  <c r="L296" i="12"/>
  <c r="J296" i="12"/>
  <c r="I296" i="12"/>
  <c r="G296" i="12"/>
  <c r="F296" i="12"/>
  <c r="D296" i="12"/>
  <c r="E296" i="12"/>
  <c r="H296" i="12"/>
  <c r="K296" i="12"/>
  <c r="M296" i="12"/>
  <c r="N296" i="12"/>
  <c r="Q296" i="12"/>
  <c r="R296" i="12"/>
  <c r="S296" i="12"/>
  <c r="T296" i="12"/>
  <c r="W296" i="12"/>
  <c r="Y296" i="12"/>
  <c r="C296" i="12"/>
  <c r="X285" i="12"/>
  <c r="W285" i="12"/>
  <c r="V285" i="12"/>
  <c r="L285" i="12"/>
  <c r="K285" i="12"/>
  <c r="I285" i="12"/>
  <c r="H285" i="12"/>
  <c r="D285" i="12"/>
  <c r="E285" i="12"/>
  <c r="F285" i="12"/>
  <c r="G285" i="12"/>
  <c r="J285" i="12"/>
  <c r="M285" i="12"/>
  <c r="N285" i="12"/>
  <c r="O285" i="12"/>
  <c r="P285" i="12"/>
  <c r="Q285" i="12"/>
  <c r="R285" i="12"/>
  <c r="S285" i="12"/>
  <c r="T285" i="12"/>
  <c r="U285" i="12"/>
  <c r="Y285" i="12"/>
  <c r="C285" i="12"/>
  <c r="Y274" i="12"/>
  <c r="X274" i="12"/>
  <c r="V274" i="12"/>
  <c r="U274" i="12"/>
  <c r="R274" i="12"/>
  <c r="L274" i="12"/>
  <c r="J274" i="12"/>
  <c r="I274" i="12"/>
  <c r="G274" i="12"/>
  <c r="F274" i="12"/>
  <c r="D274" i="12"/>
  <c r="E274" i="12"/>
  <c r="H274" i="12"/>
  <c r="K274" i="12"/>
  <c r="M274" i="12"/>
  <c r="N274" i="12"/>
  <c r="O274" i="12"/>
  <c r="P274" i="12"/>
  <c r="Q274" i="12"/>
  <c r="S274" i="12"/>
  <c r="T274" i="12"/>
  <c r="W274" i="12"/>
  <c r="C274" i="12"/>
  <c r="B4" i="29"/>
  <c r="J41" i="34"/>
  <c r="B5" i="46"/>
  <c r="H365" i="12" l="1"/>
  <c r="B366" i="12"/>
  <c r="E404" i="12"/>
  <c r="C407" i="12"/>
  <c r="S407" i="12"/>
  <c r="AI407" i="12"/>
  <c r="D406" i="12"/>
  <c r="T406" i="12"/>
  <c r="AJ406" i="12"/>
  <c r="C405" i="12"/>
  <c r="S405" i="12"/>
  <c r="AI405" i="12"/>
  <c r="AD404" i="12"/>
  <c r="V406" i="12"/>
  <c r="B407" i="12"/>
  <c r="AG405" i="12"/>
  <c r="N407" i="12"/>
  <c r="AD407" i="12"/>
  <c r="AT407" i="12"/>
  <c r="AI406" i="12"/>
  <c r="R405" i="12"/>
  <c r="AT405" i="12"/>
  <c r="L407" i="12"/>
  <c r="AB407" i="12"/>
  <c r="AR407" i="12"/>
  <c r="M406" i="12"/>
  <c r="AC406" i="12"/>
  <c r="AS406" i="12"/>
  <c r="L405" i="12"/>
  <c r="AB405" i="12"/>
  <c r="AR405" i="12"/>
  <c r="I407" i="12"/>
  <c r="Y407" i="12"/>
  <c r="AO407" i="12"/>
  <c r="N406" i="12"/>
  <c r="AT406" i="12"/>
  <c r="AC405" i="12"/>
  <c r="J407" i="12"/>
  <c r="AA406" i="12"/>
  <c r="F405" i="12"/>
  <c r="AP405" i="12"/>
  <c r="C404" i="12"/>
  <c r="AA404" i="12"/>
  <c r="R404" i="12"/>
  <c r="AV404" i="12"/>
  <c r="O404" i="12"/>
  <c r="AU404" i="12"/>
  <c r="L404" i="12"/>
  <c r="U404" i="12"/>
  <c r="X404" i="12"/>
  <c r="AW404" i="12"/>
  <c r="K407" i="12"/>
  <c r="AB406" i="12"/>
  <c r="K405" i="12"/>
  <c r="AQ405" i="12"/>
  <c r="AL406" i="12"/>
  <c r="AW405" i="12"/>
  <c r="O406" i="12"/>
  <c r="D407" i="12"/>
  <c r="AJ407" i="12"/>
  <c r="U406" i="12"/>
  <c r="D405" i="12"/>
  <c r="AJ405" i="12"/>
  <c r="Q407" i="12"/>
  <c r="AW407" i="12"/>
  <c r="M405" i="12"/>
  <c r="K406" i="12"/>
  <c r="V405" i="12"/>
  <c r="T404" i="12"/>
  <c r="F404" i="12"/>
  <c r="Y404" i="12"/>
  <c r="G404" i="12"/>
  <c r="AI404" i="12"/>
  <c r="AE407" i="12"/>
  <c r="AF406" i="12"/>
  <c r="AE405" i="12"/>
  <c r="J406" i="12"/>
  <c r="Y405" i="12"/>
  <c r="Z407" i="12"/>
  <c r="W406" i="12"/>
  <c r="AL405" i="12"/>
  <c r="X407" i="12"/>
  <c r="I406" i="12"/>
  <c r="AO406" i="12"/>
  <c r="X405" i="12"/>
  <c r="B405" i="12"/>
  <c r="AK407" i="12"/>
  <c r="AH406" i="12"/>
  <c r="G407" i="12"/>
  <c r="W407" i="12"/>
  <c r="AM407" i="12"/>
  <c r="H406" i="12"/>
  <c r="X406" i="12"/>
  <c r="AN406" i="12"/>
  <c r="G405" i="12"/>
  <c r="W405" i="12"/>
  <c r="AM405" i="12"/>
  <c r="AT404" i="12"/>
  <c r="AD406" i="12"/>
  <c r="I405" i="12"/>
  <c r="AO405" i="12"/>
  <c r="R407" i="12"/>
  <c r="AH407" i="12"/>
  <c r="G406" i="12"/>
  <c r="AQ406" i="12"/>
  <c r="Z405" i="12"/>
  <c r="AP404" i="12"/>
  <c r="P407" i="12"/>
  <c r="AF407" i="12"/>
  <c r="AV407" i="12"/>
  <c r="Q406" i="12"/>
  <c r="AG406" i="12"/>
  <c r="AW406" i="12"/>
  <c r="P405" i="12"/>
  <c r="AF405" i="12"/>
  <c r="AV405" i="12"/>
  <c r="M407" i="12"/>
  <c r="AC407" i="12"/>
  <c r="AS407" i="12"/>
  <c r="R406" i="12"/>
  <c r="E405" i="12"/>
  <c r="AK405" i="12"/>
  <c r="C406" i="12"/>
  <c r="AE406" i="12"/>
  <c r="N405" i="12"/>
  <c r="Z404" i="12"/>
  <c r="AJ404" i="12"/>
  <c r="AS404" i="12"/>
  <c r="V404" i="12"/>
  <c r="AF404" i="12"/>
  <c r="AO404" i="12"/>
  <c r="S404" i="12"/>
  <c r="AQ404" i="12"/>
  <c r="AM404" i="12"/>
  <c r="K404" i="12"/>
  <c r="N404" i="12"/>
  <c r="AA407" i="12"/>
  <c r="AQ407" i="12"/>
  <c r="L406" i="12"/>
  <c r="AR406" i="12"/>
  <c r="AA405" i="12"/>
  <c r="E407" i="12"/>
  <c r="Q405" i="12"/>
  <c r="V407" i="12"/>
  <c r="AL407" i="12"/>
  <c r="B406" i="12"/>
  <c r="AD405" i="12"/>
  <c r="T407" i="12"/>
  <c r="E406" i="12"/>
  <c r="AK406" i="12"/>
  <c r="T405" i="12"/>
  <c r="AH404" i="12"/>
  <c r="AG407" i="12"/>
  <c r="Z406" i="12"/>
  <c r="AS405" i="12"/>
  <c r="AM406" i="12"/>
  <c r="J404" i="12"/>
  <c r="AC404" i="12"/>
  <c r="P404" i="12"/>
  <c r="AR404" i="12"/>
  <c r="H404" i="12"/>
  <c r="AG404" i="12"/>
  <c r="O407" i="12"/>
  <c r="AU407" i="12"/>
  <c r="P406" i="12"/>
  <c r="AV406" i="12"/>
  <c r="O405" i="12"/>
  <c r="AU405" i="12"/>
  <c r="AP406" i="12"/>
  <c r="F407" i="12"/>
  <c r="AP407" i="12"/>
  <c r="J405" i="12"/>
  <c r="H407" i="12"/>
  <c r="AN407" i="12"/>
  <c r="Y406" i="12"/>
  <c r="H405" i="12"/>
  <c r="AN405" i="12"/>
  <c r="U407" i="12"/>
  <c r="F406" i="12"/>
  <c r="U405" i="12"/>
  <c r="AL404" i="12"/>
  <c r="AE404" i="12"/>
  <c r="B404" i="12"/>
  <c r="Q404" i="12"/>
  <c r="S406" i="12"/>
  <c r="D404" i="12"/>
  <c r="I404" i="12"/>
  <c r="AN404" i="12"/>
  <c r="AU406" i="12"/>
  <c r="M404" i="12"/>
  <c r="AB404" i="12"/>
  <c r="AH405" i="12"/>
  <c r="W404" i="12"/>
  <c r="AK404" i="12"/>
  <c r="R403" i="12"/>
  <c r="AH403" i="12"/>
  <c r="B403" i="12"/>
  <c r="R402" i="12"/>
  <c r="AH402" i="12"/>
  <c r="B402" i="12"/>
  <c r="AR402" i="12"/>
  <c r="E403" i="12"/>
  <c r="U403" i="12"/>
  <c r="AK403" i="12"/>
  <c r="E402" i="12"/>
  <c r="U402" i="12"/>
  <c r="AK402" i="12"/>
  <c r="D403" i="12"/>
  <c r="X403" i="12"/>
  <c r="AN403" i="12"/>
  <c r="H402" i="12"/>
  <c r="AB402" i="12"/>
  <c r="C403" i="12"/>
  <c r="W403" i="12"/>
  <c r="AM403" i="12"/>
  <c r="G402" i="12"/>
  <c r="W402" i="12"/>
  <c r="AQ402" i="12"/>
  <c r="N403" i="12"/>
  <c r="AD403" i="12"/>
  <c r="AT403" i="12"/>
  <c r="N402" i="12"/>
  <c r="AD402" i="12"/>
  <c r="AT402" i="12"/>
  <c r="AF402" i="12"/>
  <c r="AU402" i="12"/>
  <c r="Q403" i="12"/>
  <c r="AG403" i="12"/>
  <c r="AW403" i="12"/>
  <c r="Q402" i="12"/>
  <c r="AG402" i="12"/>
  <c r="AW402" i="12"/>
  <c r="T403" i="12"/>
  <c r="AJ403" i="12"/>
  <c r="D402" i="12"/>
  <c r="X402" i="12"/>
  <c r="AV402" i="12"/>
  <c r="S403" i="12"/>
  <c r="AI403" i="12"/>
  <c r="C402" i="12"/>
  <c r="S402" i="12"/>
  <c r="AM402" i="12"/>
  <c r="J403" i="12"/>
  <c r="Z403" i="12"/>
  <c r="AP403" i="12"/>
  <c r="J402" i="12"/>
  <c r="Z402" i="12"/>
  <c r="AP402" i="12"/>
  <c r="T402" i="12"/>
  <c r="AE402" i="12"/>
  <c r="M403" i="12"/>
  <c r="AC403" i="12"/>
  <c r="AS403" i="12"/>
  <c r="M402" i="12"/>
  <c r="AC402" i="12"/>
  <c r="AS402" i="12"/>
  <c r="P403" i="12"/>
  <c r="AF403" i="12"/>
  <c r="AV403" i="12"/>
  <c r="P402" i="12"/>
  <c r="AN402" i="12"/>
  <c r="O403" i="12"/>
  <c r="AE403" i="12"/>
  <c r="AU403" i="12"/>
  <c r="O402" i="12"/>
  <c r="AI402" i="12"/>
  <c r="F403" i="12"/>
  <c r="V403" i="12"/>
  <c r="AL403" i="12"/>
  <c r="F402" i="12"/>
  <c r="V402" i="12"/>
  <c r="AL402" i="12"/>
  <c r="H403" i="12"/>
  <c r="G403" i="12"/>
  <c r="I403" i="12"/>
  <c r="Y403" i="12"/>
  <c r="AO403" i="12"/>
  <c r="I402" i="12"/>
  <c r="Y402" i="12"/>
  <c r="AO402" i="12"/>
  <c r="L403" i="12"/>
  <c r="AB403" i="12"/>
  <c r="AR403" i="12"/>
  <c r="L402" i="12"/>
  <c r="AJ402" i="12"/>
  <c r="K403" i="12"/>
  <c r="AA403" i="12"/>
  <c r="AQ403" i="12"/>
  <c r="K402" i="12"/>
  <c r="AA402" i="12"/>
  <c r="AK366" i="12"/>
  <c r="AJ388" i="12"/>
  <c r="F388" i="12"/>
  <c r="AM388" i="12"/>
  <c r="AW387" i="12"/>
  <c r="AB388" i="12"/>
  <c r="AW388" i="12"/>
  <c r="AG388" i="12"/>
  <c r="X388" i="12"/>
  <c r="K388" i="12"/>
  <c r="R387" i="12"/>
  <c r="AF387" i="12"/>
  <c r="AK388" i="12"/>
  <c r="AJ387" i="12"/>
  <c r="AB387" i="12"/>
  <c r="V388" i="12"/>
  <c r="Y388" i="12"/>
  <c r="E388" i="12"/>
  <c r="G388" i="12"/>
  <c r="AC387" i="12"/>
  <c r="AA388" i="12"/>
  <c r="AI387" i="12"/>
  <c r="AD387" i="12"/>
  <c r="Z387" i="12"/>
  <c r="AU387" i="12"/>
  <c r="F387" i="12"/>
  <c r="H388" i="12"/>
  <c r="O387" i="12"/>
  <c r="AU388" i="12"/>
  <c r="Y387" i="12"/>
  <c r="AA387" i="12"/>
  <c r="AT388" i="12"/>
  <c r="AL388" i="12"/>
  <c r="AH388" i="12"/>
  <c r="AS387" i="12"/>
  <c r="J387" i="12"/>
  <c r="D387" i="12"/>
  <c r="AS388" i="12"/>
  <c r="B387" i="12"/>
  <c r="AF388" i="12"/>
  <c r="AR387" i="12"/>
  <c r="U388" i="12"/>
  <c r="W388" i="12"/>
  <c r="AG387" i="12"/>
  <c r="AQ387" i="12"/>
  <c r="M388" i="12"/>
  <c r="Q388" i="12"/>
  <c r="I388" i="12"/>
  <c r="T387" i="12"/>
  <c r="N387" i="12"/>
  <c r="I387" i="12"/>
  <c r="AK387" i="12"/>
  <c r="N388" i="12"/>
  <c r="J388" i="12"/>
  <c r="D388" i="12"/>
  <c r="M387" i="12"/>
  <c r="G387" i="12"/>
  <c r="AN387" i="12"/>
  <c r="R388" i="12"/>
  <c r="C387" i="12"/>
  <c r="U365" i="12"/>
  <c r="AC365" i="12"/>
  <c r="AR388" i="12"/>
  <c r="AH387" i="12"/>
  <c r="O388" i="12"/>
  <c r="V387" i="12"/>
  <c r="C388" i="12"/>
  <c r="AD388" i="12"/>
  <c r="L387" i="12"/>
  <c r="AM387" i="12"/>
  <c r="T388" i="12"/>
  <c r="AE387" i="12"/>
  <c r="L388" i="12"/>
  <c r="W387" i="12"/>
  <c r="AI388" i="12"/>
  <c r="AT387" i="12"/>
  <c r="AP387" i="12"/>
  <c r="E387" i="12"/>
  <c r="Q387" i="12"/>
  <c r="AN388" i="12"/>
  <c r="P388" i="12"/>
  <c r="X387" i="12"/>
  <c r="AG365" i="12"/>
  <c r="O366" i="12"/>
  <c r="AS366" i="12"/>
  <c r="G365" i="12"/>
  <c r="M365" i="12"/>
  <c r="AO366" i="12"/>
  <c r="AT365" i="12"/>
  <c r="S366" i="12"/>
  <c r="F366" i="12"/>
  <c r="M366" i="12"/>
  <c r="AP366" i="12"/>
  <c r="AL366" i="12"/>
  <c r="AJ366" i="12"/>
  <c r="AM365" i="12"/>
  <c r="Q366" i="12"/>
  <c r="AB366" i="12"/>
  <c r="W365" i="12"/>
  <c r="AW365" i="12"/>
  <c r="T366" i="12"/>
  <c r="AN365" i="12"/>
  <c r="AE365" i="12"/>
  <c r="O365" i="12"/>
  <c r="L366" i="12"/>
  <c r="B365" i="12"/>
  <c r="AC366" i="12"/>
  <c r="Q365" i="12"/>
  <c r="AT366" i="12"/>
  <c r="K366" i="12"/>
  <c r="E366" i="12"/>
  <c r="J365" i="12"/>
  <c r="Z366" i="12"/>
  <c r="AM366" i="12"/>
  <c r="AK365" i="12"/>
  <c r="R366" i="12"/>
  <c r="AV365" i="12"/>
  <c r="N366" i="12"/>
  <c r="AE366" i="12"/>
  <c r="V366" i="12"/>
  <c r="AO365" i="12"/>
  <c r="X366" i="12"/>
  <c r="AI366" i="12"/>
  <c r="X365" i="12"/>
  <c r="H366" i="12"/>
  <c r="AA366" i="12"/>
  <c r="Z365" i="12"/>
  <c r="E365" i="12"/>
  <c r="P365" i="12"/>
  <c r="I365" i="12"/>
  <c r="AB365" i="12"/>
  <c r="R365" i="12"/>
  <c r="V365" i="12"/>
  <c r="C366" i="12"/>
  <c r="G366" i="12"/>
  <c r="N365" i="12"/>
  <c r="AQ365" i="12"/>
  <c r="AF365" i="12"/>
  <c r="F365" i="12"/>
  <c r="AI365" i="12"/>
  <c r="I366" i="12"/>
  <c r="AG366" i="12"/>
  <c r="AH365" i="12"/>
  <c r="AQ366" i="12"/>
  <c r="AP365" i="12"/>
  <c r="K365" i="12"/>
  <c r="AJ365" i="12"/>
  <c r="AD365" i="12"/>
  <c r="Y366" i="12"/>
  <c r="AH366" i="12"/>
  <c r="AS365" i="12"/>
  <c r="S365" i="12"/>
  <c r="J366" i="12"/>
  <c r="D366" i="12"/>
  <c r="P366" i="12"/>
  <c r="AA365" i="12"/>
  <c r="Y365" i="12"/>
  <c r="AR365" i="12"/>
  <c r="W366" i="12"/>
  <c r="U366" i="12"/>
  <c r="C365" i="12"/>
  <c r="AU365" i="12"/>
  <c r="AR366" i="12"/>
  <c r="AL365" i="12"/>
  <c r="AV366" i="12"/>
  <c r="T365" i="12"/>
  <c r="AU366" i="12"/>
  <c r="AN366" i="12"/>
  <c r="L365" i="12"/>
  <c r="AD366" i="12"/>
  <c r="AF366" i="12"/>
  <c r="D365" i="12"/>
  <c r="AW366" i="12"/>
  <c r="AQ388" i="12"/>
  <c r="AO388" i="12"/>
  <c r="U387" i="12"/>
  <c r="B388" i="12"/>
  <c r="AC388" i="12"/>
  <c r="H387" i="12"/>
  <c r="AL387" i="12"/>
  <c r="S388" i="12"/>
  <c r="AP388" i="12"/>
  <c r="P387" i="12"/>
  <c r="K387" i="12"/>
  <c r="AV387" i="12"/>
  <c r="AO387" i="12"/>
  <c r="Z388" i="12"/>
  <c r="S387" i="12"/>
  <c r="AE388" i="12"/>
  <c r="C344" i="12"/>
  <c r="T343" i="12"/>
  <c r="AJ344" i="12"/>
  <c r="E344" i="12"/>
  <c r="V343" i="12"/>
  <c r="Y344" i="12"/>
  <c r="AP343" i="12"/>
  <c r="O344" i="12"/>
  <c r="P344" i="12"/>
  <c r="C343" i="12"/>
  <c r="AM343" i="12"/>
  <c r="K343" i="12"/>
  <c r="S344" i="12"/>
  <c r="E343" i="12"/>
  <c r="AL343" i="12"/>
  <c r="AO344" i="12"/>
  <c r="AU344" i="12"/>
  <c r="AI343" i="12"/>
  <c r="X344" i="12"/>
  <c r="AR343" i="12"/>
  <c r="AC344" i="12"/>
  <c r="AD344" i="12"/>
  <c r="B343" i="12"/>
  <c r="AI344" i="12"/>
  <c r="AK344" i="12"/>
  <c r="AT344" i="12"/>
  <c r="V344" i="12"/>
  <c r="K344" i="12"/>
  <c r="AB343" i="12"/>
  <c r="AR344" i="12"/>
  <c r="M344" i="12"/>
  <c r="AD343" i="12"/>
  <c r="AG344" i="12"/>
  <c r="B344" i="12"/>
  <c r="AE344" i="12"/>
  <c r="AF344" i="12"/>
  <c r="S343" i="12"/>
  <c r="W344" i="12"/>
  <c r="G344" i="12"/>
  <c r="AJ343" i="12"/>
  <c r="U344" i="12"/>
  <c r="J344" i="12"/>
  <c r="AV344" i="12"/>
  <c r="AM344" i="12"/>
  <c r="AT343" i="12"/>
  <c r="H343" i="12"/>
  <c r="D344" i="12"/>
  <c r="U343" i="12"/>
  <c r="J343" i="12"/>
  <c r="AG343" i="12"/>
  <c r="I343" i="12"/>
  <c r="AQ344" i="12"/>
  <c r="L344" i="12"/>
  <c r="AC343" i="12"/>
  <c r="AS344" i="12"/>
  <c r="N344" i="12"/>
  <c r="R343" i="12"/>
  <c r="O343" i="12"/>
  <c r="AV343" i="12"/>
  <c r="AW343" i="12"/>
  <c r="AL344" i="12"/>
  <c r="AN343" i="12"/>
  <c r="Y343" i="12"/>
  <c r="L343" i="12"/>
  <c r="AB344" i="12"/>
  <c r="AS343" i="12"/>
  <c r="N343" i="12"/>
  <c r="Q344" i="12"/>
  <c r="AH343" i="12"/>
  <c r="AU343" i="12"/>
  <c r="AQ343" i="12"/>
  <c r="AH344" i="12"/>
  <c r="W343" i="12"/>
  <c r="AP344" i="12"/>
  <c r="AA343" i="12"/>
  <c r="AA344" i="12"/>
  <c r="AW344" i="12"/>
  <c r="Q343" i="12"/>
  <c r="F344" i="12"/>
  <c r="X343" i="12"/>
  <c r="D343" i="12"/>
  <c r="T344" i="12"/>
  <c r="AK343" i="12"/>
  <c r="F343" i="12"/>
  <c r="I344" i="12"/>
  <c r="Z343" i="12"/>
  <c r="AE343" i="12"/>
  <c r="Z344" i="12"/>
  <c r="R344" i="12"/>
  <c r="G343" i="12"/>
  <c r="H344" i="12"/>
  <c r="AO343" i="12"/>
  <c r="M343" i="12"/>
  <c r="P343" i="12"/>
  <c r="AN344" i="12"/>
  <c r="AF343" i="12"/>
  <c r="AN355" i="12"/>
  <c r="R355" i="12"/>
  <c r="O354" i="12"/>
  <c r="AH354" i="12"/>
  <c r="AF354" i="12"/>
  <c r="AE355" i="12"/>
  <c r="W354" i="12"/>
  <c r="AQ355" i="12"/>
  <c r="L355" i="12"/>
  <c r="AB354" i="12"/>
  <c r="AS355" i="12"/>
  <c r="V355" i="12"/>
  <c r="AL354" i="12"/>
  <c r="I354" i="12"/>
  <c r="J354" i="12"/>
  <c r="B354" i="12"/>
  <c r="J355" i="12"/>
  <c r="AV355" i="12"/>
  <c r="C354" i="12"/>
  <c r="T355" i="12"/>
  <c r="AJ354" i="12"/>
  <c r="E354" i="12"/>
  <c r="AD355" i="12"/>
  <c r="AT354" i="12"/>
  <c r="Q354" i="12"/>
  <c r="AN354" i="12"/>
  <c r="AM355" i="12"/>
  <c r="AE354" i="12"/>
  <c r="Z355" i="12"/>
  <c r="K354" i="12"/>
  <c r="AB355" i="12"/>
  <c r="AR354" i="12"/>
  <c r="M354" i="12"/>
  <c r="AL355" i="12"/>
  <c r="I355" i="12"/>
  <c r="Y354" i="12"/>
  <c r="R354" i="12"/>
  <c r="P355" i="12"/>
  <c r="H354" i="12"/>
  <c r="AV354" i="12"/>
  <c r="C355" i="12"/>
  <c r="S354" i="12"/>
  <c r="AJ355" i="12"/>
  <c r="E355" i="12"/>
  <c r="U354" i="12"/>
  <c r="AT355" i="12"/>
  <c r="Q355" i="12"/>
  <c r="AG354" i="12"/>
  <c r="AU355" i="12"/>
  <c r="AM354" i="12"/>
  <c r="AH355" i="12"/>
  <c r="Z354" i="12"/>
  <c r="K355" i="12"/>
  <c r="AA354" i="12"/>
  <c r="AR355" i="12"/>
  <c r="M355" i="12"/>
  <c r="AC354" i="12"/>
  <c r="F354" i="12"/>
  <c r="Y355" i="12"/>
  <c r="AO354" i="12"/>
  <c r="X355" i="12"/>
  <c r="P354" i="12"/>
  <c r="O355" i="12"/>
  <c r="G354" i="12"/>
  <c r="AU354" i="12"/>
  <c r="S355" i="12"/>
  <c r="AI354" i="12"/>
  <c r="D354" i="12"/>
  <c r="U355" i="12"/>
  <c r="AK354" i="12"/>
  <c r="N354" i="12"/>
  <c r="AG355" i="12"/>
  <c r="AW354" i="12"/>
  <c r="G355" i="12"/>
  <c r="AP355" i="12"/>
  <c r="H355" i="12"/>
  <c r="AF355" i="12"/>
  <c r="X354" i="12"/>
  <c r="AA355" i="12"/>
  <c r="AQ354" i="12"/>
  <c r="L354" i="12"/>
  <c r="AC355" i="12"/>
  <c r="AS354" i="12"/>
  <c r="V354" i="12"/>
  <c r="AK355" i="12"/>
  <c r="N355" i="12"/>
  <c r="F355" i="12"/>
  <c r="B355" i="12"/>
  <c r="AD354" i="12"/>
  <c r="AP354" i="12"/>
  <c r="AO355" i="12"/>
  <c r="AW355" i="12"/>
  <c r="AI355" i="12"/>
  <c r="D355" i="12"/>
  <c r="T354" i="12"/>
  <c r="W355" i="12"/>
  <c r="B310" i="12"/>
  <c r="B311" i="12" s="1"/>
  <c r="J312" i="12" s="1"/>
  <c r="B299" i="12"/>
  <c r="B300" i="12" s="1"/>
  <c r="B277" i="12"/>
  <c r="B278" i="12" s="1"/>
  <c r="E280" i="12" s="1"/>
  <c r="B288" i="12"/>
  <c r="B289" i="12" s="1"/>
  <c r="K15" i="48"/>
  <c r="L15" i="48"/>
  <c r="M15" i="48"/>
  <c r="J15" i="48"/>
  <c r="Q301" i="12" l="1"/>
  <c r="I301" i="12"/>
  <c r="Z302" i="12"/>
  <c r="AI302" i="12"/>
  <c r="M302" i="12"/>
  <c r="AP301" i="12"/>
  <c r="B302" i="12"/>
  <c r="K302" i="12"/>
  <c r="U301" i="12"/>
  <c r="B301" i="12"/>
  <c r="AE301" i="12"/>
  <c r="AQ301" i="12"/>
  <c r="E302" i="12"/>
  <c r="AH301" i="12"/>
  <c r="K301" i="12"/>
  <c r="C302" i="12"/>
  <c r="AB301" i="12"/>
  <c r="N301" i="12"/>
  <c r="G301" i="12"/>
  <c r="AK302" i="12"/>
  <c r="M301" i="12"/>
  <c r="AE302" i="12"/>
  <c r="AS301" i="12"/>
  <c r="G302" i="12"/>
  <c r="J301" i="12"/>
  <c r="Y302" i="12"/>
  <c r="P302" i="12"/>
  <c r="AR301" i="12"/>
  <c r="V301" i="12"/>
  <c r="C301" i="12"/>
  <c r="AF302" i="12"/>
  <c r="T301" i="12"/>
  <c r="AW302" i="12"/>
  <c r="T302" i="12"/>
  <c r="AL302" i="12"/>
  <c r="AM302" i="12"/>
  <c r="AC302" i="12"/>
  <c r="R302" i="12"/>
  <c r="AN302" i="12"/>
  <c r="AC301" i="12"/>
  <c r="AT301" i="12"/>
  <c r="AI301" i="12"/>
  <c r="O301" i="12"/>
  <c r="W302" i="12"/>
  <c r="AV301" i="12"/>
  <c r="H302" i="12"/>
  <c r="X302" i="12"/>
  <c r="P301" i="12"/>
  <c r="AA301" i="12"/>
  <c r="Y301" i="12"/>
  <c r="AK301" i="12"/>
  <c r="AN301" i="12"/>
  <c r="R301" i="12"/>
  <c r="AT302" i="12"/>
  <c r="H301" i="12"/>
  <c r="AG302" i="12"/>
  <c r="AU301" i="12"/>
  <c r="F302" i="12"/>
  <c r="AR302" i="12"/>
  <c r="AQ302" i="12"/>
  <c r="AB302" i="12"/>
  <c r="F291" i="12"/>
  <c r="V290" i="12"/>
  <c r="AN291" i="12"/>
  <c r="J291" i="12"/>
  <c r="Z290" i="12"/>
  <c r="AI291" i="12"/>
  <c r="AG291" i="12"/>
  <c r="K290" i="12"/>
  <c r="M290" i="12"/>
  <c r="AB290" i="12"/>
  <c r="AQ290" i="12"/>
  <c r="L291" i="12"/>
  <c r="AC291" i="12"/>
  <c r="AM290" i="12"/>
  <c r="AQ291" i="12"/>
  <c r="AT290" i="12"/>
  <c r="AH291" i="12"/>
  <c r="AR291" i="12"/>
  <c r="Y290" i="12"/>
  <c r="AO291" i="12"/>
  <c r="T290" i="12"/>
  <c r="N291" i="12"/>
  <c r="AD290" i="12"/>
  <c r="AV291" i="12"/>
  <c r="R291" i="12"/>
  <c r="AH290" i="12"/>
  <c r="M291" i="12"/>
  <c r="AU291" i="12"/>
  <c r="W290" i="12"/>
  <c r="AA290" i="12"/>
  <c r="AO290" i="12"/>
  <c r="I291" i="12"/>
  <c r="AB291" i="12"/>
  <c r="V291" i="12"/>
  <c r="AL290" i="12"/>
  <c r="H290" i="12"/>
  <c r="Z291" i="12"/>
  <c r="AP290" i="12"/>
  <c r="L290" i="12"/>
  <c r="AJ290" i="12"/>
  <c r="G291" i="12"/>
  <c r="Y291" i="12"/>
  <c r="AD291" i="12"/>
  <c r="P290" i="12"/>
  <c r="B290" i="12"/>
  <c r="AW290" i="12"/>
  <c r="G290" i="12"/>
  <c r="AL291" i="12"/>
  <c r="I290" i="12"/>
  <c r="U291" i="12"/>
  <c r="AT291" i="12"/>
  <c r="P291" i="12"/>
  <c r="AF290" i="12"/>
  <c r="B291" i="12"/>
  <c r="K291" i="12"/>
  <c r="U290" i="12"/>
  <c r="O291" i="12"/>
  <c r="T291" i="12"/>
  <c r="AK291" i="12"/>
  <c r="D290" i="12"/>
  <c r="S290" i="12"/>
  <c r="AG290" i="12"/>
  <c r="D291" i="12"/>
  <c r="AF291" i="12"/>
  <c r="R290" i="12"/>
  <c r="Q291" i="12"/>
  <c r="AW291" i="12"/>
  <c r="AC290" i="12"/>
  <c r="E291" i="12"/>
  <c r="H291" i="12"/>
  <c r="AP291" i="12"/>
  <c r="AI290" i="12"/>
  <c r="AM291" i="12"/>
  <c r="F290" i="12"/>
  <c r="X291" i="12"/>
  <c r="AN290" i="12"/>
  <c r="J290" i="12"/>
  <c r="S291" i="12"/>
  <c r="AU290" i="12"/>
  <c r="AE291" i="12"/>
  <c r="AJ291" i="12"/>
  <c r="C290" i="12"/>
  <c r="Q290" i="12"/>
  <c r="AE290" i="12"/>
  <c r="AS290" i="12"/>
  <c r="N290" i="12"/>
  <c r="AV290" i="12"/>
  <c r="AA291" i="12"/>
  <c r="AS291" i="12"/>
  <c r="O290" i="12"/>
  <c r="AR290" i="12"/>
  <c r="W291" i="12"/>
  <c r="X290" i="12"/>
  <c r="C291" i="12"/>
  <c r="AK290" i="12"/>
  <c r="E290" i="12"/>
  <c r="AS302" i="12"/>
  <c r="X301" i="12"/>
  <c r="S301" i="12"/>
  <c r="W301" i="12"/>
  <c r="D301" i="12"/>
  <c r="AD301" i="12"/>
  <c r="I302" i="12"/>
  <c r="AH302" i="12"/>
  <c r="E301" i="12"/>
  <c r="S302" i="12"/>
  <c r="AM301" i="12"/>
  <c r="AG301" i="12"/>
  <c r="O302" i="12"/>
  <c r="AO302" i="12"/>
  <c r="L302" i="12"/>
  <c r="D302" i="12"/>
  <c r="U302" i="12"/>
  <c r="AU302" i="12"/>
  <c r="Z301" i="12"/>
  <c r="AW301" i="12"/>
  <c r="AO301" i="12"/>
  <c r="AJ301" i="12"/>
  <c r="N302" i="12"/>
  <c r="V302" i="12"/>
  <c r="AF301" i="12"/>
  <c r="J302" i="12"/>
  <c r="AV302" i="12"/>
  <c r="L301" i="12"/>
  <c r="AL301" i="12"/>
  <c r="Q302" i="12"/>
  <c r="AP302" i="12"/>
  <c r="AD302" i="12"/>
  <c r="AA302" i="12"/>
  <c r="F301" i="12"/>
  <c r="AJ302" i="12"/>
  <c r="AE279" i="12"/>
  <c r="P279" i="12"/>
  <c r="AN279" i="12"/>
  <c r="AU279" i="12"/>
  <c r="AV279" i="12"/>
  <c r="B279" i="12"/>
  <c r="C280" i="12"/>
  <c r="K280" i="12"/>
  <c r="T279" i="12"/>
  <c r="S280" i="12"/>
  <c r="W279" i="12"/>
  <c r="C279" i="12"/>
  <c r="H280" i="12"/>
  <c r="AJ280" i="12"/>
  <c r="AF279" i="12"/>
  <c r="K279" i="12"/>
  <c r="I279" i="12"/>
  <c r="AC279" i="12"/>
  <c r="S279" i="12"/>
  <c r="Z280" i="12"/>
  <c r="W280" i="12"/>
  <c r="AB280" i="12"/>
  <c r="AG279" i="12"/>
  <c r="AE280" i="12"/>
  <c r="AR280" i="12"/>
  <c r="AA280" i="12"/>
  <c r="AH280" i="12"/>
  <c r="X279" i="12"/>
  <c r="AJ279" i="12"/>
  <c r="AA279" i="12"/>
  <c r="AH279" i="12"/>
  <c r="AP280" i="12"/>
  <c r="I280" i="12"/>
  <c r="E279" i="12"/>
  <c r="AI279" i="12"/>
  <c r="AP279" i="12"/>
  <c r="B280" i="12"/>
  <c r="AW280" i="12"/>
  <c r="AT280" i="12"/>
  <c r="AQ279" i="12"/>
  <c r="D280" i="12"/>
  <c r="AI280" i="12"/>
  <c r="AW279" i="12"/>
  <c r="Q279" i="12"/>
  <c r="Q280" i="12"/>
  <c r="P280" i="12"/>
  <c r="AM280" i="12"/>
  <c r="AK279" i="12"/>
  <c r="M279" i="12"/>
  <c r="M280" i="12"/>
  <c r="D279" i="12"/>
  <c r="L280" i="12"/>
  <c r="AQ280" i="12"/>
  <c r="J279" i="12"/>
  <c r="J280" i="12"/>
  <c r="Y280" i="12"/>
  <c r="X280" i="12"/>
  <c r="AU280" i="12"/>
  <c r="AS279" i="12"/>
  <c r="U279" i="12"/>
  <c r="U280" i="12"/>
  <c r="L279" i="12"/>
  <c r="T280" i="12"/>
  <c r="Z279" i="12"/>
  <c r="R279" i="12"/>
  <c r="R280" i="12"/>
  <c r="AO280" i="12"/>
  <c r="AF280" i="12"/>
  <c r="AD279" i="12"/>
  <c r="F279" i="12"/>
  <c r="F280" i="12"/>
  <c r="AC280" i="12"/>
  <c r="AV280" i="12"/>
  <c r="AL279" i="12"/>
  <c r="N279" i="12"/>
  <c r="N280" i="12"/>
  <c r="AK280" i="12"/>
  <c r="AM279" i="12"/>
  <c r="G279" i="12"/>
  <c r="V279" i="12"/>
  <c r="V280" i="12"/>
  <c r="AS280" i="12"/>
  <c r="H279" i="12"/>
  <c r="O279" i="12"/>
  <c r="O280" i="12"/>
  <c r="AD280" i="12"/>
  <c r="AB279" i="12"/>
  <c r="AO279" i="12"/>
  <c r="Y279" i="12"/>
  <c r="AG280" i="12"/>
  <c r="AN280" i="12"/>
  <c r="AT279" i="12"/>
  <c r="G280" i="12"/>
  <c r="AL280" i="12"/>
  <c r="AR279" i="12"/>
  <c r="AK312" i="12"/>
  <c r="L312" i="12"/>
  <c r="AV312" i="12"/>
  <c r="T313" i="12"/>
  <c r="T312" i="12"/>
  <c r="AK313" i="12"/>
  <c r="W312" i="12"/>
  <c r="F313" i="12"/>
  <c r="AM313" i="12"/>
  <c r="Z312" i="12"/>
  <c r="I313" i="12"/>
  <c r="Q312" i="12"/>
  <c r="I312" i="12"/>
  <c r="D313" i="12"/>
  <c r="E312" i="12"/>
  <c r="AB312" i="12"/>
  <c r="K313" i="12"/>
  <c r="AS313" i="12"/>
  <c r="AE312" i="12"/>
  <c r="N313" i="12"/>
  <c r="AU313" i="12"/>
  <c r="AH312" i="12"/>
  <c r="Q313" i="12"/>
  <c r="AF313" i="12"/>
  <c r="AT312" i="12"/>
  <c r="AE313" i="12"/>
  <c r="AQ312" i="12"/>
  <c r="B312" i="12"/>
  <c r="Z313" i="12"/>
  <c r="AJ312" i="12"/>
  <c r="AM312" i="12"/>
  <c r="AP312" i="12"/>
  <c r="AJ313" i="12"/>
  <c r="X313" i="12"/>
  <c r="N312" i="12"/>
  <c r="P312" i="12"/>
  <c r="Y312" i="12"/>
  <c r="AH313" i="12"/>
  <c r="L313" i="12"/>
  <c r="K312" i="12"/>
  <c r="AR313" i="12"/>
  <c r="AI313" i="12"/>
  <c r="V312" i="12"/>
  <c r="E313" i="12"/>
  <c r="AL313" i="12"/>
  <c r="X312" i="12"/>
  <c r="G313" i="12"/>
  <c r="AO313" i="12"/>
  <c r="AB313" i="12"/>
  <c r="R313" i="12"/>
  <c r="C312" i="12"/>
  <c r="AC313" i="12"/>
  <c r="O312" i="12"/>
  <c r="R312" i="12"/>
  <c r="S312" i="12"/>
  <c r="C313" i="12"/>
  <c r="J313" i="12"/>
  <c r="AN313" i="12"/>
  <c r="AO312" i="12"/>
  <c r="S313" i="12"/>
  <c r="F312" i="12"/>
  <c r="V313" i="12"/>
  <c r="H312" i="12"/>
  <c r="Y313" i="12"/>
  <c r="AS312" i="12"/>
  <c r="AC312" i="12"/>
  <c r="AR312" i="12"/>
  <c r="AA313" i="12"/>
  <c r="AU312" i="12"/>
  <c r="AD313" i="12"/>
  <c r="B313" i="12"/>
  <c r="AG313" i="12"/>
  <c r="H313" i="12"/>
  <c r="U312" i="12"/>
  <c r="AV313" i="12"/>
  <c r="M312" i="12"/>
  <c r="AG312" i="12"/>
  <c r="AQ313" i="12"/>
  <c r="AD312" i="12"/>
  <c r="M313" i="12"/>
  <c r="AT313" i="12"/>
  <c r="AF312" i="12"/>
  <c r="O313" i="12"/>
  <c r="AW313" i="12"/>
  <c r="AP313" i="12"/>
  <c r="AA312" i="12"/>
  <c r="AI312" i="12"/>
  <c r="AW312" i="12"/>
  <c r="P313" i="12"/>
  <c r="D312" i="12"/>
  <c r="AL312" i="12"/>
  <c r="U313" i="12"/>
  <c r="G312" i="12"/>
  <c r="AN312" i="12"/>
  <c r="W313" i="12"/>
  <c r="K15" i="46"/>
  <c r="L15" i="46"/>
  <c r="M15" i="46"/>
  <c r="J15" i="46"/>
  <c r="B8" i="32" l="1"/>
  <c r="M20" i="34" s="1"/>
  <c r="B4" i="32"/>
  <c r="R20" i="34" s="1"/>
  <c r="I20" i="34" s="1"/>
  <c r="B5" i="32"/>
  <c r="V20" i="34" s="1"/>
  <c r="R23" i="34" l="1"/>
  <c r="D96" i="13" l="1"/>
  <c r="F318" i="12" l="1"/>
  <c r="G318" i="12"/>
  <c r="I318" i="12"/>
  <c r="J318" i="12"/>
  <c r="K318" i="12"/>
  <c r="L318" i="12"/>
  <c r="V318" i="12"/>
  <c r="X318" i="12"/>
  <c r="Y318" i="12"/>
  <c r="D318" i="12"/>
  <c r="E318" i="12"/>
  <c r="H318" i="12"/>
  <c r="M318" i="12"/>
  <c r="N318" i="12"/>
  <c r="O318" i="12"/>
  <c r="P318" i="12"/>
  <c r="Q318" i="12"/>
  <c r="R318" i="12"/>
  <c r="S318" i="12"/>
  <c r="T318" i="12"/>
  <c r="U318" i="12"/>
  <c r="W318" i="12"/>
  <c r="C318" i="12"/>
  <c r="W367" i="28"/>
  <c r="U367" i="28"/>
  <c r="R367" i="28"/>
  <c r="M367" i="28"/>
  <c r="L367" i="28"/>
  <c r="J367" i="28"/>
  <c r="E367" i="28"/>
  <c r="D367" i="28"/>
  <c r="F367" i="28"/>
  <c r="G367" i="28"/>
  <c r="H367" i="28"/>
  <c r="I367" i="28"/>
  <c r="K367" i="28"/>
  <c r="N367" i="28"/>
  <c r="P367" i="28"/>
  <c r="Q367" i="28"/>
  <c r="S367" i="28"/>
  <c r="T367" i="28"/>
  <c r="V367" i="28"/>
  <c r="C367" i="28"/>
  <c r="W324" i="28"/>
  <c r="U324" i="28"/>
  <c r="T324" i="28"/>
  <c r="Q324" i="28"/>
  <c r="O324" i="28"/>
  <c r="M324" i="28"/>
  <c r="L324" i="28"/>
  <c r="J324" i="28"/>
  <c r="I324" i="28"/>
  <c r="E324" i="28"/>
  <c r="D324" i="28"/>
  <c r="F324" i="28"/>
  <c r="G324" i="28"/>
  <c r="H324" i="28"/>
  <c r="K324" i="28"/>
  <c r="N324" i="28"/>
  <c r="P324" i="28"/>
  <c r="R324" i="28"/>
  <c r="S324" i="28"/>
  <c r="V324" i="28"/>
  <c r="C324" i="28"/>
  <c r="D408" i="28"/>
  <c r="C408" i="28"/>
  <c r="W387" i="28"/>
  <c r="U387" i="28"/>
  <c r="T387" i="28"/>
  <c r="R387" i="28"/>
  <c r="P387" i="28"/>
  <c r="O387" i="28"/>
  <c r="M387" i="28"/>
  <c r="L387" i="28"/>
  <c r="J387" i="28"/>
  <c r="D387" i="28"/>
  <c r="E387" i="28"/>
  <c r="F387" i="28"/>
  <c r="G387" i="28"/>
  <c r="H387" i="28"/>
  <c r="I387" i="28"/>
  <c r="K387" i="28"/>
  <c r="N387" i="28"/>
  <c r="Q387" i="28"/>
  <c r="S387" i="28"/>
  <c r="V387" i="28"/>
  <c r="C387" i="28"/>
  <c r="W344" i="28"/>
  <c r="T344" i="28"/>
  <c r="R344" i="28"/>
  <c r="O344" i="28"/>
  <c r="L344" i="28"/>
  <c r="J344" i="28"/>
  <c r="I344" i="28"/>
  <c r="E344" i="28"/>
  <c r="D344" i="28"/>
  <c r="F344" i="28"/>
  <c r="G344" i="28"/>
  <c r="H344" i="28"/>
  <c r="K344" i="28"/>
  <c r="M344" i="28"/>
  <c r="N344" i="28"/>
  <c r="P344" i="28"/>
  <c r="Q344" i="28"/>
  <c r="S344" i="28"/>
  <c r="U344" i="28"/>
  <c r="V344" i="28"/>
  <c r="C344" i="28"/>
  <c r="AB390" i="28" l="1"/>
  <c r="AB391" i="28" s="1"/>
  <c r="AJ390" i="28"/>
  <c r="AJ391" i="28" s="1"/>
  <c r="AR390" i="28"/>
  <c r="AR391" i="28" s="1"/>
  <c r="AC390" i="28"/>
  <c r="AC391" i="28" s="1"/>
  <c r="AK390" i="28"/>
  <c r="AK391" i="28" s="1"/>
  <c r="AS390" i="28"/>
  <c r="AS391" i="28" s="1"/>
  <c r="AD390" i="28"/>
  <c r="AD391" i="28" s="1"/>
  <c r="AL390" i="28"/>
  <c r="AL391" i="28" s="1"/>
  <c r="AT390" i="28"/>
  <c r="AT391" i="28" s="1"/>
  <c r="AH390" i="28"/>
  <c r="AH391" i="28" s="1"/>
  <c r="AV390" i="28"/>
  <c r="AV391" i="28" s="1"/>
  <c r="AI390" i="28"/>
  <c r="AI391" i="28" s="1"/>
  <c r="AW390" i="28"/>
  <c r="AW391" i="28" s="1"/>
  <c r="AM390" i="28"/>
  <c r="AM391" i="28" s="1"/>
  <c r="AN390" i="28"/>
  <c r="AN391" i="28" s="1"/>
  <c r="AQ390" i="28"/>
  <c r="AQ391" i="28" s="1"/>
  <c r="AU390" i="28"/>
  <c r="AU391" i="28" s="1"/>
  <c r="AO390" i="28"/>
  <c r="AO391" i="28" s="1"/>
  <c r="AP390" i="28"/>
  <c r="AP391" i="28" s="1"/>
  <c r="Z390" i="28"/>
  <c r="Z391" i="28" s="1"/>
  <c r="AA390" i="28"/>
  <c r="AA391" i="28" s="1"/>
  <c r="AG390" i="28"/>
  <c r="AG391" i="28" s="1"/>
  <c r="AE390" i="28"/>
  <c r="AE391" i="28" s="1"/>
  <c r="AF390" i="28"/>
  <c r="AF391" i="28" s="1"/>
  <c r="AF327" i="28"/>
  <c r="AN327" i="28"/>
  <c r="AV327" i="28"/>
  <c r="AA327" i="28"/>
  <c r="AJ327" i="28"/>
  <c r="AS327" i="28"/>
  <c r="AW327" i="28"/>
  <c r="AB327" i="28"/>
  <c r="AK327" i="28"/>
  <c r="AT327" i="28"/>
  <c r="AM327" i="28"/>
  <c r="AC327" i="28"/>
  <c r="AL327" i="28"/>
  <c r="AU327" i="28"/>
  <c r="AD327" i="28"/>
  <c r="Z327" i="28"/>
  <c r="AI327" i="28"/>
  <c r="AR327" i="28"/>
  <c r="AQ327" i="28"/>
  <c r="AH327" i="28"/>
  <c r="AG327" i="28"/>
  <c r="AO327" i="28"/>
  <c r="AE327" i="28"/>
  <c r="AP327" i="28"/>
  <c r="AB370" i="28"/>
  <c r="AJ370" i="28"/>
  <c r="AR370" i="28"/>
  <c r="AC370" i="28"/>
  <c r="AK370" i="28"/>
  <c r="AS370" i="28"/>
  <c r="AD370" i="28"/>
  <c r="AL370" i="28"/>
  <c r="AT370" i="28"/>
  <c r="AH370" i="28"/>
  <c r="AV370" i="28"/>
  <c r="AI370" i="28"/>
  <c r="AW370" i="28"/>
  <c r="AM370" i="28"/>
  <c r="AA370" i="28"/>
  <c r="AU370" i="28"/>
  <c r="AE370" i="28"/>
  <c r="AF370" i="28"/>
  <c r="AG370" i="28"/>
  <c r="Z370" i="28"/>
  <c r="AQ370" i="28"/>
  <c r="AO370" i="28"/>
  <c r="AN370" i="28"/>
  <c r="AP370" i="28"/>
  <c r="AC347" i="28"/>
  <c r="AK347" i="28"/>
  <c r="AS347" i="28"/>
  <c r="AD347" i="28"/>
  <c r="AL347" i="28"/>
  <c r="AT347" i="28"/>
  <c r="AW347" i="28"/>
  <c r="AE347" i="28"/>
  <c r="AM347" i="28"/>
  <c r="AU347" i="28"/>
  <c r="Z347" i="28"/>
  <c r="AN347" i="28"/>
  <c r="AB347" i="28"/>
  <c r="AQ347" i="28"/>
  <c r="AH347" i="28"/>
  <c r="AF347" i="28"/>
  <c r="AR347" i="28"/>
  <c r="AG347" i="28"/>
  <c r="AV347" i="28"/>
  <c r="AA347" i="28"/>
  <c r="AP347" i="28"/>
  <c r="C347" i="28"/>
  <c r="J348" i="28" s="1"/>
  <c r="AI347" i="28"/>
  <c r="AJ347" i="28"/>
  <c r="AO347" i="28"/>
  <c r="E327" i="28"/>
  <c r="M327" i="28"/>
  <c r="U327" i="28"/>
  <c r="H327" i="28"/>
  <c r="X327" i="28"/>
  <c r="F327" i="28"/>
  <c r="N327" i="28"/>
  <c r="V327" i="28"/>
  <c r="B327" i="28"/>
  <c r="G327" i="28"/>
  <c r="O327" i="28"/>
  <c r="W327" i="28"/>
  <c r="P327" i="28"/>
  <c r="I327" i="28"/>
  <c r="Q327" i="28"/>
  <c r="Y327" i="28"/>
  <c r="C327" i="28"/>
  <c r="K327" i="28"/>
  <c r="S327" i="28"/>
  <c r="D327" i="28"/>
  <c r="L327" i="28"/>
  <c r="T327" i="28"/>
  <c r="J327" i="28"/>
  <c r="R327" i="28"/>
  <c r="H390" i="28"/>
  <c r="H391" i="28" s="1"/>
  <c r="P390" i="28"/>
  <c r="P391" i="28" s="1"/>
  <c r="X390" i="28"/>
  <c r="X391" i="28" s="1"/>
  <c r="M390" i="28"/>
  <c r="M391" i="28" s="1"/>
  <c r="I390" i="28"/>
  <c r="I391" i="28" s="1"/>
  <c r="Q390" i="28"/>
  <c r="Q391" i="28" s="1"/>
  <c r="Y390" i="28"/>
  <c r="Y391" i="28" s="1"/>
  <c r="C390" i="28"/>
  <c r="C391" i="28" s="1"/>
  <c r="L390" i="28"/>
  <c r="L391" i="28" s="1"/>
  <c r="E390" i="28"/>
  <c r="E391" i="28" s="1"/>
  <c r="U390" i="28"/>
  <c r="U391" i="28" s="1"/>
  <c r="J390" i="28"/>
  <c r="J391" i="28" s="1"/>
  <c r="R390" i="28"/>
  <c r="R391" i="28" s="1"/>
  <c r="K390" i="28"/>
  <c r="K391" i="28" s="1"/>
  <c r="S390" i="28"/>
  <c r="S391" i="28" s="1"/>
  <c r="D390" i="28"/>
  <c r="D391" i="28" s="1"/>
  <c r="T390" i="28"/>
  <c r="T391" i="28" s="1"/>
  <c r="F390" i="28"/>
  <c r="F391" i="28" s="1"/>
  <c r="N390" i="28"/>
  <c r="N391" i="28" s="1"/>
  <c r="V390" i="28"/>
  <c r="V391" i="28" s="1"/>
  <c r="B390" i="28"/>
  <c r="B391" i="28" s="1"/>
  <c r="G390" i="28"/>
  <c r="G391" i="28" s="1"/>
  <c r="O390" i="28"/>
  <c r="O391" i="28" s="1"/>
  <c r="W390" i="28"/>
  <c r="W391" i="28" s="1"/>
  <c r="B321" i="12"/>
  <c r="B322" i="12" s="1"/>
  <c r="G370" i="28"/>
  <c r="O370" i="28"/>
  <c r="W370" i="28"/>
  <c r="S370" i="28"/>
  <c r="H370" i="28"/>
  <c r="P370" i="28"/>
  <c r="X370" i="28"/>
  <c r="C370" i="28"/>
  <c r="I370" i="28"/>
  <c r="Q370" i="28"/>
  <c r="Y370" i="28"/>
  <c r="J370" i="28"/>
  <c r="R370" i="28"/>
  <c r="B370" i="28"/>
  <c r="K370" i="28"/>
  <c r="E370" i="28"/>
  <c r="M370" i="28"/>
  <c r="U370" i="28"/>
  <c r="F370" i="28"/>
  <c r="N370" i="28"/>
  <c r="V370" i="28"/>
  <c r="D370" i="28"/>
  <c r="L370" i="28"/>
  <c r="T370" i="28"/>
  <c r="D347" i="28"/>
  <c r="L347" i="28"/>
  <c r="T347" i="28"/>
  <c r="O347" i="28"/>
  <c r="P347" i="28"/>
  <c r="E347" i="28"/>
  <c r="M347" i="28"/>
  <c r="U347" i="28"/>
  <c r="G347" i="28"/>
  <c r="X347" i="28"/>
  <c r="F347" i="28"/>
  <c r="N347" i="28"/>
  <c r="V347" i="28"/>
  <c r="W347" i="28"/>
  <c r="H347" i="28"/>
  <c r="J347" i="28"/>
  <c r="R347" i="28"/>
  <c r="I347" i="28"/>
  <c r="K347" i="28"/>
  <c r="Q347" i="28"/>
  <c r="S347" i="28"/>
  <c r="Y347" i="28"/>
  <c r="U399" i="28"/>
  <c r="T399" i="28"/>
  <c r="S399" i="28"/>
  <c r="Q399" i="28"/>
  <c r="P399" i="28"/>
  <c r="M399" i="28"/>
  <c r="L399" i="28"/>
  <c r="J399" i="28"/>
  <c r="I399" i="28"/>
  <c r="G399" i="28"/>
  <c r="E399" i="28"/>
  <c r="C399" i="28"/>
  <c r="D399" i="28"/>
  <c r="F399" i="28"/>
  <c r="H399" i="28"/>
  <c r="K399" i="28"/>
  <c r="N399" i="28"/>
  <c r="O399" i="28"/>
  <c r="R399" i="28"/>
  <c r="V399" i="28"/>
  <c r="W399" i="28"/>
  <c r="W379" i="28"/>
  <c r="T379" i="28"/>
  <c r="S379" i="28"/>
  <c r="P379" i="28"/>
  <c r="M379" i="28"/>
  <c r="L379" i="28"/>
  <c r="J379" i="28"/>
  <c r="F379" i="28"/>
  <c r="C379" i="28"/>
  <c r="D379" i="28"/>
  <c r="E379" i="28"/>
  <c r="G379" i="28"/>
  <c r="H379" i="28"/>
  <c r="I379" i="28"/>
  <c r="K379" i="28"/>
  <c r="N379" i="28"/>
  <c r="O379" i="28"/>
  <c r="Q379" i="28"/>
  <c r="R379" i="28"/>
  <c r="U379" i="28"/>
  <c r="V379" i="28"/>
  <c r="U357" i="28"/>
  <c r="S357" i="28"/>
  <c r="Q357" i="28"/>
  <c r="O357" i="28"/>
  <c r="N357" i="28"/>
  <c r="L357" i="28"/>
  <c r="I357" i="28"/>
  <c r="H357" i="28"/>
  <c r="E357" i="28"/>
  <c r="D357" i="28"/>
  <c r="F357" i="28"/>
  <c r="G357" i="28"/>
  <c r="J357" i="28"/>
  <c r="K357" i="28"/>
  <c r="M357" i="28"/>
  <c r="P357" i="28"/>
  <c r="R357" i="28"/>
  <c r="T357" i="28"/>
  <c r="V357" i="28"/>
  <c r="W357" i="28"/>
  <c r="C357" i="28"/>
  <c r="V336" i="28"/>
  <c r="T336" i="28"/>
  <c r="S336" i="28"/>
  <c r="Q336" i="28"/>
  <c r="O336" i="28"/>
  <c r="L336" i="28"/>
  <c r="J336" i="28"/>
  <c r="I336" i="28"/>
  <c r="E336" i="28"/>
  <c r="D336" i="28"/>
  <c r="C336" i="28"/>
  <c r="F336" i="28"/>
  <c r="G336" i="28"/>
  <c r="H336" i="28"/>
  <c r="K336" i="28"/>
  <c r="M336" i="28"/>
  <c r="N336" i="28"/>
  <c r="P336" i="28"/>
  <c r="R336" i="28"/>
  <c r="U336" i="28"/>
  <c r="W336" i="28"/>
  <c r="T314" i="28"/>
  <c r="S314" i="28"/>
  <c r="Q314" i="28"/>
  <c r="O314" i="28"/>
  <c r="N314" i="28"/>
  <c r="L314" i="28"/>
  <c r="J314" i="28"/>
  <c r="I314" i="28"/>
  <c r="E314" i="28"/>
  <c r="D314" i="28"/>
  <c r="F314" i="28"/>
  <c r="G314" i="28"/>
  <c r="H314" i="28"/>
  <c r="K314" i="28"/>
  <c r="M314" i="28"/>
  <c r="P314" i="28"/>
  <c r="R314" i="28"/>
  <c r="W408" i="28"/>
  <c r="T408" i="28"/>
  <c r="R408" i="28"/>
  <c r="Q408" i="28"/>
  <c r="P408" i="28"/>
  <c r="M408" i="28"/>
  <c r="L408" i="28"/>
  <c r="J408" i="28"/>
  <c r="E408" i="28"/>
  <c r="F408" i="28"/>
  <c r="G408" i="28"/>
  <c r="H408" i="28"/>
  <c r="I408" i="28"/>
  <c r="K408" i="28"/>
  <c r="N408" i="28"/>
  <c r="O408" i="28"/>
  <c r="S408" i="28"/>
  <c r="U408" i="28"/>
  <c r="V408" i="28"/>
  <c r="AE411" i="28" l="1"/>
  <c r="AF411" i="28"/>
  <c r="AO411" i="28"/>
  <c r="AA411" i="28"/>
  <c r="AB371" i="28"/>
  <c r="AJ371" i="28"/>
  <c r="AR371" i="28"/>
  <c r="AC371" i="28"/>
  <c r="AK371" i="28"/>
  <c r="AS371" i="28"/>
  <c r="AD371" i="28"/>
  <c r="AL371" i="28"/>
  <c r="AT371" i="28"/>
  <c r="AI371" i="28"/>
  <c r="AW371" i="28"/>
  <c r="AM371" i="28"/>
  <c r="Z371" i="28"/>
  <c r="AN371" i="28"/>
  <c r="AQ371" i="28"/>
  <c r="AA371" i="28"/>
  <c r="AU371" i="28"/>
  <c r="AE371" i="28"/>
  <c r="AV371" i="28"/>
  <c r="AF371" i="28"/>
  <c r="AP371" i="28"/>
  <c r="AG371" i="28"/>
  <c r="AH371" i="28"/>
  <c r="AO371" i="28"/>
  <c r="AR411" i="28"/>
  <c r="AE317" i="28"/>
  <c r="AI317" i="28"/>
  <c r="AP317" i="28"/>
  <c r="AD317" i="28"/>
  <c r="AL317" i="28"/>
  <c r="AM317" i="28"/>
  <c r="AR317" i="28"/>
  <c r="AO317" i="28"/>
  <c r="AV317" i="28"/>
  <c r="AJ317" i="28"/>
  <c r="AS317" i="28"/>
  <c r="C317" i="28"/>
  <c r="AN317" i="28"/>
  <c r="AU317" i="28"/>
  <c r="AB317" i="28"/>
  <c r="AC317" i="28"/>
  <c r="AH317" i="28"/>
  <c r="AA317" i="28"/>
  <c r="AQ317" i="28"/>
  <c r="AW317" i="28"/>
  <c r="AF317" i="28"/>
  <c r="AK317" i="28"/>
  <c r="AG317" i="28"/>
  <c r="AT317" i="28"/>
  <c r="Z317" i="28"/>
  <c r="AD382" i="28"/>
  <c r="AL382" i="28"/>
  <c r="AT382" i="28"/>
  <c r="AE382" i="28"/>
  <c r="AM382" i="28"/>
  <c r="AU382" i="28"/>
  <c r="AF382" i="28"/>
  <c r="AN382" i="28"/>
  <c r="AV382" i="28"/>
  <c r="AG382" i="28"/>
  <c r="AR382" i="28"/>
  <c r="AH382" i="28"/>
  <c r="AS382" i="28"/>
  <c r="AI382" i="28"/>
  <c r="AW382" i="28"/>
  <c r="AP382" i="28"/>
  <c r="AB382" i="28"/>
  <c r="Z382" i="28"/>
  <c r="AQ382" i="28"/>
  <c r="AA382" i="28"/>
  <c r="AO382" i="28"/>
  <c r="AC382" i="28"/>
  <c r="AJ382" i="28"/>
  <c r="AK382" i="28"/>
  <c r="AT411" i="28"/>
  <c r="AB411" i="28"/>
  <c r="AV411" i="28"/>
  <c r="AD402" i="28"/>
  <c r="AL402" i="28"/>
  <c r="AT402" i="28"/>
  <c r="AE402" i="28"/>
  <c r="AM402" i="28"/>
  <c r="AU402" i="28"/>
  <c r="AF402" i="28"/>
  <c r="AN402" i="28"/>
  <c r="AV402" i="28"/>
  <c r="AG402" i="28"/>
  <c r="AR402" i="28"/>
  <c r="AH402" i="28"/>
  <c r="AS402" i="28"/>
  <c r="AI402" i="28"/>
  <c r="AW402" i="28"/>
  <c r="AC402" i="28"/>
  <c r="AJ402" i="28"/>
  <c r="AP402" i="28"/>
  <c r="AK402" i="28"/>
  <c r="AO402" i="28"/>
  <c r="AB402" i="28"/>
  <c r="AA402" i="28"/>
  <c r="AQ402" i="28"/>
  <c r="Z402" i="28"/>
  <c r="AJ411" i="28"/>
  <c r="AA360" i="28"/>
  <c r="AI360" i="28"/>
  <c r="AQ360" i="28"/>
  <c r="AB360" i="28"/>
  <c r="AJ360" i="28"/>
  <c r="AR360" i="28"/>
  <c r="AC360" i="28"/>
  <c r="AK360" i="28"/>
  <c r="AS360" i="28"/>
  <c r="AE360" i="28"/>
  <c r="AP360" i="28"/>
  <c r="AF360" i="28"/>
  <c r="AT360" i="28"/>
  <c r="AN360" i="28"/>
  <c r="AO360" i="28"/>
  <c r="Z360" i="28"/>
  <c r="AU360" i="28"/>
  <c r="AD360" i="28"/>
  <c r="AV360" i="28"/>
  <c r="AM360" i="28"/>
  <c r="AH360" i="28"/>
  <c r="AL360" i="28"/>
  <c r="AW360" i="28"/>
  <c r="AG360" i="28"/>
  <c r="AP411" i="28"/>
  <c r="AG411" i="28"/>
  <c r="AE392" i="28"/>
  <c r="AM392" i="28"/>
  <c r="AU392" i="28"/>
  <c r="AE393" i="28"/>
  <c r="AM393" i="28"/>
  <c r="AU393" i="28"/>
  <c r="AF392" i="28"/>
  <c r="AN392" i="28"/>
  <c r="AV392" i="28"/>
  <c r="AF393" i="28"/>
  <c r="AN393" i="28"/>
  <c r="AV393" i="28"/>
  <c r="AG392" i="28"/>
  <c r="AO392" i="28"/>
  <c r="AW392" i="28"/>
  <c r="AG393" i="28"/>
  <c r="AO393" i="28"/>
  <c r="AW393" i="28"/>
  <c r="AB392" i="28"/>
  <c r="AP392" i="28"/>
  <c r="AC393" i="28"/>
  <c r="AQ393" i="28"/>
  <c r="AC392" i="28"/>
  <c r="AQ392" i="28"/>
  <c r="AD393" i="28"/>
  <c r="AR393" i="28"/>
  <c r="AD392" i="28"/>
  <c r="AR392" i="28"/>
  <c r="AH393" i="28"/>
  <c r="AS393" i="28"/>
  <c r="AI392" i="28"/>
  <c r="AB393" i="28"/>
  <c r="AL392" i="28"/>
  <c r="AS392" i="28"/>
  <c r="AJ392" i="28"/>
  <c r="AI393" i="28"/>
  <c r="AK392" i="28"/>
  <c r="AJ393" i="28"/>
  <c r="AK393" i="28"/>
  <c r="AL393" i="28"/>
  <c r="AH392" i="28"/>
  <c r="AA393" i="28"/>
  <c r="Z393" i="28"/>
  <c r="AP393" i="28"/>
  <c r="AT393" i="28"/>
  <c r="AT392" i="28"/>
  <c r="Z392" i="28"/>
  <c r="AA392" i="28"/>
  <c r="AC411" i="28"/>
  <c r="AL411" i="28"/>
  <c r="AN411" i="28"/>
  <c r="AD348" i="28"/>
  <c r="AL348" i="28"/>
  <c r="AT348" i="28"/>
  <c r="AE348" i="28"/>
  <c r="AM348" i="28"/>
  <c r="AU348" i="28"/>
  <c r="AF348" i="28"/>
  <c r="AN348" i="28"/>
  <c r="AV348" i="28"/>
  <c r="AB348" i="28"/>
  <c r="AP348" i="28"/>
  <c r="AI348" i="28"/>
  <c r="AJ348" i="28"/>
  <c r="AO348" i="28"/>
  <c r="AK348" i="28"/>
  <c r="Z348" i="28"/>
  <c r="AH348" i="28"/>
  <c r="AA348" i="28"/>
  <c r="AS348" i="28"/>
  <c r="AC348" i="28"/>
  <c r="AG348" i="28"/>
  <c r="AW348" i="28"/>
  <c r="AQ348" i="28"/>
  <c r="AR348" i="28"/>
  <c r="AI411" i="28"/>
  <c r="AK411" i="28"/>
  <c r="AU411" i="28"/>
  <c r="Z339" i="28"/>
  <c r="AH339" i="28"/>
  <c r="AP339" i="28"/>
  <c r="AB339" i="28"/>
  <c r="AK339" i="28"/>
  <c r="AT339" i="28"/>
  <c r="AN339" i="28"/>
  <c r="AC339" i="28"/>
  <c r="AL339" i="28"/>
  <c r="AU339" i="28"/>
  <c r="AD339" i="28"/>
  <c r="AM339" i="28"/>
  <c r="AV339" i="28"/>
  <c r="AE339" i="28"/>
  <c r="AW339" i="28"/>
  <c r="AA339" i="28"/>
  <c r="AJ339" i="28"/>
  <c r="AS339" i="28"/>
  <c r="AR339" i="28"/>
  <c r="AO339" i="28"/>
  <c r="AF339" i="28"/>
  <c r="AG339" i="28"/>
  <c r="AQ339" i="28"/>
  <c r="AI339" i="28"/>
  <c r="AQ411" i="28"/>
  <c r="Z411" i="28"/>
  <c r="AM411" i="28"/>
  <c r="AF328" i="28"/>
  <c r="AN328" i="28"/>
  <c r="AV328" i="28"/>
  <c r="AD328" i="28"/>
  <c r="AM328" i="28"/>
  <c r="AW328" i="28"/>
  <c r="AQ328" i="28"/>
  <c r="AE328" i="28"/>
  <c r="AO328" i="28"/>
  <c r="AG328" i="28"/>
  <c r="AP328" i="28"/>
  <c r="AH328" i="28"/>
  <c r="AC328" i="28"/>
  <c r="AL328" i="28"/>
  <c r="AU328" i="28"/>
  <c r="AS328" i="28"/>
  <c r="Z328" i="28"/>
  <c r="AT328" i="28"/>
  <c r="AA328" i="28"/>
  <c r="AB328" i="28"/>
  <c r="AJ328" i="28"/>
  <c r="AK328" i="28"/>
  <c r="AR328" i="28"/>
  <c r="AI328" i="28"/>
  <c r="AH411" i="28"/>
  <c r="AW411" i="28"/>
  <c r="AS411" i="28"/>
  <c r="AD411" i="28"/>
  <c r="AK324" i="12"/>
  <c r="AE323" i="12"/>
  <c r="AC323" i="12"/>
  <c r="AF324" i="12"/>
  <c r="AW324" i="12"/>
  <c r="AA324" i="12"/>
  <c r="AT324" i="12"/>
  <c r="AS324" i="12"/>
  <c r="AM323" i="12"/>
  <c r="AS323" i="12"/>
  <c r="AN324" i="12"/>
  <c r="AH323" i="12"/>
  <c r="AQ324" i="12"/>
  <c r="AM324" i="12"/>
  <c r="AR324" i="12"/>
  <c r="AG324" i="12"/>
  <c r="AV323" i="12"/>
  <c r="AD323" i="12"/>
  <c r="AU323" i="12"/>
  <c r="AE324" i="12"/>
  <c r="AV324" i="12"/>
  <c r="AP323" i="12"/>
  <c r="AJ323" i="12"/>
  <c r="AL323" i="12"/>
  <c r="AI324" i="12"/>
  <c r="AG323" i="12"/>
  <c r="AH324" i="12"/>
  <c r="AL324" i="12"/>
  <c r="AN323" i="12"/>
  <c r="AI323" i="12"/>
  <c r="AJ324" i="12"/>
  <c r="AT323" i="12"/>
  <c r="AB323" i="12"/>
  <c r="AU324" i="12"/>
  <c r="AO323" i="12"/>
  <c r="AP324" i="12"/>
  <c r="AK323" i="12"/>
  <c r="AD324" i="12"/>
  <c r="AR323" i="12"/>
  <c r="AF323" i="12"/>
  <c r="AW323" i="12"/>
  <c r="AA323" i="12"/>
  <c r="AB324" i="12"/>
  <c r="AC324" i="12"/>
  <c r="AO324" i="12"/>
  <c r="AQ323" i="12"/>
  <c r="G411" i="28"/>
  <c r="V411" i="28"/>
  <c r="C411" i="28"/>
  <c r="K411" i="28"/>
  <c r="I411" i="28"/>
  <c r="M411" i="28"/>
  <c r="Y411" i="28"/>
  <c r="W411" i="28"/>
  <c r="I339" i="28"/>
  <c r="Q339" i="28"/>
  <c r="X339" i="28"/>
  <c r="L339" i="28"/>
  <c r="E339" i="28"/>
  <c r="B339" i="28"/>
  <c r="J339" i="28"/>
  <c r="R339" i="28"/>
  <c r="C339" i="28"/>
  <c r="K339" i="28"/>
  <c r="S339" i="28"/>
  <c r="D339" i="28"/>
  <c r="T339" i="28"/>
  <c r="M339" i="28"/>
  <c r="U339" i="28"/>
  <c r="G339" i="28"/>
  <c r="O339" i="28"/>
  <c r="W339" i="28"/>
  <c r="H339" i="28"/>
  <c r="P339" i="28"/>
  <c r="Y339" i="28"/>
  <c r="F339" i="28"/>
  <c r="V339" i="28"/>
  <c r="N339" i="28"/>
  <c r="E411" i="28"/>
  <c r="Q411" i="28"/>
  <c r="O411" i="28"/>
  <c r="H371" i="28"/>
  <c r="P371" i="28"/>
  <c r="X371" i="28"/>
  <c r="I371" i="28"/>
  <c r="Q371" i="28"/>
  <c r="Y371" i="28"/>
  <c r="D371" i="28"/>
  <c r="T371" i="28"/>
  <c r="J371" i="28"/>
  <c r="R371" i="28"/>
  <c r="B371" i="28"/>
  <c r="Q373" i="28" s="1"/>
  <c r="C371" i="28"/>
  <c r="K371" i="28"/>
  <c r="S371" i="28"/>
  <c r="L371" i="28"/>
  <c r="F371" i="28"/>
  <c r="N371" i="28"/>
  <c r="V371" i="28"/>
  <c r="G371" i="28"/>
  <c r="O371" i="28"/>
  <c r="W371" i="28"/>
  <c r="U371" i="28"/>
  <c r="M371" i="28"/>
  <c r="E371" i="28"/>
  <c r="T411" i="28"/>
  <c r="L411" i="28"/>
  <c r="K317" i="28"/>
  <c r="S317" i="28"/>
  <c r="O317" i="28"/>
  <c r="D317" i="28"/>
  <c r="L317" i="28"/>
  <c r="T317" i="28"/>
  <c r="N317" i="28"/>
  <c r="G317" i="28"/>
  <c r="W317" i="28"/>
  <c r="E317" i="28"/>
  <c r="M317" i="28"/>
  <c r="U317" i="28"/>
  <c r="F317" i="28"/>
  <c r="V317" i="28"/>
  <c r="I317" i="28"/>
  <c r="Q317" i="28"/>
  <c r="X317" i="28"/>
  <c r="P317" i="28"/>
  <c r="R317" i="28"/>
  <c r="H317" i="28"/>
  <c r="J317" i="28"/>
  <c r="Y317" i="28"/>
  <c r="F382" i="28"/>
  <c r="N382" i="28"/>
  <c r="V382" i="28"/>
  <c r="G382" i="28"/>
  <c r="O382" i="28"/>
  <c r="W382" i="28"/>
  <c r="R382" i="28"/>
  <c r="H382" i="28"/>
  <c r="P382" i="28"/>
  <c r="X382" i="28"/>
  <c r="I382" i="28"/>
  <c r="Q382" i="28"/>
  <c r="Y382" i="28"/>
  <c r="J382" i="28"/>
  <c r="B382" i="28"/>
  <c r="D382" i="28"/>
  <c r="L382" i="28"/>
  <c r="T382" i="28"/>
  <c r="E382" i="28"/>
  <c r="M382" i="28"/>
  <c r="U382" i="28"/>
  <c r="C382" i="28"/>
  <c r="K382" i="28"/>
  <c r="S382" i="28"/>
  <c r="X348" i="28"/>
  <c r="B348" i="28"/>
  <c r="Y348" i="28"/>
  <c r="B411" i="28"/>
  <c r="H411" i="28"/>
  <c r="N411" i="28"/>
  <c r="X411" i="28"/>
  <c r="C360" i="28"/>
  <c r="K360" i="28"/>
  <c r="S360" i="28"/>
  <c r="F360" i="28"/>
  <c r="V360" i="28"/>
  <c r="D360" i="28"/>
  <c r="L360" i="28"/>
  <c r="T360" i="28"/>
  <c r="N360" i="28"/>
  <c r="O360" i="28"/>
  <c r="E360" i="28"/>
  <c r="M360" i="28"/>
  <c r="U360" i="28"/>
  <c r="G360" i="28"/>
  <c r="W360" i="28"/>
  <c r="I360" i="28"/>
  <c r="Q360" i="28"/>
  <c r="X360" i="28"/>
  <c r="J360" i="28"/>
  <c r="R360" i="28"/>
  <c r="H360" i="28"/>
  <c r="P360" i="28"/>
  <c r="Y360" i="28"/>
  <c r="P411" i="28"/>
  <c r="R411" i="28"/>
  <c r="S411" i="28"/>
  <c r="F411" i="28"/>
  <c r="C393" i="28"/>
  <c r="Y393" i="28"/>
  <c r="X393" i="28"/>
  <c r="X392" i="28"/>
  <c r="Y392" i="28"/>
  <c r="D411" i="28"/>
  <c r="H402" i="28"/>
  <c r="P402" i="28"/>
  <c r="X402" i="28"/>
  <c r="E402" i="28"/>
  <c r="I402" i="28"/>
  <c r="Q402" i="28"/>
  <c r="Y402" i="28"/>
  <c r="D402" i="28"/>
  <c r="T402" i="28"/>
  <c r="U402" i="28"/>
  <c r="J402" i="28"/>
  <c r="R402" i="28"/>
  <c r="B402" i="28"/>
  <c r="C402" i="28"/>
  <c r="K402" i="28"/>
  <c r="S402" i="28"/>
  <c r="L402" i="28"/>
  <c r="M402" i="28"/>
  <c r="F402" i="28"/>
  <c r="N402" i="28"/>
  <c r="V402" i="28"/>
  <c r="G402" i="28"/>
  <c r="O402" i="28"/>
  <c r="W402" i="28"/>
  <c r="U411" i="28"/>
  <c r="J411" i="28"/>
  <c r="F328" i="28"/>
  <c r="N328" i="28"/>
  <c r="V328" i="28"/>
  <c r="Q328" i="28"/>
  <c r="J328" i="28"/>
  <c r="G328" i="28"/>
  <c r="O328" i="28"/>
  <c r="W328" i="28"/>
  <c r="I328" i="28"/>
  <c r="H328" i="28"/>
  <c r="P328" i="28"/>
  <c r="X328" i="28"/>
  <c r="Y328" i="28"/>
  <c r="R328" i="28"/>
  <c r="D328" i="28"/>
  <c r="L328" i="28"/>
  <c r="T328" i="28"/>
  <c r="E328" i="28"/>
  <c r="M328" i="28"/>
  <c r="U328" i="28"/>
  <c r="K328" i="28"/>
  <c r="C328" i="28"/>
  <c r="S328" i="28"/>
  <c r="B328" i="28"/>
  <c r="U329" i="28" s="1"/>
  <c r="K323" i="12"/>
  <c r="Z324" i="12"/>
  <c r="Z323" i="12"/>
  <c r="J372" i="28"/>
  <c r="U324" i="12"/>
  <c r="T324" i="12"/>
  <c r="I324" i="12"/>
  <c r="V324" i="12"/>
  <c r="Y323" i="12"/>
  <c r="H323" i="12"/>
  <c r="J323" i="12"/>
  <c r="U323" i="12"/>
  <c r="X324" i="12"/>
  <c r="V323" i="12"/>
  <c r="G324" i="12"/>
  <c r="C323" i="12"/>
  <c r="C324" i="12"/>
  <c r="R324" i="12"/>
  <c r="R323" i="12"/>
  <c r="N324" i="12"/>
  <c r="Q323" i="12"/>
  <c r="D324" i="12"/>
  <c r="H324" i="12"/>
  <c r="B324" i="12"/>
  <c r="M323" i="12"/>
  <c r="N323" i="12"/>
  <c r="D323" i="12"/>
  <c r="L324" i="12"/>
  <c r="P324" i="12"/>
  <c r="O324" i="12"/>
  <c r="E323" i="12"/>
  <c r="F323" i="12"/>
  <c r="S323" i="12"/>
  <c r="X323" i="12"/>
  <c r="K324" i="12"/>
  <c r="F324" i="12"/>
  <c r="Q324" i="12"/>
  <c r="T323" i="12"/>
  <c r="I323" i="12"/>
  <c r="S324" i="12"/>
  <c r="E324" i="12"/>
  <c r="Y324" i="12"/>
  <c r="L323" i="12"/>
  <c r="P323" i="12"/>
  <c r="W323" i="12"/>
  <c r="B323" i="12"/>
  <c r="M324" i="12"/>
  <c r="W324" i="12"/>
  <c r="J324" i="12"/>
  <c r="G323" i="12"/>
  <c r="O323" i="12"/>
  <c r="Q348" i="28"/>
  <c r="M348" i="28"/>
  <c r="G348" i="28"/>
  <c r="P348" i="28"/>
  <c r="W348" i="28"/>
  <c r="O348" i="28"/>
  <c r="K348" i="28"/>
  <c r="F348" i="28"/>
  <c r="S348" i="28"/>
  <c r="D348" i="28"/>
  <c r="H348" i="28"/>
  <c r="N348" i="28"/>
  <c r="R348" i="28"/>
  <c r="L348" i="28"/>
  <c r="V348" i="28"/>
  <c r="I348" i="28"/>
  <c r="T348" i="28"/>
  <c r="U348" i="28"/>
  <c r="E348" i="28"/>
  <c r="C348" i="28"/>
  <c r="W392" i="28"/>
  <c r="E393" i="28"/>
  <c r="T393" i="28"/>
  <c r="O392" i="28"/>
  <c r="K393" i="28"/>
  <c r="R392" i="28"/>
  <c r="D392" i="28"/>
  <c r="L393" i="28"/>
  <c r="V393" i="28"/>
  <c r="L392" i="28"/>
  <c r="W393" i="28"/>
  <c r="K392" i="28"/>
  <c r="I393" i="28"/>
  <c r="Q392" i="28"/>
  <c r="U393" i="28"/>
  <c r="O393" i="28"/>
  <c r="N393" i="28"/>
  <c r="J392" i="28"/>
  <c r="G392" i="28"/>
  <c r="G393" i="28"/>
  <c r="F393" i="28"/>
  <c r="S392" i="28"/>
  <c r="S393" i="28"/>
  <c r="D393" i="28"/>
  <c r="M393" i="28"/>
  <c r="E392" i="28"/>
  <c r="N392" i="28"/>
  <c r="P392" i="28"/>
  <c r="F392" i="28"/>
  <c r="P393" i="28"/>
  <c r="J393" i="28"/>
  <c r="M392" i="28"/>
  <c r="H393" i="28"/>
  <c r="B393" i="28"/>
  <c r="V392" i="28"/>
  <c r="R393" i="28"/>
  <c r="U392" i="28"/>
  <c r="H392" i="28"/>
  <c r="T392" i="28"/>
  <c r="B392" i="28"/>
  <c r="Q393" i="28"/>
  <c r="I392" i="28"/>
  <c r="C392" i="28"/>
  <c r="M373" i="28" l="1"/>
  <c r="U330" i="28"/>
  <c r="AA361" i="28"/>
  <c r="AI361" i="28"/>
  <c r="AQ361" i="28"/>
  <c r="AB361" i="28"/>
  <c r="AJ361" i="28"/>
  <c r="AR361" i="28"/>
  <c r="AC361" i="28"/>
  <c r="AK361" i="28"/>
  <c r="AS361" i="28"/>
  <c r="AF361" i="28"/>
  <c r="AT361" i="28"/>
  <c r="AG361" i="28"/>
  <c r="AU361" i="28"/>
  <c r="AH361" i="28"/>
  <c r="AL361" i="28"/>
  <c r="AM361" i="28"/>
  <c r="AN361" i="28"/>
  <c r="AE361" i="28"/>
  <c r="AW361" i="28"/>
  <c r="AO361" i="28"/>
  <c r="AP361" i="28"/>
  <c r="Z361" i="28"/>
  <c r="AD361" i="28"/>
  <c r="AV361" i="28"/>
  <c r="AD383" i="28"/>
  <c r="AL383" i="28"/>
  <c r="AT383" i="28"/>
  <c r="AE383" i="28"/>
  <c r="AM383" i="28"/>
  <c r="AU383" i="28"/>
  <c r="AF383" i="28"/>
  <c r="AN383" i="28"/>
  <c r="AV383" i="28"/>
  <c r="AH383" i="28"/>
  <c r="AS383" i="28"/>
  <c r="AI383" i="28"/>
  <c r="AW383" i="28"/>
  <c r="AJ383" i="28"/>
  <c r="AO383" i="28"/>
  <c r="AR383" i="28"/>
  <c r="AP383" i="28"/>
  <c r="AA383" i="28"/>
  <c r="Z383" i="28"/>
  <c r="AQ383" i="28"/>
  <c r="AK383" i="28"/>
  <c r="AG383" i="28"/>
  <c r="AB383" i="28"/>
  <c r="AC383" i="28"/>
  <c r="AE318" i="28"/>
  <c r="AM318" i="28"/>
  <c r="AB318" i="28"/>
  <c r="AK318" i="28"/>
  <c r="AT318" i="28"/>
  <c r="AC318" i="28"/>
  <c r="AL318" i="28"/>
  <c r="AU318" i="28"/>
  <c r="AF318" i="28"/>
  <c r="AW318" i="28"/>
  <c r="AD318" i="28"/>
  <c r="AN318" i="28"/>
  <c r="AV318" i="28"/>
  <c r="AO318" i="28"/>
  <c r="AA318" i="28"/>
  <c r="AJ318" i="28"/>
  <c r="AS318" i="28"/>
  <c r="AQ318" i="28"/>
  <c r="AH318" i="28"/>
  <c r="AR318" i="28"/>
  <c r="Z318" i="28"/>
  <c r="AG318" i="28"/>
  <c r="AI318" i="28"/>
  <c r="AP318" i="28"/>
  <c r="AD403" i="28"/>
  <c r="AL403" i="28"/>
  <c r="AT403" i="28"/>
  <c r="AE403" i="28"/>
  <c r="AM403" i="28"/>
  <c r="AU403" i="28"/>
  <c r="AF403" i="28"/>
  <c r="AN403" i="28"/>
  <c r="AV403" i="28"/>
  <c r="AH403" i="28"/>
  <c r="AS403" i="28"/>
  <c r="AI403" i="28"/>
  <c r="AW403" i="28"/>
  <c r="AJ403" i="28"/>
  <c r="AB403" i="28"/>
  <c r="AC403" i="28"/>
  <c r="AO403" i="28"/>
  <c r="AG403" i="28"/>
  <c r="AK403" i="28"/>
  <c r="AA403" i="28"/>
  <c r="AR403" i="28"/>
  <c r="Z403" i="28"/>
  <c r="AP403" i="28"/>
  <c r="AQ403" i="28"/>
  <c r="AE412" i="28"/>
  <c r="AM412" i="28"/>
  <c r="AU412" i="28"/>
  <c r="AF412" i="28"/>
  <c r="AN412" i="28"/>
  <c r="AV412" i="28"/>
  <c r="AG412" i="28"/>
  <c r="AO412" i="28"/>
  <c r="AW412" i="28"/>
  <c r="AA412" i="28"/>
  <c r="AL412" i="28"/>
  <c r="AB412" i="28"/>
  <c r="AP412" i="28"/>
  <c r="AC412" i="28"/>
  <c r="AQ412" i="28"/>
  <c r="Z412" i="28"/>
  <c r="AT412" i="28"/>
  <c r="AD412" i="28"/>
  <c r="AJ412" i="28"/>
  <c r="AH412" i="28"/>
  <c r="AI412" i="28"/>
  <c r="AS412" i="28"/>
  <c r="AK412" i="28"/>
  <c r="AR412" i="28"/>
  <c r="AE349" i="28"/>
  <c r="AV349" i="28"/>
  <c r="AD349" i="28"/>
  <c r="AT349" i="28"/>
  <c r="AV350" i="28"/>
  <c r="AK349" i="28"/>
  <c r="AJ349" i="28"/>
  <c r="AB349" i="28"/>
  <c r="AM349" i="28"/>
  <c r="AU349" i="28"/>
  <c r="AO350" i="28"/>
  <c r="AI350" i="28"/>
  <c r="AQ349" i="28"/>
  <c r="AL350" i="28"/>
  <c r="AB350" i="28"/>
  <c r="AF350" i="28"/>
  <c r="AG349" i="28"/>
  <c r="AS350" i="28"/>
  <c r="AJ350" i="28"/>
  <c r="AW349" i="28"/>
  <c r="AC350" i="28"/>
  <c r="B349" i="28"/>
  <c r="Z350" i="28"/>
  <c r="AP349" i="28"/>
  <c r="AC349" i="28"/>
  <c r="AL349" i="28"/>
  <c r="AQ350" i="28"/>
  <c r="AW350" i="28"/>
  <c r="AR350" i="28"/>
  <c r="AG350" i="28"/>
  <c r="AH349" i="28"/>
  <c r="AF349" i="28"/>
  <c r="AH350" i="28"/>
  <c r="AE350" i="28"/>
  <c r="AS349" i="28"/>
  <c r="AD350" i="28"/>
  <c r="AP350" i="28"/>
  <c r="AN349" i="28"/>
  <c r="AT350" i="28"/>
  <c r="AK350" i="28"/>
  <c r="AI349" i="28"/>
  <c r="AR349" i="28"/>
  <c r="AA350" i="28"/>
  <c r="AO349" i="28"/>
  <c r="AA349" i="28"/>
  <c r="AU350" i="28"/>
  <c r="Z349" i="28"/>
  <c r="AM350" i="28"/>
  <c r="AN350" i="28"/>
  <c r="M372" i="28"/>
  <c r="AK372" i="28"/>
  <c r="AD373" i="28"/>
  <c r="AA373" i="28"/>
  <c r="AQ372" i="28"/>
  <c r="AH373" i="28"/>
  <c r="AF373" i="28"/>
  <c r="AJ372" i="28"/>
  <c r="AC373" i="28"/>
  <c r="AT373" i="28"/>
  <c r="AA372" i="28"/>
  <c r="AU372" i="28"/>
  <c r="AH372" i="28"/>
  <c r="AR372" i="28"/>
  <c r="AK373" i="28"/>
  <c r="AM372" i="28"/>
  <c r="AO372" i="28"/>
  <c r="AQ373" i="28"/>
  <c r="AV373" i="28"/>
  <c r="AJ373" i="28"/>
  <c r="AD372" i="28"/>
  <c r="AN373" i="28"/>
  <c r="AP373" i="28"/>
  <c r="AV372" i="28"/>
  <c r="AG372" i="28"/>
  <c r="AC372" i="28"/>
  <c r="AN372" i="28"/>
  <c r="AW372" i="28"/>
  <c r="AS372" i="28"/>
  <c r="AO373" i="28"/>
  <c r="AG373" i="28"/>
  <c r="AR373" i="28"/>
  <c r="AL372" i="28"/>
  <c r="Z372" i="28"/>
  <c r="AP372" i="28"/>
  <c r="AU373" i="28"/>
  <c r="AF372" i="28"/>
  <c r="AT372" i="28"/>
  <c r="AI373" i="28"/>
  <c r="AI372" i="28"/>
  <c r="AB372" i="28"/>
  <c r="AL373" i="28"/>
  <c r="AM373" i="28"/>
  <c r="AB373" i="28"/>
  <c r="AS373" i="28"/>
  <c r="AW373" i="28"/>
  <c r="Z373" i="28"/>
  <c r="AE373" i="28"/>
  <c r="AE372" i="28"/>
  <c r="C340" i="28"/>
  <c r="Z340" i="28"/>
  <c r="AH340" i="28"/>
  <c r="AP340" i="28"/>
  <c r="AE340" i="28"/>
  <c r="AN340" i="28"/>
  <c r="AW340" i="28"/>
  <c r="AR340" i="28"/>
  <c r="AF340" i="28"/>
  <c r="AO340" i="28"/>
  <c r="AQ340" i="28"/>
  <c r="AI340" i="28"/>
  <c r="AG340" i="28"/>
  <c r="AD340" i="28"/>
  <c r="AM340" i="28"/>
  <c r="AV340" i="28"/>
  <c r="AT340" i="28"/>
  <c r="AA340" i="28"/>
  <c r="AU340" i="28"/>
  <c r="AB340" i="28"/>
  <c r="AC340" i="28"/>
  <c r="AK340" i="28"/>
  <c r="AL340" i="28"/>
  <c r="AS340" i="28"/>
  <c r="AJ340" i="28"/>
  <c r="X330" i="28"/>
  <c r="AQ329" i="28"/>
  <c r="AC330" i="28"/>
  <c r="AD330" i="28"/>
  <c r="AJ330" i="28"/>
  <c r="AI330" i="28"/>
  <c r="AL329" i="28"/>
  <c r="AN329" i="28"/>
  <c r="AK330" i="28"/>
  <c r="AU330" i="28"/>
  <c r="AW330" i="28"/>
  <c r="AU329" i="28"/>
  <c r="AP330" i="28"/>
  <c r="AV329" i="28"/>
  <c r="AT330" i="28"/>
  <c r="AB329" i="28"/>
  <c r="AK329" i="28"/>
  <c r="AR330" i="28"/>
  <c r="AD329" i="28"/>
  <c r="AN330" i="28"/>
  <c r="Z329" i="28"/>
  <c r="AA329" i="28"/>
  <c r="AG329" i="28"/>
  <c r="AC329" i="28"/>
  <c r="AE329" i="28"/>
  <c r="AH329" i="28"/>
  <c r="AS329" i="28"/>
  <c r="AH330" i="28"/>
  <c r="AF329" i="28"/>
  <c r="AL330" i="28"/>
  <c r="AS330" i="28"/>
  <c r="AM329" i="28"/>
  <c r="AV330" i="28"/>
  <c r="AI329" i="28"/>
  <c r="AJ329" i="28"/>
  <c r="AP329" i="28"/>
  <c r="Z330" i="28"/>
  <c r="AO329" i="28"/>
  <c r="AR329" i="28"/>
  <c r="AA330" i="28"/>
  <c r="AQ330" i="28"/>
  <c r="AB330" i="28"/>
  <c r="AM330" i="28"/>
  <c r="AO330" i="28"/>
  <c r="AW329" i="28"/>
  <c r="AG330" i="28"/>
  <c r="AF330" i="28"/>
  <c r="AT329" i="28"/>
  <c r="AE330" i="28"/>
  <c r="G372" i="28"/>
  <c r="F373" i="28"/>
  <c r="W373" i="28"/>
  <c r="N373" i="28"/>
  <c r="P329" i="28"/>
  <c r="M330" i="28"/>
  <c r="B373" i="28"/>
  <c r="F330" i="28"/>
  <c r="Q329" i="28"/>
  <c r="K330" i="28"/>
  <c r="S373" i="28"/>
  <c r="D329" i="28"/>
  <c r="V330" i="28"/>
  <c r="N372" i="28"/>
  <c r="R373" i="28"/>
  <c r="H330" i="28"/>
  <c r="T372" i="28"/>
  <c r="E373" i="28"/>
  <c r="K373" i="28"/>
  <c r="B330" i="28"/>
  <c r="D330" i="28"/>
  <c r="Q372" i="28"/>
  <c r="E372" i="28"/>
  <c r="C372" i="28"/>
  <c r="V329" i="28"/>
  <c r="L373" i="28"/>
  <c r="H372" i="28"/>
  <c r="G329" i="28"/>
  <c r="I330" i="28"/>
  <c r="C329" i="28"/>
  <c r="B329" i="28"/>
  <c r="F372" i="28"/>
  <c r="V373" i="28"/>
  <c r="Q330" i="28"/>
  <c r="L330" i="28"/>
  <c r="L329" i="28"/>
  <c r="O330" i="28"/>
  <c r="O329" i="28"/>
  <c r="R372" i="28"/>
  <c r="D372" i="28"/>
  <c r="D373" i="28"/>
  <c r="C373" i="28"/>
  <c r="R330" i="28"/>
  <c r="E330" i="28"/>
  <c r="G373" i="28"/>
  <c r="W330" i="28"/>
  <c r="R329" i="28"/>
  <c r="J329" i="28"/>
  <c r="C330" i="28"/>
  <c r="L372" i="28"/>
  <c r="U373" i="28"/>
  <c r="V372" i="28"/>
  <c r="P373" i="28"/>
  <c r="H373" i="28"/>
  <c r="F329" i="28"/>
  <c r="J373" i="28"/>
  <c r="O372" i="28"/>
  <c r="G330" i="28"/>
  <c r="S329" i="28"/>
  <c r="J330" i="28"/>
  <c r="T329" i="28"/>
  <c r="W329" i="28"/>
  <c r="B372" i="28"/>
  <c r="W372" i="28"/>
  <c r="P372" i="28"/>
  <c r="S372" i="28"/>
  <c r="K372" i="28"/>
  <c r="M329" i="28"/>
  <c r="N329" i="28"/>
  <c r="O373" i="28"/>
  <c r="N330" i="28"/>
  <c r="K329" i="28"/>
  <c r="S330" i="28"/>
  <c r="E329" i="28"/>
  <c r="T330" i="28"/>
  <c r="P330" i="28"/>
  <c r="I373" i="28"/>
  <c r="I372" i="28"/>
  <c r="X373" i="28"/>
  <c r="I329" i="28"/>
  <c r="T373" i="28"/>
  <c r="X350" i="28"/>
  <c r="Y349" i="28"/>
  <c r="Y350" i="28"/>
  <c r="X349" i="28"/>
  <c r="Y361" i="28"/>
  <c r="X361" i="28"/>
  <c r="G383" i="28"/>
  <c r="O383" i="28"/>
  <c r="W383" i="28"/>
  <c r="K383" i="28"/>
  <c r="H383" i="28"/>
  <c r="P383" i="28"/>
  <c r="X383" i="28"/>
  <c r="S383" i="28"/>
  <c r="I383" i="28"/>
  <c r="Q383" i="28"/>
  <c r="Y383" i="28"/>
  <c r="J383" i="28"/>
  <c r="R383" i="28"/>
  <c r="B383" i="28"/>
  <c r="C383" i="28"/>
  <c r="E383" i="28"/>
  <c r="M383" i="28"/>
  <c r="U383" i="28"/>
  <c r="F383" i="28"/>
  <c r="N383" i="28"/>
  <c r="V383" i="28"/>
  <c r="T383" i="28"/>
  <c r="D383" i="28"/>
  <c r="L383" i="28"/>
  <c r="I403" i="28"/>
  <c r="Q403" i="28"/>
  <c r="Y403" i="28"/>
  <c r="M403" i="28"/>
  <c r="J403" i="28"/>
  <c r="R403" i="28"/>
  <c r="B403" i="28"/>
  <c r="N404" i="28" s="1"/>
  <c r="N403" i="28"/>
  <c r="C403" i="28"/>
  <c r="K403" i="28"/>
  <c r="S403" i="28"/>
  <c r="D403" i="28"/>
  <c r="L403" i="28"/>
  <c r="T403" i="28"/>
  <c r="E403" i="28"/>
  <c r="U403" i="28"/>
  <c r="F403" i="28"/>
  <c r="V403" i="28"/>
  <c r="G403" i="28"/>
  <c r="O403" i="28"/>
  <c r="W403" i="28"/>
  <c r="H403" i="28"/>
  <c r="P403" i="28"/>
  <c r="X403" i="28"/>
  <c r="G412" i="28"/>
  <c r="O412" i="28"/>
  <c r="W412" i="28"/>
  <c r="H412" i="28"/>
  <c r="P412" i="28"/>
  <c r="X412" i="28"/>
  <c r="D412" i="28"/>
  <c r="L412" i="28"/>
  <c r="T412" i="28"/>
  <c r="I412" i="28"/>
  <c r="Q412" i="28"/>
  <c r="Y412" i="28"/>
  <c r="J412" i="28"/>
  <c r="R412" i="28"/>
  <c r="B412" i="28"/>
  <c r="C412" i="28"/>
  <c r="K412" i="28"/>
  <c r="S412" i="28"/>
  <c r="E412" i="28"/>
  <c r="M412" i="28"/>
  <c r="U412" i="28"/>
  <c r="F412" i="28"/>
  <c r="N412" i="28"/>
  <c r="V412" i="28"/>
  <c r="Y330" i="28"/>
  <c r="Y329" i="28"/>
  <c r="X329" i="28"/>
  <c r="H329" i="28"/>
  <c r="C318" i="28"/>
  <c r="X318" i="28"/>
  <c r="Y318" i="28"/>
  <c r="Y372" i="28"/>
  <c r="Y373" i="28"/>
  <c r="X372" i="28"/>
  <c r="U372" i="28"/>
  <c r="X340" i="28"/>
  <c r="Y340" i="28"/>
  <c r="J349" i="28"/>
  <c r="I349" i="28"/>
  <c r="W349" i="28"/>
  <c r="B350" i="28"/>
  <c r="V349" i="28"/>
  <c r="Q350" i="28"/>
  <c r="R350" i="28"/>
  <c r="D350" i="28"/>
  <c r="F350" i="28"/>
  <c r="G350" i="28"/>
  <c r="G349" i="28"/>
  <c r="S350" i="28"/>
  <c r="M349" i="28"/>
  <c r="C350" i="28"/>
  <c r="D349" i="28"/>
  <c r="U349" i="28"/>
  <c r="N350" i="28"/>
  <c r="O350" i="28"/>
  <c r="V350" i="28"/>
  <c r="F349" i="28"/>
  <c r="T350" i="28"/>
  <c r="E349" i="28"/>
  <c r="K349" i="28"/>
  <c r="L349" i="28"/>
  <c r="P349" i="28"/>
  <c r="W350" i="28"/>
  <c r="L350" i="28"/>
  <c r="R349" i="28"/>
  <c r="S349" i="28"/>
  <c r="T349" i="28"/>
  <c r="Q349" i="28"/>
  <c r="E350" i="28"/>
  <c r="H350" i="28"/>
  <c r="O349" i="28"/>
  <c r="C349" i="28"/>
  <c r="U350" i="28"/>
  <c r="P350" i="28"/>
  <c r="M350" i="28"/>
  <c r="K350" i="28"/>
  <c r="I350" i="28"/>
  <c r="H349" i="28"/>
  <c r="N349" i="28"/>
  <c r="J350" i="28"/>
  <c r="G361" i="28"/>
  <c r="O361" i="28"/>
  <c r="W361" i="28"/>
  <c r="D361" i="28"/>
  <c r="K361" i="28"/>
  <c r="F361" i="28"/>
  <c r="N361" i="28"/>
  <c r="V361" i="28"/>
  <c r="L361" i="28"/>
  <c r="J361" i="28"/>
  <c r="E361" i="28"/>
  <c r="M361" i="28"/>
  <c r="U361" i="28"/>
  <c r="T361" i="28"/>
  <c r="S361" i="28"/>
  <c r="I361" i="28"/>
  <c r="Q361" i="28"/>
  <c r="C361" i="28"/>
  <c r="H361" i="28"/>
  <c r="P361" i="28"/>
  <c r="R361" i="28"/>
  <c r="M340" i="28"/>
  <c r="K340" i="28"/>
  <c r="H340" i="28"/>
  <c r="O340" i="28"/>
  <c r="U340" i="28"/>
  <c r="D340" i="28"/>
  <c r="I340" i="28"/>
  <c r="W340" i="28"/>
  <c r="L340" i="28"/>
  <c r="Q340" i="28"/>
  <c r="N340" i="28"/>
  <c r="T340" i="28"/>
  <c r="E340" i="28"/>
  <c r="S340" i="28"/>
  <c r="B340" i="28"/>
  <c r="P340" i="28"/>
  <c r="G340" i="28"/>
  <c r="J340" i="28"/>
  <c r="F340" i="28"/>
  <c r="V340" i="28"/>
  <c r="R340" i="28"/>
  <c r="K318" i="28"/>
  <c r="S318" i="28"/>
  <c r="W318" i="28"/>
  <c r="U318" i="28"/>
  <c r="D318" i="28"/>
  <c r="J318" i="28"/>
  <c r="R318" i="28"/>
  <c r="V318" i="28"/>
  <c r="E318" i="28"/>
  <c r="T318" i="28"/>
  <c r="I318" i="28"/>
  <c r="Q318" i="28"/>
  <c r="O318" i="28"/>
  <c r="N318" i="28"/>
  <c r="L318" i="28"/>
  <c r="H318" i="28"/>
  <c r="P318" i="28"/>
  <c r="G318" i="28"/>
  <c r="F318" i="28"/>
  <c r="M318" i="28"/>
  <c r="AS341" i="28" l="1"/>
  <c r="AG341" i="28"/>
  <c r="AC342" i="28"/>
  <c r="AO341" i="28"/>
  <c r="Z342" i="28"/>
  <c r="AQ342" i="28"/>
  <c r="AJ342" i="28"/>
  <c r="AK342" i="28"/>
  <c r="AU341" i="28"/>
  <c r="AW341" i="28"/>
  <c r="AH342" i="28"/>
  <c r="AD342" i="28"/>
  <c r="AR342" i="28"/>
  <c r="AS342" i="28"/>
  <c r="AE342" i="28"/>
  <c r="AO342" i="28"/>
  <c r="AA341" i="28"/>
  <c r="AF342" i="28"/>
  <c r="AV342" i="28"/>
  <c r="AT341" i="28"/>
  <c r="AF341" i="28"/>
  <c r="Z341" i="28"/>
  <c r="AJ341" i="28"/>
  <c r="AT342" i="28"/>
  <c r="AV341" i="28"/>
  <c r="AH341" i="28"/>
  <c r="AR341" i="28"/>
  <c r="AE341" i="28"/>
  <c r="AP341" i="28"/>
  <c r="AB342" i="28"/>
  <c r="AW342" i="28"/>
  <c r="AI341" i="28"/>
  <c r="AB341" i="28"/>
  <c r="AC341" i="28"/>
  <c r="AL342" i="28"/>
  <c r="AN341" i="28"/>
  <c r="AQ341" i="28"/>
  <c r="AK341" i="28"/>
  <c r="AA342" i="28"/>
  <c r="AN342" i="28"/>
  <c r="AI342" i="28"/>
  <c r="AM341" i="28"/>
  <c r="AG342" i="28"/>
  <c r="AP342" i="28"/>
  <c r="AU342" i="28"/>
  <c r="AM342" i="28"/>
  <c r="AL341" i="28"/>
  <c r="AD341" i="28"/>
  <c r="D413" i="28"/>
  <c r="AE413" i="28"/>
  <c r="AM413" i="28"/>
  <c r="AU413" i="28"/>
  <c r="AE414" i="28"/>
  <c r="AM414" i="28"/>
  <c r="AU414" i="28"/>
  <c r="AF413" i="28"/>
  <c r="AN413" i="28"/>
  <c r="AV413" i="28"/>
  <c r="AF414" i="28"/>
  <c r="AN414" i="28"/>
  <c r="AV414" i="28"/>
  <c r="AG413" i="28"/>
  <c r="AO413" i="28"/>
  <c r="AW413" i="28"/>
  <c r="AG414" i="28"/>
  <c r="AO414" i="28"/>
  <c r="AW414" i="28"/>
  <c r="AB413" i="28"/>
  <c r="AP413" i="28"/>
  <c r="AC414" i="28"/>
  <c r="AQ414" i="28"/>
  <c r="AC413" i="28"/>
  <c r="AQ413" i="28"/>
  <c r="AD414" i="28"/>
  <c r="AR414" i="28"/>
  <c r="AD413" i="28"/>
  <c r="AR413" i="28"/>
  <c r="AH414" i="28"/>
  <c r="AS414" i="28"/>
  <c r="AS413" i="28"/>
  <c r="AL414" i="28"/>
  <c r="Z413" i="28"/>
  <c r="AT413" i="28"/>
  <c r="AP414" i="28"/>
  <c r="AI413" i="28"/>
  <c r="AB414" i="28"/>
  <c r="AA413" i="28"/>
  <c r="Z414" i="28"/>
  <c r="AT414" i="28"/>
  <c r="AH413" i="28"/>
  <c r="AA414" i="28"/>
  <c r="AL413" i="28"/>
  <c r="AK414" i="28"/>
  <c r="AJ413" i="28"/>
  <c r="AK413" i="28"/>
  <c r="AI414" i="28"/>
  <c r="AJ414" i="28"/>
  <c r="P404" i="28"/>
  <c r="AJ404" i="28"/>
  <c r="AS404" i="28"/>
  <c r="AL405" i="28"/>
  <c r="AF404" i="28"/>
  <c r="AW404" i="28"/>
  <c r="AP405" i="28"/>
  <c r="AC405" i="28"/>
  <c r="AI404" i="28"/>
  <c r="AB405" i="28"/>
  <c r="AK405" i="28"/>
  <c r="AE404" i="28"/>
  <c r="AV404" i="28"/>
  <c r="AO405" i="28"/>
  <c r="AQ404" i="28"/>
  <c r="AJ405" i="28"/>
  <c r="AS405" i="28"/>
  <c r="AM404" i="28"/>
  <c r="AF405" i="28"/>
  <c r="AW405" i="28"/>
  <c r="AI405" i="28"/>
  <c r="AP404" i="28"/>
  <c r="AL404" i="28"/>
  <c r="AE405" i="28"/>
  <c r="AV405" i="28"/>
  <c r="AH404" i="28"/>
  <c r="AK404" i="28"/>
  <c r="AU405" i="28"/>
  <c r="AO404" i="28"/>
  <c r="AH405" i="28"/>
  <c r="AR404" i="28"/>
  <c r="AN404" i="28"/>
  <c r="AQ405" i="28"/>
  <c r="AC404" i="28"/>
  <c r="AT404" i="28"/>
  <c r="AM405" i="28"/>
  <c r="AG404" i="28"/>
  <c r="Z405" i="28"/>
  <c r="AB404" i="28"/>
  <c r="AD405" i="28"/>
  <c r="AA404" i="28"/>
  <c r="AT405" i="28"/>
  <c r="AG405" i="28"/>
  <c r="AA405" i="28"/>
  <c r="AR405" i="28"/>
  <c r="AD404" i="28"/>
  <c r="AU404" i="28"/>
  <c r="AN405" i="28"/>
  <c r="Z404" i="28"/>
  <c r="AA319" i="28"/>
  <c r="AG320" i="28"/>
  <c r="AN319" i="28"/>
  <c r="B319" i="28"/>
  <c r="B320" i="28"/>
  <c r="AO319" i="28"/>
  <c r="Z320" i="28"/>
  <c r="AL320" i="28"/>
  <c r="AS319" i="28"/>
  <c r="AK319" i="28"/>
  <c r="Z319" i="28"/>
  <c r="AL319" i="28"/>
  <c r="AP320" i="28"/>
  <c r="AW319" i="28"/>
  <c r="AF319" i="28"/>
  <c r="AA320" i="28"/>
  <c r="AS320" i="28"/>
  <c r="AU320" i="28"/>
  <c r="AT320" i="28"/>
  <c r="AK320" i="28"/>
  <c r="AO320" i="28"/>
  <c r="AG319" i="28"/>
  <c r="AM320" i="28"/>
  <c r="AC320" i="28"/>
  <c r="AD320" i="28"/>
  <c r="AH319" i="28"/>
  <c r="AU319" i="28"/>
  <c r="AH320" i="28"/>
  <c r="AI320" i="28"/>
  <c r="AN320" i="28"/>
  <c r="AQ319" i="28"/>
  <c r="AM319" i="28"/>
  <c r="AI319" i="28"/>
  <c r="AW320" i="28"/>
  <c r="AV319" i="28"/>
  <c r="AE319" i="28"/>
  <c r="AD319" i="28"/>
  <c r="AQ320" i="28"/>
  <c r="AP319" i="28"/>
  <c r="AV320" i="28"/>
  <c r="AE320" i="28"/>
  <c r="AT319" i="28"/>
  <c r="AF320" i="28"/>
  <c r="AC319" i="28"/>
  <c r="AR320" i="28"/>
  <c r="AB320" i="28"/>
  <c r="AJ320" i="28"/>
  <c r="AJ319" i="28"/>
  <c r="AB319" i="28"/>
  <c r="AR319" i="28"/>
  <c r="AI362" i="28"/>
  <c r="AB363" i="28"/>
  <c r="AG363" i="28"/>
  <c r="AJ363" i="28"/>
  <c r="AH362" i="28"/>
  <c r="AA363" i="28"/>
  <c r="AR363" i="28"/>
  <c r="AL362" i="28"/>
  <c r="AF363" i="28"/>
  <c r="AW363" i="28"/>
  <c r="AP362" i="28"/>
  <c r="AI363" i="28"/>
  <c r="AC362" i="28"/>
  <c r="AT362" i="28"/>
  <c r="AN363" i="28"/>
  <c r="AE362" i="28"/>
  <c r="AH363" i="28"/>
  <c r="AB362" i="28"/>
  <c r="AS362" i="28"/>
  <c r="AL363" i="28"/>
  <c r="AG362" i="28"/>
  <c r="AU362" i="28"/>
  <c r="AA362" i="28"/>
  <c r="AK363" i="28"/>
  <c r="AW362" i="28"/>
  <c r="AN362" i="28"/>
  <c r="AQ362" i="28"/>
  <c r="AV362" i="28"/>
  <c r="AP363" i="28"/>
  <c r="AJ362" i="28"/>
  <c r="AC363" i="28"/>
  <c r="AT363" i="28"/>
  <c r="AO362" i="28"/>
  <c r="AE363" i="28"/>
  <c r="AR362" i="28"/>
  <c r="AF362" i="28"/>
  <c r="AM363" i="28"/>
  <c r="AS363" i="28"/>
  <c r="AU363" i="28"/>
  <c r="Z362" i="28"/>
  <c r="AD362" i="28"/>
  <c r="AO363" i="28"/>
  <c r="AV363" i="28"/>
  <c r="AM362" i="28"/>
  <c r="Z363" i="28"/>
  <c r="AQ363" i="28"/>
  <c r="AK362" i="28"/>
  <c r="AD363" i="28"/>
  <c r="R384" i="28"/>
  <c r="AI385" i="28"/>
  <c r="AD384" i="28"/>
  <c r="AM384" i="28"/>
  <c r="AF385" i="28"/>
  <c r="AW385" i="28"/>
  <c r="AQ385" i="28"/>
  <c r="AL384" i="28"/>
  <c r="AH384" i="28"/>
  <c r="AJ384" i="28"/>
  <c r="AK384" i="28"/>
  <c r="AT384" i="28"/>
  <c r="AE385" i="28"/>
  <c r="AV385" i="28"/>
  <c r="AP384" i="28"/>
  <c r="AR384" i="28"/>
  <c r="AS384" i="28"/>
  <c r="AD385" i="28"/>
  <c r="AM385" i="28"/>
  <c r="AG384" i="28"/>
  <c r="Z385" i="28"/>
  <c r="AJ385" i="28"/>
  <c r="AK385" i="28"/>
  <c r="AT385" i="28"/>
  <c r="AF384" i="28"/>
  <c r="AW384" i="28"/>
  <c r="AA384" i="28"/>
  <c r="Z384" i="28"/>
  <c r="AE384" i="28"/>
  <c r="AO385" i="28"/>
  <c r="AB384" i="28"/>
  <c r="AU384" i="28"/>
  <c r="AR385" i="28"/>
  <c r="AS385" i="28"/>
  <c r="AA385" i="28"/>
  <c r="AN384" i="28"/>
  <c r="AG385" i="28"/>
  <c r="AI384" i="28"/>
  <c r="AP385" i="28"/>
  <c r="AV384" i="28"/>
  <c r="AQ384" i="28"/>
  <c r="AC384" i="28"/>
  <c r="AN385" i="28"/>
  <c r="AL385" i="28"/>
  <c r="AU385" i="28"/>
  <c r="AO384" i="28"/>
  <c r="AH385" i="28"/>
  <c r="AB385" i="28"/>
  <c r="AC385" i="28"/>
  <c r="I404" i="28"/>
  <c r="G384" i="28"/>
  <c r="W384" i="28"/>
  <c r="B384" i="28"/>
  <c r="C414" i="28"/>
  <c r="D384" i="28"/>
  <c r="S404" i="28"/>
  <c r="D405" i="28"/>
  <c r="K404" i="28"/>
  <c r="T384" i="28"/>
  <c r="C413" i="28"/>
  <c r="I413" i="28"/>
  <c r="Q405" i="28"/>
  <c r="E405" i="28"/>
  <c r="E384" i="28"/>
  <c r="K413" i="28"/>
  <c r="W404" i="28"/>
  <c r="H404" i="28"/>
  <c r="J413" i="28"/>
  <c r="S385" i="28"/>
  <c r="G414" i="28"/>
  <c r="H384" i="28"/>
  <c r="F385" i="28"/>
  <c r="K405" i="28"/>
  <c r="S384" i="28"/>
  <c r="L385" i="28"/>
  <c r="D404" i="28"/>
  <c r="S405" i="28"/>
  <c r="I385" i="28"/>
  <c r="E385" i="28"/>
  <c r="B385" i="28"/>
  <c r="K385" i="28"/>
  <c r="U384" i="28"/>
  <c r="V384" i="28"/>
  <c r="W385" i="28"/>
  <c r="Q384" i="28"/>
  <c r="F413" i="28"/>
  <c r="S414" i="28"/>
  <c r="P384" i="28"/>
  <c r="K384" i="28"/>
  <c r="L384" i="28"/>
  <c r="G413" i="28"/>
  <c r="T413" i="28"/>
  <c r="H414" i="28"/>
  <c r="T405" i="28"/>
  <c r="O404" i="28"/>
  <c r="U414" i="28"/>
  <c r="L414" i="28"/>
  <c r="W414" i="28"/>
  <c r="D414" i="28"/>
  <c r="I405" i="28"/>
  <c r="C405" i="28"/>
  <c r="F414" i="28"/>
  <c r="K414" i="28"/>
  <c r="P385" i="28"/>
  <c r="C385" i="28"/>
  <c r="N384" i="28"/>
  <c r="C384" i="28"/>
  <c r="V385" i="28"/>
  <c r="J384" i="28"/>
  <c r="B414" i="28"/>
  <c r="E404" i="28"/>
  <c r="W413" i="28"/>
  <c r="P413" i="28"/>
  <c r="H413" i="28"/>
  <c r="N405" i="28"/>
  <c r="W405" i="28"/>
  <c r="B404" i="28"/>
  <c r="O414" i="28"/>
  <c r="E413" i="28"/>
  <c r="M404" i="28"/>
  <c r="L405" i="28"/>
  <c r="F404" i="28"/>
  <c r="V414" i="28"/>
  <c r="Q385" i="28"/>
  <c r="O384" i="28"/>
  <c r="D385" i="28"/>
  <c r="G385" i="28"/>
  <c r="J385" i="28"/>
  <c r="U404" i="28"/>
  <c r="R414" i="28"/>
  <c r="Q413" i="28"/>
  <c r="T404" i="28"/>
  <c r="B405" i="28"/>
  <c r="L404" i="28"/>
  <c r="I414" i="28"/>
  <c r="S413" i="28"/>
  <c r="H405" i="28"/>
  <c r="Y319" i="28"/>
  <c r="X320" i="28"/>
  <c r="Y320" i="28"/>
  <c r="X319" i="28"/>
  <c r="Y413" i="28"/>
  <c r="Y414" i="28"/>
  <c r="X414" i="28"/>
  <c r="X413" i="28"/>
  <c r="R413" i="28"/>
  <c r="G341" i="28"/>
  <c r="Y341" i="28"/>
  <c r="Y342" i="28"/>
  <c r="X341" i="28"/>
  <c r="X342" i="28"/>
  <c r="L413" i="28"/>
  <c r="U405" i="28"/>
  <c r="R404" i="28"/>
  <c r="Y362" i="28"/>
  <c r="Y363" i="28"/>
  <c r="X362" i="28"/>
  <c r="X363" i="28"/>
  <c r="H385" i="28"/>
  <c r="M384" i="28"/>
  <c r="N385" i="28"/>
  <c r="F384" i="28"/>
  <c r="Q404" i="28"/>
  <c r="F405" i="28"/>
  <c r="V413" i="28"/>
  <c r="B413" i="28"/>
  <c r="C404" i="28"/>
  <c r="V404" i="28"/>
  <c r="P414" i="28"/>
  <c r="V405" i="28"/>
  <c r="J404" i="28"/>
  <c r="N414" i="28"/>
  <c r="Y404" i="28"/>
  <c r="Y405" i="28"/>
  <c r="X404" i="28"/>
  <c r="X405" i="28"/>
  <c r="G405" i="28"/>
  <c r="G404" i="28"/>
  <c r="E414" i="28"/>
  <c r="O413" i="28"/>
  <c r="R405" i="28"/>
  <c r="Y384" i="28"/>
  <c r="X384" i="28"/>
  <c r="Y385" i="28"/>
  <c r="X385" i="28"/>
  <c r="U385" i="28"/>
  <c r="M385" i="28"/>
  <c r="T385" i="28"/>
  <c r="O385" i="28"/>
  <c r="R385" i="28"/>
  <c r="I384" i="28"/>
  <c r="Q414" i="28"/>
  <c r="J405" i="28"/>
  <c r="M413" i="28"/>
  <c r="J414" i="28"/>
  <c r="N413" i="28"/>
  <c r="P405" i="28"/>
  <c r="M414" i="28"/>
  <c r="M405" i="28"/>
  <c r="O405" i="28"/>
  <c r="T414" i="28"/>
  <c r="U413" i="28"/>
  <c r="B362" i="28"/>
  <c r="B363" i="28"/>
  <c r="I341" i="28"/>
  <c r="U341" i="28"/>
  <c r="K342" i="28"/>
  <c r="S342" i="28"/>
  <c r="K363" i="28"/>
  <c r="S363" i="28"/>
  <c r="E362" i="28"/>
  <c r="M362" i="28"/>
  <c r="U362" i="28"/>
  <c r="G363" i="28"/>
  <c r="I362" i="28"/>
  <c r="F363" i="28"/>
  <c r="P362" i="28"/>
  <c r="J363" i="28"/>
  <c r="R363" i="28"/>
  <c r="D362" i="28"/>
  <c r="L362" i="28"/>
  <c r="T362" i="28"/>
  <c r="P363" i="28"/>
  <c r="J362" i="28"/>
  <c r="W363" i="28"/>
  <c r="C362" i="28"/>
  <c r="V363" i="28"/>
  <c r="I363" i="28"/>
  <c r="Q363" i="28"/>
  <c r="C363" i="28"/>
  <c r="K362" i="28"/>
  <c r="S362" i="28"/>
  <c r="H363" i="28"/>
  <c r="R362" i="28"/>
  <c r="O363" i="28"/>
  <c r="Q362" i="28"/>
  <c r="H362" i="28"/>
  <c r="E363" i="28"/>
  <c r="M363" i="28"/>
  <c r="U363" i="28"/>
  <c r="G362" i="28"/>
  <c r="O362" i="28"/>
  <c r="W362" i="28"/>
  <c r="D363" i="28"/>
  <c r="L363" i="28"/>
  <c r="T363" i="28"/>
  <c r="F362" i="28"/>
  <c r="N362" i="28"/>
  <c r="V362" i="28"/>
  <c r="N363" i="28"/>
  <c r="V342" i="28"/>
  <c r="W341" i="28"/>
  <c r="D341" i="28"/>
  <c r="J342" i="28"/>
  <c r="T342" i="28"/>
  <c r="J341" i="28"/>
  <c r="M341" i="28"/>
  <c r="R341" i="28"/>
  <c r="D342" i="28"/>
  <c r="P341" i="28"/>
  <c r="H342" i="28"/>
  <c r="E342" i="28"/>
  <c r="P342" i="28"/>
  <c r="V341" i="28"/>
  <c r="F342" i="28"/>
  <c r="L342" i="28"/>
  <c r="L341" i="28"/>
  <c r="O341" i="28"/>
  <c r="R342" i="28"/>
  <c r="U342" i="28"/>
  <c r="G342" i="28"/>
  <c r="Q341" i="28"/>
  <c r="M342" i="28"/>
  <c r="T341" i="28"/>
  <c r="C341" i="28"/>
  <c r="O342" i="28"/>
  <c r="B341" i="28"/>
  <c r="N341" i="28"/>
  <c r="I342" i="28"/>
  <c r="K341" i="28"/>
  <c r="W342" i="28"/>
  <c r="N342" i="28"/>
  <c r="E341" i="28"/>
  <c r="Q342" i="28"/>
  <c r="S341" i="28"/>
  <c r="H341" i="28"/>
  <c r="F341" i="28"/>
  <c r="C342" i="28"/>
  <c r="B342" i="28"/>
  <c r="G320" i="28"/>
  <c r="O320" i="28"/>
  <c r="W320" i="28"/>
  <c r="I319" i="28"/>
  <c r="Q319" i="28"/>
  <c r="C319" i="28"/>
  <c r="M319" i="28"/>
  <c r="J320" i="28"/>
  <c r="T319" i="28"/>
  <c r="C320" i="28"/>
  <c r="P320" i="28"/>
  <c r="F320" i="28"/>
  <c r="N320" i="28"/>
  <c r="V320" i="28"/>
  <c r="H319" i="28"/>
  <c r="P319" i="28"/>
  <c r="S320" i="28"/>
  <c r="U319" i="28"/>
  <c r="L319" i="28"/>
  <c r="I320" i="28"/>
  <c r="J319" i="28"/>
  <c r="E320" i="28"/>
  <c r="M320" i="28"/>
  <c r="U320" i="28"/>
  <c r="G319" i="28"/>
  <c r="O319" i="28"/>
  <c r="W319" i="28"/>
  <c r="E319" i="28"/>
  <c r="D319" i="28"/>
  <c r="Q320" i="28"/>
  <c r="S319" i="28"/>
  <c r="H320" i="28"/>
  <c r="D320" i="28"/>
  <c r="L320" i="28"/>
  <c r="T320" i="28"/>
  <c r="F319" i="28"/>
  <c r="N319" i="28"/>
  <c r="V319" i="28"/>
  <c r="K320" i="28"/>
  <c r="R320" i="28"/>
  <c r="K319" i="28"/>
  <c r="R319" i="28"/>
  <c r="Z135" i="10"/>
  <c r="Z134" i="10"/>
  <c r="Z133" i="10"/>
  <c r="Z132" i="10"/>
  <c r="Z141" i="10"/>
  <c r="Z140" i="10"/>
  <c r="Z139" i="10"/>
  <c r="Z138" i="10"/>
  <c r="Z137" i="10"/>
  <c r="Z136" i="10"/>
  <c r="D111" i="8" l="1"/>
  <c r="D110" i="8"/>
  <c r="O355" i="28" l="1"/>
  <c r="P355" i="28"/>
  <c r="Q355" i="28"/>
  <c r="R355" i="28"/>
  <c r="S355" i="28"/>
  <c r="T355" i="28"/>
  <c r="U355" i="28"/>
  <c r="V355" i="28"/>
  <c r="N334" i="28"/>
  <c r="O334" i="28"/>
  <c r="P334" i="28"/>
  <c r="Q334" i="28"/>
  <c r="R334" i="28"/>
  <c r="S334" i="28"/>
  <c r="T334" i="28"/>
  <c r="U334" i="28"/>
  <c r="V334" i="28"/>
  <c r="W334" i="28"/>
  <c r="M334" i="28"/>
  <c r="C333" i="28"/>
  <c r="D333" i="28"/>
  <c r="E333" i="28"/>
  <c r="F333" i="28"/>
  <c r="G333" i="28"/>
  <c r="H333" i="28"/>
  <c r="I333" i="28"/>
  <c r="J333" i="28"/>
  <c r="K333" i="28"/>
  <c r="L333" i="28"/>
  <c r="M333" i="28"/>
  <c r="B333" i="28"/>
  <c r="O23" i="28"/>
  <c r="P23" i="28"/>
  <c r="Q23" i="28"/>
  <c r="R23" i="28"/>
  <c r="S23" i="28"/>
  <c r="T23" i="28"/>
  <c r="U23" i="28"/>
  <c r="V23" i="28"/>
  <c r="W23" i="28"/>
  <c r="X23" i="28"/>
  <c r="N23" i="28"/>
  <c r="N398" i="28"/>
  <c r="O398" i="28"/>
  <c r="P398" i="28"/>
  <c r="Q398" i="28"/>
  <c r="R398" i="28"/>
  <c r="S398" i="28"/>
  <c r="T398" i="28"/>
  <c r="U398" i="28"/>
  <c r="V398" i="28"/>
  <c r="W398" i="28"/>
  <c r="M398" i="28"/>
  <c r="C397" i="28"/>
  <c r="D397" i="28"/>
  <c r="E397" i="28"/>
  <c r="F397" i="28"/>
  <c r="G397" i="28"/>
  <c r="H397" i="28"/>
  <c r="I397" i="28"/>
  <c r="J397" i="28"/>
  <c r="K397" i="28"/>
  <c r="L397" i="28"/>
  <c r="M397" i="28"/>
  <c r="B397" i="28"/>
  <c r="N378" i="28"/>
  <c r="O378" i="28"/>
  <c r="P378" i="28"/>
  <c r="Q378" i="28"/>
  <c r="R378" i="28"/>
  <c r="S378" i="28"/>
  <c r="T378" i="28"/>
  <c r="U378" i="28"/>
  <c r="V378" i="28"/>
  <c r="W378" i="28"/>
  <c r="M378" i="28"/>
  <c r="C377" i="28"/>
  <c r="D377" i="28"/>
  <c r="E377" i="28"/>
  <c r="F377" i="28"/>
  <c r="G377" i="28"/>
  <c r="H377" i="28"/>
  <c r="I377" i="28"/>
  <c r="J377" i="28"/>
  <c r="K377" i="28"/>
  <c r="L377" i="28"/>
  <c r="M377" i="28"/>
  <c r="B377" i="28"/>
  <c r="J4" i="34"/>
  <c r="M4" i="34"/>
  <c r="N4" i="34"/>
  <c r="J5" i="34"/>
  <c r="M5" i="34"/>
  <c r="N5" i="34"/>
  <c r="J6" i="34"/>
  <c r="J7" i="34"/>
  <c r="J8" i="34"/>
  <c r="M8" i="34"/>
  <c r="N8" i="34"/>
  <c r="J10" i="34"/>
  <c r="M10" i="34"/>
  <c r="N10" i="34"/>
  <c r="R10" i="34"/>
  <c r="I10" i="34" s="1"/>
  <c r="V10" i="34"/>
  <c r="J11" i="34"/>
  <c r="M11" i="34"/>
  <c r="N11" i="34"/>
  <c r="R11" i="34"/>
  <c r="I11" i="34" s="1"/>
  <c r="V11" i="34"/>
  <c r="J12" i="34"/>
  <c r="J13" i="34"/>
  <c r="M13" i="34"/>
  <c r="N13" i="34"/>
  <c r="J14" i="34"/>
  <c r="J15" i="34"/>
  <c r="J16" i="34"/>
  <c r="J17" i="34"/>
  <c r="J23" i="34"/>
  <c r="J24" i="34"/>
  <c r="J25" i="34"/>
  <c r="J26" i="34"/>
  <c r="J27" i="34"/>
  <c r="J28" i="34"/>
  <c r="M28" i="34"/>
  <c r="N28" i="34"/>
  <c r="J29" i="34"/>
  <c r="M29" i="34"/>
  <c r="N29" i="34"/>
  <c r="J30" i="34"/>
  <c r="I34" i="34"/>
  <c r="J34" i="34"/>
  <c r="V34" i="34"/>
  <c r="R35" i="34"/>
  <c r="S35" i="34"/>
  <c r="T35" i="34"/>
  <c r="U35" i="34"/>
  <c r="I36" i="34"/>
  <c r="R36" i="34"/>
  <c r="S36" i="34"/>
  <c r="T36" i="34"/>
  <c r="U36" i="34"/>
  <c r="I37" i="34"/>
  <c r="R37" i="34"/>
  <c r="S37" i="34"/>
  <c r="T37" i="34"/>
  <c r="U37" i="34"/>
  <c r="I38" i="34"/>
  <c r="R38" i="34"/>
  <c r="S38" i="34"/>
  <c r="T38" i="34"/>
  <c r="U38" i="34"/>
  <c r="I39" i="34"/>
  <c r="R39" i="34"/>
  <c r="S39" i="34"/>
  <c r="T39" i="34"/>
  <c r="U39" i="34"/>
  <c r="I40" i="34"/>
  <c r="R40" i="34"/>
  <c r="S40" i="34"/>
  <c r="T40" i="34"/>
  <c r="U40" i="34"/>
  <c r="M41" i="34"/>
  <c r="N41" i="34"/>
  <c r="J42" i="34"/>
  <c r="M42" i="34"/>
  <c r="N42" i="34"/>
  <c r="J43" i="34"/>
  <c r="M43" i="34"/>
  <c r="N43" i="34"/>
  <c r="J44" i="34"/>
  <c r="N44" i="34"/>
  <c r="J45" i="34"/>
  <c r="N45" i="34"/>
  <c r="J46" i="34"/>
  <c r="M46" i="34"/>
  <c r="N46" i="34"/>
  <c r="R46" i="34"/>
  <c r="I46" i="34" s="1"/>
  <c r="V46" i="34"/>
  <c r="J47" i="34"/>
  <c r="N47" i="34"/>
  <c r="V47" i="34"/>
  <c r="J51" i="34"/>
  <c r="M51" i="34"/>
  <c r="N51" i="34"/>
  <c r="C6" i="33"/>
  <c r="B9" i="28"/>
  <c r="R28" i="34" s="1"/>
  <c r="I28" i="34" s="1"/>
  <c r="B10" i="28"/>
  <c r="B34" i="33" s="1"/>
  <c r="B9" i="52"/>
  <c r="C9" i="52"/>
  <c r="D9" i="52"/>
  <c r="E9" i="52"/>
  <c r="B4" i="26"/>
  <c r="R43" i="34" s="1"/>
  <c r="I43" i="34" s="1"/>
  <c r="B5" i="26"/>
  <c r="V43" i="34" s="1"/>
  <c r="J14" i="26"/>
  <c r="K14" i="26"/>
  <c r="L14" i="26"/>
  <c r="M14" i="26"/>
  <c r="B15" i="26"/>
  <c r="C15" i="26"/>
  <c r="D15" i="26"/>
  <c r="E15" i="26"/>
  <c r="F15" i="26"/>
  <c r="G15" i="26"/>
  <c r="H15" i="26"/>
  <c r="I15" i="26"/>
  <c r="J15" i="26"/>
  <c r="K15" i="26"/>
  <c r="B4" i="27"/>
  <c r="R41" i="34" s="1"/>
  <c r="I41" i="34" s="1"/>
  <c r="B5" i="27"/>
  <c r="B3" i="50"/>
  <c r="C3" i="50"/>
  <c r="B4" i="50"/>
  <c r="N27" i="34" s="1"/>
  <c r="B4" i="24"/>
  <c r="R27" i="34" s="1"/>
  <c r="I27" i="34" s="1"/>
  <c r="B5" i="24"/>
  <c r="B3" i="49"/>
  <c r="C3" i="49"/>
  <c r="B4" i="49"/>
  <c r="B5" i="23"/>
  <c r="V26" i="34" s="1"/>
  <c r="B20" i="23"/>
  <c r="C20" i="23"/>
  <c r="D20" i="23"/>
  <c r="E20" i="23"/>
  <c r="F20" i="23"/>
  <c r="G20" i="23"/>
  <c r="H20" i="23"/>
  <c r="H22" i="23" s="1"/>
  <c r="I20" i="23"/>
  <c r="I22" i="23" s="1"/>
  <c r="J20" i="23"/>
  <c r="J22" i="23" s="1"/>
  <c r="K20" i="23"/>
  <c r="K22" i="23" s="1"/>
  <c r="K11" i="23" s="1"/>
  <c r="L20" i="23"/>
  <c r="L22" i="23" s="1"/>
  <c r="M20" i="23"/>
  <c r="M22" i="23" s="1"/>
  <c r="M11" i="23" s="1"/>
  <c r="N20" i="23"/>
  <c r="N22" i="23" s="1"/>
  <c r="N11" i="23" s="1"/>
  <c r="O20" i="23"/>
  <c r="O22" i="23" s="1"/>
  <c r="P20" i="23"/>
  <c r="P22" i="23" s="1"/>
  <c r="Q20" i="23"/>
  <c r="Q22" i="23" s="1"/>
  <c r="R20" i="23"/>
  <c r="R22" i="23" s="1"/>
  <c r="S20" i="23"/>
  <c r="S22" i="23" s="1"/>
  <c r="S11" i="23" s="1"/>
  <c r="T20" i="23"/>
  <c r="T22" i="23" s="1"/>
  <c r="U20" i="23"/>
  <c r="U22" i="23" s="1"/>
  <c r="U11" i="23" s="1"/>
  <c r="V20" i="23"/>
  <c r="V22" i="23" s="1"/>
  <c r="V11" i="23" s="1"/>
  <c r="W20" i="23"/>
  <c r="W22" i="23" s="1"/>
  <c r="X20" i="23"/>
  <c r="X22" i="23" s="1"/>
  <c r="Y20" i="23"/>
  <c r="Y22" i="23" s="1"/>
  <c r="Z20" i="23"/>
  <c r="Z22" i="23" s="1"/>
  <c r="AA20" i="23"/>
  <c r="AA22" i="23" s="1"/>
  <c r="AA11" i="23" s="1"/>
  <c r="AB20" i="23"/>
  <c r="AB22" i="23" s="1"/>
  <c r="AC20" i="23"/>
  <c r="AC22" i="23" s="1"/>
  <c r="AC11" i="23" s="1"/>
  <c r="AD20" i="23"/>
  <c r="AD22" i="23" s="1"/>
  <c r="AE20" i="23"/>
  <c r="AE22" i="23" s="1"/>
  <c r="AF20" i="23"/>
  <c r="AF22" i="23" s="1"/>
  <c r="AG20" i="23"/>
  <c r="AG22" i="23" s="1"/>
  <c r="AH20" i="23"/>
  <c r="AH22" i="23" s="1"/>
  <c r="AI20" i="23"/>
  <c r="AI22" i="23" s="1"/>
  <c r="AI11" i="23" s="1"/>
  <c r="AJ20" i="23"/>
  <c r="AJ22" i="23" s="1"/>
  <c r="AK20" i="23"/>
  <c r="AK22" i="23" s="1"/>
  <c r="AK11" i="23" s="1"/>
  <c r="AL20" i="23"/>
  <c r="AL22" i="23" s="1"/>
  <c r="AL11" i="23" s="1"/>
  <c r="AM20" i="23"/>
  <c r="AM22" i="23" s="1"/>
  <c r="AN20" i="23"/>
  <c r="AN22" i="23" s="1"/>
  <c r="AO20" i="23"/>
  <c r="AO22" i="23" s="1"/>
  <c r="AP20" i="23"/>
  <c r="AP22" i="23" s="1"/>
  <c r="AQ20" i="23"/>
  <c r="AQ22" i="23" s="1"/>
  <c r="AQ11" i="23" s="1"/>
  <c r="AR20" i="23"/>
  <c r="AR22" i="23" s="1"/>
  <c r="AS20" i="23"/>
  <c r="AS22" i="23" s="1"/>
  <c r="AT20" i="23"/>
  <c r="AT22" i="23" s="1"/>
  <c r="AU20" i="23"/>
  <c r="AU22" i="23" s="1"/>
  <c r="AV20" i="23"/>
  <c r="AV22" i="23" s="1"/>
  <c r="AW20" i="23"/>
  <c r="AW22" i="23" s="1"/>
  <c r="B22" i="23"/>
  <c r="B11" i="23" s="1"/>
  <c r="C22" i="23"/>
  <c r="C11" i="23" s="1"/>
  <c r="D22" i="23"/>
  <c r="D11" i="23" s="1"/>
  <c r="E22" i="23"/>
  <c r="E11" i="23" s="1"/>
  <c r="F22" i="23"/>
  <c r="F11" i="23" s="1"/>
  <c r="G22" i="23"/>
  <c r="G11" i="23" s="1"/>
  <c r="B27" i="23"/>
  <c r="C27" i="23"/>
  <c r="D27" i="23"/>
  <c r="E27" i="23"/>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B29" i="23"/>
  <c r="C29" i="23"/>
  <c r="D29" i="23"/>
  <c r="E29"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AS29" i="23"/>
  <c r="AT29" i="23"/>
  <c r="AU29" i="23"/>
  <c r="AV29" i="23"/>
  <c r="AW29" i="23"/>
  <c r="B30" i="23"/>
  <c r="C30" i="23"/>
  <c r="D30" i="23"/>
  <c r="E30" i="23"/>
  <c r="F30" i="23"/>
  <c r="G30" i="23"/>
  <c r="H30" i="23"/>
  <c r="I30" i="23"/>
  <c r="J30" i="23"/>
  <c r="K30" i="23"/>
  <c r="L30" i="23"/>
  <c r="M30" i="23"/>
  <c r="N30" i="23"/>
  <c r="O30" i="23"/>
  <c r="P30" i="23"/>
  <c r="Q30" i="23"/>
  <c r="R30" i="23"/>
  <c r="S30" i="23"/>
  <c r="T30" i="23"/>
  <c r="U30" i="23"/>
  <c r="V30" i="23"/>
  <c r="W30" i="23"/>
  <c r="X30" i="23"/>
  <c r="Y30" i="23"/>
  <c r="Z30" i="23"/>
  <c r="AA30" i="23"/>
  <c r="AB30" i="23"/>
  <c r="AC30" i="23"/>
  <c r="AD30" i="23"/>
  <c r="AE30" i="23"/>
  <c r="AF30" i="23"/>
  <c r="AG30" i="23"/>
  <c r="AH30" i="23"/>
  <c r="AI30" i="23"/>
  <c r="AJ30" i="23"/>
  <c r="AK30" i="23"/>
  <c r="AL30" i="23"/>
  <c r="AM30" i="23"/>
  <c r="AN30" i="23"/>
  <c r="AO30" i="23"/>
  <c r="AP30" i="23"/>
  <c r="AQ30" i="23"/>
  <c r="AR30" i="23"/>
  <c r="AS30" i="23"/>
  <c r="AT30" i="23"/>
  <c r="AU30" i="23"/>
  <c r="AV30" i="23"/>
  <c r="AW30" i="23"/>
  <c r="R29" i="34"/>
  <c r="I29" i="34" s="1"/>
  <c r="B5" i="29"/>
  <c r="V29" i="34" s="1"/>
  <c r="R51" i="34"/>
  <c r="I51" i="34" s="1"/>
  <c r="B5" i="21"/>
  <c r="V51" i="34" s="1"/>
  <c r="B15" i="48"/>
  <c r="C15" i="48"/>
  <c r="D15" i="48"/>
  <c r="E15" i="48"/>
  <c r="F15" i="48"/>
  <c r="G15" i="48"/>
  <c r="H15" i="48"/>
  <c r="I15" i="48"/>
  <c r="B4" i="48" s="1"/>
  <c r="B5" i="25"/>
  <c r="T25" i="34" s="1"/>
  <c r="B6" i="25"/>
  <c r="B27" i="33" s="1"/>
  <c r="R25" i="34"/>
  <c r="I25" i="34" s="1"/>
  <c r="B3" i="47"/>
  <c r="C3" i="47"/>
  <c r="B4" i="47"/>
  <c r="F26" i="33" s="1"/>
  <c r="B5" i="20"/>
  <c r="B26" i="33" s="1"/>
  <c r="B13"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B15" i="46"/>
  <c r="C15" i="46"/>
  <c r="D15" i="46"/>
  <c r="E15" i="46"/>
  <c r="F15" i="46"/>
  <c r="G15" i="46"/>
  <c r="H15" i="46"/>
  <c r="I15" i="46"/>
  <c r="B4" i="46" s="1"/>
  <c r="B5" i="19"/>
  <c r="B6" i="19"/>
  <c r="V23" i="34" s="1"/>
  <c r="B7" i="35"/>
  <c r="R9" i="34" s="1"/>
  <c r="I8" i="34" s="1"/>
  <c r="B8" i="35"/>
  <c r="S9" i="34" s="1"/>
  <c r="B9" i="35"/>
  <c r="T9" i="34" s="1"/>
  <c r="B10" i="35"/>
  <c r="U9" i="34" s="1"/>
  <c r="B3" i="45"/>
  <c r="C3" i="45"/>
  <c r="B4" i="45"/>
  <c r="C4" i="45"/>
  <c r="B5" i="45"/>
  <c r="N6" i="34" s="1"/>
  <c r="B6" i="16"/>
  <c r="V7" i="34" s="1"/>
  <c r="C11" i="16"/>
  <c r="D11" i="16"/>
  <c r="E11" i="16" s="1"/>
  <c r="D12" i="16"/>
  <c r="E12" i="16" s="1"/>
  <c r="E13" i="16"/>
  <c r="D14" i="16"/>
  <c r="D15" i="16"/>
  <c r="D17" i="16"/>
  <c r="D18" i="16"/>
  <c r="D20" i="16"/>
  <c r="D21" i="16"/>
  <c r="C23" i="16"/>
  <c r="C24" i="16" s="1"/>
  <c r="C25" i="16" s="1"/>
  <c r="D23" i="16"/>
  <c r="E23" i="16" s="1"/>
  <c r="D24" i="16"/>
  <c r="E24" i="16" s="1"/>
  <c r="E25" i="16"/>
  <c r="D26" i="16"/>
  <c r="D27" i="16"/>
  <c r="D29" i="16"/>
  <c r="D30" i="16"/>
  <c r="D32" i="16"/>
  <c r="D33" i="16"/>
  <c r="C35" i="16"/>
  <c r="D35" i="16"/>
  <c r="E35" i="16" s="1"/>
  <c r="D36" i="16"/>
  <c r="E36" i="16" s="1"/>
  <c r="E37" i="16"/>
  <c r="D38" i="16"/>
  <c r="D39" i="16"/>
  <c r="D41" i="16"/>
  <c r="D42" i="16"/>
  <c r="D44" i="16"/>
  <c r="D45" i="16"/>
  <c r="C47" i="16"/>
  <c r="D47" i="16"/>
  <c r="E47" i="16" s="1"/>
  <c r="D48" i="16"/>
  <c r="E48" i="16" s="1"/>
  <c r="E49" i="16"/>
  <c r="E52" i="16" s="1"/>
  <c r="D50" i="16"/>
  <c r="D51" i="16"/>
  <c r="D53" i="16"/>
  <c r="D54" i="16"/>
  <c r="D56" i="16"/>
  <c r="D57" i="16"/>
  <c r="C59" i="16"/>
  <c r="D59" i="16"/>
  <c r="E59" i="16" s="1"/>
  <c r="D60" i="16"/>
  <c r="E60" i="16" s="1"/>
  <c r="E61" i="16"/>
  <c r="D62" i="16"/>
  <c r="D63" i="16"/>
  <c r="D65" i="16"/>
  <c r="D66" i="16"/>
  <c r="B6" i="15"/>
  <c r="V6" i="34" s="1"/>
  <c r="C11" i="15"/>
  <c r="C12" i="15" s="1"/>
  <c r="C13" i="15" s="1"/>
  <c r="C14" i="15" s="1"/>
  <c r="C15" i="15" s="1"/>
  <c r="C16" i="15" s="1"/>
  <c r="D11" i="15"/>
  <c r="E11" i="15" s="1"/>
  <c r="D12" i="15"/>
  <c r="E12" i="15" s="1"/>
  <c r="E13" i="15"/>
  <c r="D14" i="15"/>
  <c r="D15" i="15"/>
  <c r="D17" i="15"/>
  <c r="D18" i="15"/>
  <c r="D20" i="15"/>
  <c r="D21" i="15"/>
  <c r="C23" i="15"/>
  <c r="C24" i="15" s="1"/>
  <c r="C25" i="15" s="1"/>
  <c r="D23" i="15"/>
  <c r="E23" i="15" s="1"/>
  <c r="D24" i="15"/>
  <c r="E24" i="15" s="1"/>
  <c r="E25" i="15"/>
  <c r="D26" i="15"/>
  <c r="D27" i="15"/>
  <c r="D29" i="15"/>
  <c r="D30" i="15"/>
  <c r="D32" i="15"/>
  <c r="D33" i="15"/>
  <c r="C35" i="15"/>
  <c r="C36" i="15" s="1"/>
  <c r="C37" i="15" s="1"/>
  <c r="C38" i="15" s="1"/>
  <c r="C39" i="15" s="1"/>
  <c r="C40" i="15" s="1"/>
  <c r="C41" i="15" s="1"/>
  <c r="D35" i="15"/>
  <c r="E35" i="15" s="1"/>
  <c r="D36" i="15"/>
  <c r="E36" i="15" s="1"/>
  <c r="E37" i="15"/>
  <c r="E40" i="15" s="1"/>
  <c r="E43" i="15" s="1"/>
  <c r="D38" i="15"/>
  <c r="D39" i="15"/>
  <c r="D41" i="15"/>
  <c r="D42" i="15"/>
  <c r="D44" i="15"/>
  <c r="D45" i="15"/>
  <c r="C47" i="15"/>
  <c r="C48" i="15" s="1"/>
  <c r="D47" i="15"/>
  <c r="E47" i="15" s="1"/>
  <c r="D48" i="15"/>
  <c r="E48" i="15" s="1"/>
  <c r="E49" i="15"/>
  <c r="E52" i="15" s="1"/>
  <c r="D50" i="15"/>
  <c r="D51" i="15"/>
  <c r="D53" i="15"/>
  <c r="D54" i="15"/>
  <c r="D56" i="15"/>
  <c r="D57" i="15"/>
  <c r="C59" i="15"/>
  <c r="C60" i="15" s="1"/>
  <c r="D59" i="15"/>
  <c r="E59" i="15" s="1"/>
  <c r="D60" i="15"/>
  <c r="E60" i="15" s="1"/>
  <c r="E61" i="15"/>
  <c r="D62" i="15"/>
  <c r="D63" i="15"/>
  <c r="D65" i="15"/>
  <c r="D66" i="15"/>
  <c r="B5" i="13"/>
  <c r="V5" i="34" s="1"/>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C8" i="32"/>
  <c r="N20" i="34"/>
  <c r="B3" i="44"/>
  <c r="C3" i="44"/>
  <c r="B4" i="44"/>
  <c r="N17" i="34" s="1"/>
  <c r="X416" i="12"/>
  <c r="D11" i="62"/>
  <c r="H11" i="62"/>
  <c r="D12" i="62"/>
  <c r="B3" i="62" s="1"/>
  <c r="S47" i="34" s="1"/>
  <c r="H12" i="62"/>
  <c r="B4" i="62" s="1"/>
  <c r="S49" i="34" s="1"/>
  <c r="B4" i="11"/>
  <c r="B5" i="11"/>
  <c r="B4" i="42"/>
  <c r="B9" i="42"/>
  <c r="C9" i="42"/>
  <c r="D9" i="42"/>
  <c r="E9" i="42"/>
  <c r="F9" i="42"/>
  <c r="G9" i="42"/>
  <c r="H9" i="42"/>
  <c r="I9" i="42"/>
  <c r="J9" i="42"/>
  <c r="K9" i="42"/>
  <c r="L9" i="42"/>
  <c r="M9" i="42"/>
  <c r="N9" i="42"/>
  <c r="O9" i="42"/>
  <c r="P9" i="42"/>
  <c r="Q9" i="42"/>
  <c r="R9" i="42"/>
  <c r="S9" i="42"/>
  <c r="T9" i="42"/>
  <c r="U9" i="42"/>
  <c r="V9" i="42"/>
  <c r="R30" i="34"/>
  <c r="I30" i="34" s="1"/>
  <c r="V30" i="34"/>
  <c r="K36" i="10"/>
  <c r="L36" i="10"/>
  <c r="M36" i="10"/>
  <c r="N36" i="10"/>
  <c r="O36" i="10"/>
  <c r="P36" i="10"/>
  <c r="Q36" i="10"/>
  <c r="R36" i="10"/>
  <c r="S36" i="10"/>
  <c r="T36" i="10"/>
  <c r="U36" i="10"/>
  <c r="V36" i="10"/>
  <c r="W36" i="10"/>
  <c r="X36" i="10"/>
  <c r="Y36" i="10"/>
  <c r="Z36" i="10"/>
  <c r="AA36" i="10"/>
  <c r="AB36" i="10"/>
  <c r="AC36" i="10"/>
  <c r="AD36" i="10"/>
  <c r="AE36" i="10"/>
  <c r="AF36" i="10"/>
  <c r="AG36" i="10"/>
  <c r="AH36" i="10"/>
  <c r="AI36" i="10"/>
  <c r="AJ36" i="10"/>
  <c r="AK36" i="10"/>
  <c r="AL36" i="10"/>
  <c r="AM36" i="10"/>
  <c r="AN36" i="10"/>
  <c r="AO36" i="10"/>
  <c r="AP36" i="10"/>
  <c r="AQ36" i="10"/>
  <c r="K37" i="10"/>
  <c r="L37" i="10"/>
  <c r="M37" i="10"/>
  <c r="N37" i="10"/>
  <c r="O37" i="10"/>
  <c r="P37" i="10"/>
  <c r="Q37" i="10"/>
  <c r="R37" i="10"/>
  <c r="S37" i="10"/>
  <c r="T37" i="10"/>
  <c r="U37" i="10"/>
  <c r="V37" i="10"/>
  <c r="W37" i="10"/>
  <c r="X37" i="10"/>
  <c r="Y37" i="10"/>
  <c r="Z37" i="10"/>
  <c r="AA37" i="10"/>
  <c r="AB37" i="10"/>
  <c r="AC37" i="10"/>
  <c r="AD37" i="10"/>
  <c r="AE37" i="10"/>
  <c r="AF37" i="10"/>
  <c r="AG37" i="10"/>
  <c r="AH37" i="10"/>
  <c r="AI37" i="10"/>
  <c r="AJ37" i="10"/>
  <c r="AK37" i="10"/>
  <c r="AL37" i="10"/>
  <c r="AM37" i="10"/>
  <c r="AN37" i="10"/>
  <c r="AO37" i="10"/>
  <c r="AP37" i="10"/>
  <c r="AQ37" i="10"/>
  <c r="K38" i="10"/>
  <c r="L38" i="10"/>
  <c r="M38" i="10"/>
  <c r="N38" i="10"/>
  <c r="O38" i="10"/>
  <c r="P38" i="10"/>
  <c r="Q38" i="10"/>
  <c r="R38" i="10"/>
  <c r="S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L46" i="10"/>
  <c r="Q132" i="10"/>
  <c r="R132" i="10"/>
  <c r="S132" i="10"/>
  <c r="T132" i="10"/>
  <c r="U132" i="10"/>
  <c r="V132" i="10"/>
  <c r="W132" i="10"/>
  <c r="X132" i="10"/>
  <c r="Y132" i="10"/>
  <c r="Q133" i="10"/>
  <c r="R133" i="10"/>
  <c r="S133" i="10"/>
  <c r="T133" i="10"/>
  <c r="U133" i="10"/>
  <c r="V133" i="10"/>
  <c r="W133" i="10"/>
  <c r="X133" i="10"/>
  <c r="Y133" i="10"/>
  <c r="Q134" i="10"/>
  <c r="R134" i="10"/>
  <c r="S134" i="10"/>
  <c r="T134" i="10"/>
  <c r="U134" i="10"/>
  <c r="V134" i="10"/>
  <c r="W134" i="10"/>
  <c r="X134" i="10"/>
  <c r="Y134" i="10"/>
  <c r="Q135" i="10"/>
  <c r="R135" i="10"/>
  <c r="S135" i="10"/>
  <c r="T135" i="10"/>
  <c r="U135" i="10"/>
  <c r="V135" i="10"/>
  <c r="W135" i="10"/>
  <c r="X135" i="10"/>
  <c r="Y135" i="10"/>
  <c r="Q136" i="10"/>
  <c r="S136" i="10"/>
  <c r="T136" i="10"/>
  <c r="U136" i="10"/>
  <c r="V136" i="10"/>
  <c r="W136" i="10"/>
  <c r="X136" i="10"/>
  <c r="Y136" i="10"/>
  <c r="Q137" i="10"/>
  <c r="R137" i="10"/>
  <c r="S137" i="10"/>
  <c r="T137" i="10"/>
  <c r="U137" i="10"/>
  <c r="V137" i="10"/>
  <c r="W137" i="10"/>
  <c r="X137" i="10"/>
  <c r="Y137" i="10"/>
  <c r="Q138" i="10"/>
  <c r="R138" i="10"/>
  <c r="S138" i="10"/>
  <c r="T138" i="10"/>
  <c r="U138" i="10"/>
  <c r="V138" i="10"/>
  <c r="W138" i="10"/>
  <c r="X138" i="10"/>
  <c r="Y138" i="10"/>
  <c r="Q139" i="10"/>
  <c r="R139" i="10"/>
  <c r="S139" i="10"/>
  <c r="T139" i="10"/>
  <c r="U139" i="10"/>
  <c r="V139" i="10"/>
  <c r="W139" i="10"/>
  <c r="X139" i="10"/>
  <c r="Y139" i="10"/>
  <c r="Q140" i="10"/>
  <c r="R140" i="10"/>
  <c r="S140" i="10"/>
  <c r="T140" i="10"/>
  <c r="U140" i="10"/>
  <c r="V140" i="10"/>
  <c r="W140" i="10"/>
  <c r="X140" i="10"/>
  <c r="Y140" i="10"/>
  <c r="Q141" i="10"/>
  <c r="R141" i="10"/>
  <c r="S141" i="10"/>
  <c r="T141" i="10"/>
  <c r="U141" i="10"/>
  <c r="V141" i="10"/>
  <c r="W141" i="10"/>
  <c r="X141" i="10"/>
  <c r="Y141" i="10"/>
  <c r="R44" i="34"/>
  <c r="B7" i="9"/>
  <c r="R45" i="34" s="1"/>
  <c r="B8" i="9"/>
  <c r="V44" i="34" s="1"/>
  <c r="B5" i="8"/>
  <c r="V4" i="34" s="1"/>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N15" i="34"/>
  <c r="B7" i="7"/>
  <c r="R16" i="34" s="1"/>
  <c r="I16" i="34" s="1"/>
  <c r="B8" i="7"/>
  <c r="B107" i="7"/>
  <c r="C107" i="7"/>
  <c r="D107" i="7"/>
  <c r="E107" i="7"/>
  <c r="F107" i="7"/>
  <c r="G108" i="7"/>
  <c r="H108" i="7"/>
  <c r="I108" i="7"/>
  <c r="J108" i="7"/>
  <c r="K108" i="7"/>
  <c r="L108" i="7"/>
  <c r="M108" i="7"/>
  <c r="N108" i="7"/>
  <c r="O108" i="7"/>
  <c r="P108" i="7"/>
  <c r="Q108" i="7"/>
  <c r="R108" i="7"/>
  <c r="S108" i="7"/>
  <c r="T108" i="7"/>
  <c r="U108" i="7"/>
  <c r="V108" i="7"/>
  <c r="W108" i="7"/>
  <c r="X108" i="7"/>
  <c r="Y108" i="7"/>
  <c r="B115" i="7"/>
  <c r="C115" i="7"/>
  <c r="D115" i="7"/>
  <c r="E115" i="7"/>
  <c r="F115" i="7"/>
  <c r="G116" i="7"/>
  <c r="H116" i="7"/>
  <c r="I116" i="7"/>
  <c r="J116" i="7"/>
  <c r="K116" i="7"/>
  <c r="L116" i="7"/>
  <c r="M116" i="7"/>
  <c r="N116" i="7"/>
  <c r="O116" i="7"/>
  <c r="P116" i="7"/>
  <c r="Q116" i="7"/>
  <c r="R116" i="7"/>
  <c r="S116" i="7"/>
  <c r="T116" i="7"/>
  <c r="U116" i="7"/>
  <c r="V116" i="7"/>
  <c r="W116" i="7"/>
  <c r="X116" i="7"/>
  <c r="Y116" i="7"/>
  <c r="B4" i="6"/>
  <c r="R15" i="34" s="1"/>
  <c r="I15" i="34" s="1"/>
  <c r="B5" i="6"/>
  <c r="V15" i="34" s="1"/>
  <c r="B104" i="6"/>
  <c r="C104" i="6"/>
  <c r="D104" i="6"/>
  <c r="E104" i="6"/>
  <c r="F104" i="6"/>
  <c r="G104" i="6"/>
  <c r="G105" i="6"/>
  <c r="H105" i="6"/>
  <c r="B112" i="6"/>
  <c r="C112" i="6"/>
  <c r="D112" i="6"/>
  <c r="E112" i="6"/>
  <c r="F112" i="6"/>
  <c r="G112" i="6"/>
  <c r="G113" i="6"/>
  <c r="H113" i="6"/>
  <c r="I114" i="6"/>
  <c r="J114" i="6"/>
  <c r="K114" i="6"/>
  <c r="L114" i="6"/>
  <c r="M114" i="6"/>
  <c r="N114" i="6"/>
  <c r="B3" i="40"/>
  <c r="C3" i="40"/>
  <c r="B4" i="40"/>
  <c r="B4" i="5"/>
  <c r="R14" i="34" s="1"/>
  <c r="I14" i="34" s="1"/>
  <c r="B5" i="5"/>
  <c r="B22" i="5"/>
  <c r="B24" i="5" s="1"/>
  <c r="C22" i="5"/>
  <c r="C24" i="5" s="1"/>
  <c r="D22" i="5"/>
  <c r="D24" i="5" s="1"/>
  <c r="E22" i="5"/>
  <c r="E24" i="5" s="1"/>
  <c r="F22" i="5"/>
  <c r="F24" i="5" s="1"/>
  <c r="G22" i="5"/>
  <c r="G24" i="5" s="1"/>
  <c r="H22" i="5"/>
  <c r="H24" i="5" s="1"/>
  <c r="I22" i="5"/>
  <c r="I24" i="5" s="1"/>
  <c r="J22" i="5"/>
  <c r="J24" i="5" s="1"/>
  <c r="K22" i="5"/>
  <c r="K24" i="5" s="1"/>
  <c r="L22" i="5"/>
  <c r="L24" i="5" s="1"/>
  <c r="M22" i="5"/>
  <c r="M24" i="5" s="1"/>
  <c r="N22" i="5"/>
  <c r="N24" i="5" s="1"/>
  <c r="O22" i="5"/>
  <c r="O24" i="5" s="1"/>
  <c r="P22" i="5"/>
  <c r="P24" i="5" s="1"/>
  <c r="Q22" i="5"/>
  <c r="Q24" i="5" s="1"/>
  <c r="R22" i="5"/>
  <c r="R24" i="5" s="1"/>
  <c r="S22" i="5"/>
  <c r="S24" i="5" s="1"/>
  <c r="T22" i="5"/>
  <c r="T24" i="5" s="1"/>
  <c r="U22" i="5"/>
  <c r="U24" i="5" s="1"/>
  <c r="V22" i="5"/>
  <c r="V24" i="5" s="1"/>
  <c r="W22" i="5"/>
  <c r="W24" i="5" s="1"/>
  <c r="Y22" i="5"/>
  <c r="Y24" i="5" s="1"/>
  <c r="X24" i="5"/>
  <c r="B29" i="5"/>
  <c r="B32" i="5" s="1"/>
  <c r="C29" i="5"/>
  <c r="C32" i="5" s="1"/>
  <c r="D29" i="5"/>
  <c r="D32" i="5" s="1"/>
  <c r="E29" i="5"/>
  <c r="E32" i="5" s="1"/>
  <c r="F29" i="5"/>
  <c r="F32" i="5" s="1"/>
  <c r="G29" i="5"/>
  <c r="G32" i="5" s="1"/>
  <c r="H29" i="5"/>
  <c r="H32" i="5" s="1"/>
  <c r="I29" i="5"/>
  <c r="I32" i="5" s="1"/>
  <c r="J29" i="5"/>
  <c r="J32" i="5" s="1"/>
  <c r="K29" i="5"/>
  <c r="K32" i="5" s="1"/>
  <c r="L29" i="5"/>
  <c r="L32" i="5" s="1"/>
  <c r="M29" i="5"/>
  <c r="M32" i="5" s="1"/>
  <c r="N29" i="5"/>
  <c r="N32" i="5" s="1"/>
  <c r="O29" i="5"/>
  <c r="O32" i="5" s="1"/>
  <c r="P29" i="5"/>
  <c r="P32" i="5" s="1"/>
  <c r="Q29" i="5"/>
  <c r="Q32" i="5" s="1"/>
  <c r="R29" i="5"/>
  <c r="R32" i="5" s="1"/>
  <c r="S29" i="5"/>
  <c r="S32" i="5" s="1"/>
  <c r="T29" i="5"/>
  <c r="T32" i="5" s="1"/>
  <c r="U29" i="5"/>
  <c r="U32" i="5" s="1"/>
  <c r="V29" i="5"/>
  <c r="V32" i="5" s="1"/>
  <c r="W29" i="5"/>
  <c r="W32" i="5" s="1"/>
  <c r="Y29" i="5"/>
  <c r="Y32" i="5" s="1"/>
  <c r="B31" i="5"/>
  <c r="C31" i="5"/>
  <c r="D31" i="5"/>
  <c r="E31" i="5"/>
  <c r="F31" i="5"/>
  <c r="G31" i="5"/>
  <c r="H31" i="5"/>
  <c r="I31" i="5"/>
  <c r="J31" i="5"/>
  <c r="K31" i="5"/>
  <c r="L31" i="5"/>
  <c r="M31" i="5"/>
  <c r="N31" i="5"/>
  <c r="O31" i="5"/>
  <c r="P31" i="5"/>
  <c r="Q31" i="5"/>
  <c r="R31" i="5"/>
  <c r="S31" i="5"/>
  <c r="T31" i="5"/>
  <c r="U31" i="5"/>
  <c r="V31" i="5"/>
  <c r="W31" i="5"/>
  <c r="X31" i="5"/>
  <c r="Y31" i="5"/>
  <c r="X32" i="5"/>
  <c r="B4" i="3"/>
  <c r="R42" i="34" s="1"/>
  <c r="I42" i="34" s="1"/>
  <c r="B5" i="3"/>
  <c r="B8" i="33" s="1"/>
  <c r="B9" i="43"/>
  <c r="C9" i="43"/>
  <c r="D9" i="43"/>
  <c r="E9" i="43"/>
  <c r="B6" i="2"/>
  <c r="V13" i="34" s="1"/>
  <c r="B9" i="2"/>
  <c r="C15" i="2"/>
  <c r="C16" i="2"/>
  <c r="B18" i="2"/>
  <c r="B19" i="2"/>
  <c r="B20" i="2"/>
  <c r="B5" i="2" s="1"/>
  <c r="R13" i="34" s="1"/>
  <c r="B3" i="38"/>
  <c r="C3" i="38"/>
  <c r="B4" i="38"/>
  <c r="N12" i="34" s="1"/>
  <c r="B4" i="64"/>
  <c r="R12" i="34" s="1"/>
  <c r="I12" i="34" s="1"/>
  <c r="B5" i="64"/>
  <c r="G6" i="33"/>
  <c r="C7" i="33"/>
  <c r="F7" i="33"/>
  <c r="G7" i="33"/>
  <c r="C8" i="33"/>
  <c r="F8" i="33"/>
  <c r="G8" i="33"/>
  <c r="C9" i="33"/>
  <c r="G9" i="33"/>
  <c r="C10" i="33"/>
  <c r="G10" i="33"/>
  <c r="C11" i="33"/>
  <c r="G11" i="33"/>
  <c r="C12" i="33"/>
  <c r="C13" i="33"/>
  <c r="F13" i="33"/>
  <c r="G13" i="33"/>
  <c r="C14" i="33"/>
  <c r="G14" i="33"/>
  <c r="C15" i="33"/>
  <c r="F15" i="33"/>
  <c r="G15" i="33"/>
  <c r="F16" i="33"/>
  <c r="G16" i="33"/>
  <c r="C17" i="33"/>
  <c r="G17" i="33"/>
  <c r="G18" i="33"/>
  <c r="C19" i="33"/>
  <c r="F20" i="33"/>
  <c r="G20" i="33"/>
  <c r="C21" i="33"/>
  <c r="G21" i="33"/>
  <c r="C22" i="33"/>
  <c r="G22" i="33"/>
  <c r="F23" i="33"/>
  <c r="G23" i="33"/>
  <c r="G24" i="33"/>
  <c r="C25" i="33"/>
  <c r="G25" i="33"/>
  <c r="C26" i="33"/>
  <c r="G26" i="33"/>
  <c r="C27" i="33"/>
  <c r="G27" i="33"/>
  <c r="C28" i="33"/>
  <c r="C29" i="33"/>
  <c r="C30" i="33"/>
  <c r="G30" i="33"/>
  <c r="C31" i="33"/>
  <c r="G31" i="33"/>
  <c r="C32" i="33"/>
  <c r="F32" i="33"/>
  <c r="G32" i="33"/>
  <c r="C33" i="33"/>
  <c r="F33" i="33"/>
  <c r="G33" i="33"/>
  <c r="C34" i="33"/>
  <c r="N48" i="10" l="1"/>
  <c r="M48" i="10"/>
  <c r="J115" i="8"/>
  <c r="L92" i="13"/>
  <c r="L94" i="13"/>
  <c r="L95" i="13"/>
  <c r="L96" i="13"/>
  <c r="L100" i="13"/>
  <c r="B4" i="13" s="1"/>
  <c r="L93" i="13"/>
  <c r="L97" i="13"/>
  <c r="L98" i="13"/>
  <c r="L99" i="13"/>
  <c r="B47" i="10"/>
  <c r="J112" i="8"/>
  <c r="J114" i="8"/>
  <c r="J16" i="26"/>
  <c r="B16" i="26"/>
  <c r="K16" i="26"/>
  <c r="D16" i="26"/>
  <c r="I16" i="26"/>
  <c r="C16" i="26"/>
  <c r="L16" i="26"/>
  <c r="E16" i="26"/>
  <c r="M16" i="26"/>
  <c r="F16" i="26"/>
  <c r="G16" i="26"/>
  <c r="H16" i="26"/>
  <c r="AD11" i="23"/>
  <c r="AD23" i="23"/>
  <c r="N23" i="23"/>
  <c r="F23" i="23"/>
  <c r="J113" i="8"/>
  <c r="E23" i="23"/>
  <c r="V23" i="23"/>
  <c r="B4" i="20"/>
  <c r="R24" i="34" s="1"/>
  <c r="I24" i="34" s="1"/>
  <c r="C23" i="23"/>
  <c r="AL23" i="23"/>
  <c r="AF11" i="23"/>
  <c r="AF23" i="23"/>
  <c r="AJ11" i="23"/>
  <c r="AJ23" i="23"/>
  <c r="AB11" i="23"/>
  <c r="AB23" i="23"/>
  <c r="T11" i="23"/>
  <c r="T23" i="23"/>
  <c r="L11" i="23"/>
  <c r="L23" i="23"/>
  <c r="AN11" i="23"/>
  <c r="AN23" i="23"/>
  <c r="X11" i="23"/>
  <c r="X23" i="23"/>
  <c r="AP11" i="23"/>
  <c r="AP23" i="23"/>
  <c r="AH11" i="23"/>
  <c r="AH23" i="23"/>
  <c r="Z11" i="23"/>
  <c r="Z23" i="23"/>
  <c r="R11" i="23"/>
  <c r="R23" i="23"/>
  <c r="J11" i="23"/>
  <c r="J23" i="23"/>
  <c r="AO11" i="23"/>
  <c r="AO23" i="23"/>
  <c r="AG11" i="23"/>
  <c r="AG23" i="23"/>
  <c r="Y11" i="23"/>
  <c r="Y23" i="23"/>
  <c r="Q11" i="23"/>
  <c r="Q23" i="23"/>
  <c r="I11" i="23"/>
  <c r="I23" i="23"/>
  <c r="P11" i="23"/>
  <c r="P23" i="23"/>
  <c r="AM11" i="23"/>
  <c r="AM23" i="23"/>
  <c r="AE11" i="23"/>
  <c r="AE23" i="23"/>
  <c r="W11" i="23"/>
  <c r="W23" i="23"/>
  <c r="O11" i="23"/>
  <c r="O23" i="23"/>
  <c r="AK23" i="23"/>
  <c r="AC23" i="23"/>
  <c r="U23" i="23"/>
  <c r="M23" i="23"/>
  <c r="D23" i="23"/>
  <c r="AQ23" i="23"/>
  <c r="AA23" i="23"/>
  <c r="K23" i="23"/>
  <c r="G23" i="23"/>
  <c r="AI23" i="23"/>
  <c r="S23" i="23"/>
  <c r="B23" i="23"/>
  <c r="H11" i="23"/>
  <c r="H23" i="23"/>
  <c r="J25" i="5"/>
  <c r="J10" i="5"/>
  <c r="G25" i="5"/>
  <c r="G10" i="5"/>
  <c r="V25" i="5"/>
  <c r="V10" i="5"/>
  <c r="N25" i="5"/>
  <c r="N10" i="5"/>
  <c r="F25" i="5"/>
  <c r="F10" i="5"/>
  <c r="U25" i="5"/>
  <c r="U10" i="5"/>
  <c r="M25" i="5"/>
  <c r="M10" i="5"/>
  <c r="E25" i="5"/>
  <c r="E10" i="5"/>
  <c r="AS23" i="23"/>
  <c r="AS11" i="23"/>
  <c r="H25" i="5"/>
  <c r="H10" i="5"/>
  <c r="AV23" i="23"/>
  <c r="AV11" i="23"/>
  <c r="W25" i="5"/>
  <c r="W10" i="5"/>
  <c r="AU23" i="23"/>
  <c r="AU11" i="23"/>
  <c r="AT23" i="23"/>
  <c r="AT11" i="23"/>
  <c r="T25" i="5"/>
  <c r="T10" i="5"/>
  <c r="L25" i="5"/>
  <c r="L10" i="5"/>
  <c r="D25" i="5"/>
  <c r="D10" i="5"/>
  <c r="AR23" i="23"/>
  <c r="AR11" i="23"/>
  <c r="Y25" i="5"/>
  <c r="Y10" i="5"/>
  <c r="O25" i="5"/>
  <c r="O10" i="5"/>
  <c r="X25" i="5"/>
  <c r="X10" i="5"/>
  <c r="R25" i="5"/>
  <c r="R10" i="5"/>
  <c r="B25" i="5"/>
  <c r="B10" i="5"/>
  <c r="P25" i="5"/>
  <c r="P10" i="5"/>
  <c r="S25" i="5"/>
  <c r="S10" i="5"/>
  <c r="K25" i="5"/>
  <c r="K10" i="5"/>
  <c r="C25" i="5"/>
  <c r="C10" i="5"/>
  <c r="Q25" i="5"/>
  <c r="Q10" i="5"/>
  <c r="I25" i="5"/>
  <c r="I10" i="5"/>
  <c r="AW23" i="23"/>
  <c r="AW11" i="23"/>
  <c r="V416" i="12"/>
  <c r="J111" i="8"/>
  <c r="N416" i="12"/>
  <c r="R136" i="10"/>
  <c r="B10" i="33"/>
  <c r="E51" i="15"/>
  <c r="B3" i="42"/>
  <c r="M30" i="34" s="1"/>
  <c r="E27" i="16"/>
  <c r="B21" i="33"/>
  <c r="P416" i="12"/>
  <c r="B15" i="33"/>
  <c r="B29" i="33"/>
  <c r="T416" i="12"/>
  <c r="L416" i="12"/>
  <c r="F416" i="12"/>
  <c r="D416" i="12"/>
  <c r="H416" i="12"/>
  <c r="F10" i="33"/>
  <c r="R416" i="12"/>
  <c r="J416" i="12"/>
  <c r="F11" i="33"/>
  <c r="B28" i="33"/>
  <c r="J418" i="12"/>
  <c r="R418" i="12"/>
  <c r="Z418" i="12"/>
  <c r="AH418" i="12"/>
  <c r="AP418" i="12"/>
  <c r="B418" i="12"/>
  <c r="D418" i="12"/>
  <c r="L418" i="12"/>
  <c r="T418" i="12"/>
  <c r="AB418" i="12"/>
  <c r="AJ418" i="12"/>
  <c r="AR418" i="12"/>
  <c r="F418" i="12"/>
  <c r="N418" i="12"/>
  <c r="V418" i="12"/>
  <c r="AD418" i="12"/>
  <c r="AL418" i="12"/>
  <c r="AT418" i="12"/>
  <c r="H418" i="12"/>
  <c r="P418" i="12"/>
  <c r="X418" i="12"/>
  <c r="AF418" i="12"/>
  <c r="AN418" i="12"/>
  <c r="AV418" i="12"/>
  <c r="I418" i="12"/>
  <c r="Q418" i="12"/>
  <c r="Y418" i="12"/>
  <c r="AG418" i="12"/>
  <c r="AO418" i="12"/>
  <c r="AW418" i="12"/>
  <c r="AA418" i="12"/>
  <c r="C418" i="12"/>
  <c r="W418" i="12"/>
  <c r="AS418" i="12"/>
  <c r="E418" i="12"/>
  <c r="AU418" i="12"/>
  <c r="G418" i="12"/>
  <c r="AC418" i="12"/>
  <c r="K418" i="12"/>
  <c r="AE418" i="12"/>
  <c r="M418" i="12"/>
  <c r="AI418" i="12"/>
  <c r="O418" i="12"/>
  <c r="AK418" i="12"/>
  <c r="S418" i="12"/>
  <c r="AM418" i="12"/>
  <c r="U418" i="12"/>
  <c r="AQ418" i="12"/>
  <c r="R17" i="34"/>
  <c r="I17" i="34" s="1"/>
  <c r="Z416" i="12"/>
  <c r="Y416" i="12"/>
  <c r="Q416" i="12"/>
  <c r="I416" i="12"/>
  <c r="E26" i="15"/>
  <c r="W416" i="12"/>
  <c r="O416" i="12"/>
  <c r="G416" i="12"/>
  <c r="F47" i="15"/>
  <c r="N16" i="34"/>
  <c r="E63" i="16"/>
  <c r="E28" i="16"/>
  <c r="E31" i="16" s="1"/>
  <c r="U416" i="12"/>
  <c r="M416" i="12"/>
  <c r="E416" i="12"/>
  <c r="E53" i="15"/>
  <c r="S416" i="12"/>
  <c r="K416" i="12"/>
  <c r="C416" i="12"/>
  <c r="E28" i="15"/>
  <c r="E30" i="15" s="1"/>
  <c r="G65" i="8"/>
  <c r="E15" i="15"/>
  <c r="F15" i="15" s="1"/>
  <c r="E62" i="16"/>
  <c r="M27" i="34"/>
  <c r="F23" i="16"/>
  <c r="M23" i="34"/>
  <c r="F59" i="15"/>
  <c r="E15" i="16"/>
  <c r="F31" i="33"/>
  <c r="M25" i="34"/>
  <c r="B13" i="33"/>
  <c r="V45" i="34"/>
  <c r="E55" i="16"/>
  <c r="E58" i="16" s="1"/>
  <c r="E54" i="16"/>
  <c r="E53" i="16"/>
  <c r="F23" i="15"/>
  <c r="F37" i="15"/>
  <c r="F36" i="15"/>
  <c r="M12" i="34"/>
  <c r="E17" i="13"/>
  <c r="V25" i="34"/>
  <c r="F59" i="8"/>
  <c r="B22" i="33"/>
  <c r="F6" i="33"/>
  <c r="H90" i="8"/>
  <c r="F18" i="33"/>
  <c r="T23" i="34"/>
  <c r="I23" i="34" s="1"/>
  <c r="H76" i="8"/>
  <c r="F21" i="33"/>
  <c r="M16" i="34"/>
  <c r="N7" i="34"/>
  <c r="I110" i="8"/>
  <c r="F35" i="15"/>
  <c r="B30" i="33"/>
  <c r="M14" i="34"/>
  <c r="M17" i="34"/>
  <c r="F11" i="15"/>
  <c r="M26" i="34"/>
  <c r="B25" i="33"/>
  <c r="V24" i="34"/>
  <c r="K74" i="13"/>
  <c r="F25" i="16"/>
  <c r="C26" i="16"/>
  <c r="V17" i="34"/>
  <c r="B17" i="33"/>
  <c r="E50" i="15"/>
  <c r="F49" i="8"/>
  <c r="F36" i="8"/>
  <c r="F42" i="8"/>
  <c r="F57" i="8"/>
  <c r="F51" i="8"/>
  <c r="F41" i="8"/>
  <c r="E17" i="8"/>
  <c r="F37" i="8"/>
  <c r="F32" i="8"/>
  <c r="F44" i="8"/>
  <c r="F53" i="8"/>
  <c r="E19" i="8"/>
  <c r="H53" i="13"/>
  <c r="I57" i="13"/>
  <c r="F30" i="13"/>
  <c r="F34" i="13"/>
  <c r="F25" i="13"/>
  <c r="F36" i="13"/>
  <c r="E19" i="13"/>
  <c r="E21" i="13"/>
  <c r="F37" i="13"/>
  <c r="C49" i="15"/>
  <c r="F48" i="15"/>
  <c r="E44" i="15"/>
  <c r="E45" i="15"/>
  <c r="E46" i="15"/>
  <c r="N23" i="34"/>
  <c r="F25" i="33"/>
  <c r="F35" i="8"/>
  <c r="F40" i="8"/>
  <c r="I106" i="8"/>
  <c r="G61" i="8"/>
  <c r="G60" i="8"/>
  <c r="H48" i="13"/>
  <c r="E26" i="16"/>
  <c r="E54" i="15"/>
  <c r="E55" i="15"/>
  <c r="E56" i="15" s="1"/>
  <c r="N14" i="34"/>
  <c r="F9" i="33"/>
  <c r="E16" i="13"/>
  <c r="F27" i="8"/>
  <c r="K73" i="13"/>
  <c r="H45" i="13"/>
  <c r="V41" i="34"/>
  <c r="B32" i="33"/>
  <c r="F13" i="15"/>
  <c r="F24" i="13"/>
  <c r="J64" i="13"/>
  <c r="J62" i="13"/>
  <c r="F35" i="16"/>
  <c r="C36" i="16"/>
  <c r="B10" i="2"/>
  <c r="I13" i="34" s="1"/>
  <c r="H46" i="13"/>
  <c r="K75" i="13"/>
  <c r="B19" i="33"/>
  <c r="F46" i="8"/>
  <c r="F12" i="15"/>
  <c r="M24" i="34"/>
  <c r="H85" i="8"/>
  <c r="E14" i="16"/>
  <c r="H88" i="8"/>
  <c r="H98" i="8"/>
  <c r="B12" i="33"/>
  <c r="M15" i="34"/>
  <c r="K84" i="13"/>
  <c r="M6" i="34"/>
  <c r="F11" i="16"/>
  <c r="G63" i="8"/>
  <c r="I58" i="13"/>
  <c r="H51" i="13"/>
  <c r="F22" i="33"/>
  <c r="E16" i="16"/>
  <c r="B7" i="33"/>
  <c r="V42" i="34"/>
  <c r="F25" i="15"/>
  <c r="C26" i="15"/>
  <c r="C42" i="15"/>
  <c r="C43" i="15" s="1"/>
  <c r="V16" i="34"/>
  <c r="B11" i="33"/>
  <c r="K83" i="13"/>
  <c r="B9" i="33"/>
  <c r="V14" i="34"/>
  <c r="H73" i="8"/>
  <c r="V8" i="34"/>
  <c r="F24" i="33"/>
  <c r="V12" i="34"/>
  <c r="B6" i="33"/>
  <c r="H79" i="8"/>
  <c r="H72" i="8"/>
  <c r="H80" i="8"/>
  <c r="H92" i="8"/>
  <c r="H93" i="8"/>
  <c r="H95" i="8"/>
  <c r="G68" i="8"/>
  <c r="H75" i="8"/>
  <c r="G70" i="8"/>
  <c r="K85" i="13"/>
  <c r="C17" i="15"/>
  <c r="F24" i="15"/>
  <c r="I104" i="8"/>
  <c r="E15" i="13"/>
  <c r="F42" i="13"/>
  <c r="F28" i="13"/>
  <c r="E23" i="13"/>
  <c r="E20" i="13"/>
  <c r="E63" i="15"/>
  <c r="E62" i="15"/>
  <c r="F40" i="15"/>
  <c r="C12" i="16"/>
  <c r="I102" i="8"/>
  <c r="I109" i="8"/>
  <c r="I103" i="8"/>
  <c r="J68" i="13"/>
  <c r="K79" i="13"/>
  <c r="I55" i="13"/>
  <c r="H54" i="13"/>
  <c r="H44" i="13"/>
  <c r="I60" i="13"/>
  <c r="I56" i="13"/>
  <c r="I59" i="13"/>
  <c r="H49" i="13"/>
  <c r="H47" i="13"/>
  <c r="H50" i="13"/>
  <c r="H43" i="13"/>
  <c r="F59" i="16"/>
  <c r="C60" i="16"/>
  <c r="E15" i="8"/>
  <c r="F33" i="8"/>
  <c r="F54" i="8"/>
  <c r="G71" i="8"/>
  <c r="K80" i="13"/>
  <c r="E41" i="15"/>
  <c r="F41" i="15" s="1"/>
  <c r="E42" i="15"/>
  <c r="E14" i="15"/>
  <c r="F14" i="15" s="1"/>
  <c r="E16" i="15"/>
  <c r="F16" i="15" s="1"/>
  <c r="F38" i="8"/>
  <c r="F45" i="8"/>
  <c r="H47" i="10"/>
  <c r="I47" i="10"/>
  <c r="K47" i="10"/>
  <c r="J47" i="10"/>
  <c r="L47" i="10"/>
  <c r="D47" i="10"/>
  <c r="E47" i="10"/>
  <c r="M47" i="10"/>
  <c r="F47" i="10"/>
  <c r="G47" i="10"/>
  <c r="C47" i="10"/>
  <c r="F17" i="33"/>
  <c r="K89" i="13"/>
  <c r="J63" i="13"/>
  <c r="K78" i="13"/>
  <c r="E20" i="8"/>
  <c r="F31" i="8"/>
  <c r="F43" i="8"/>
  <c r="F47" i="8"/>
  <c r="F56" i="8"/>
  <c r="F30" i="8"/>
  <c r="E22" i="8"/>
  <c r="F52" i="8"/>
  <c r="F50" i="8"/>
  <c r="E14" i="8"/>
  <c r="F55" i="8"/>
  <c r="E12" i="8"/>
  <c r="F24" i="8"/>
  <c r="F26" i="8"/>
  <c r="F25" i="8"/>
  <c r="E18" i="8"/>
  <c r="F58" i="8"/>
  <c r="E13" i="8"/>
  <c r="F29" i="8"/>
  <c r="E23" i="8"/>
  <c r="F28" i="8"/>
  <c r="K81" i="13"/>
  <c r="F48" i="8"/>
  <c r="F39" i="8"/>
  <c r="F34" i="8"/>
  <c r="E16" i="8"/>
  <c r="K91" i="13"/>
  <c r="F35" i="13"/>
  <c r="F39" i="13"/>
  <c r="F26" i="13"/>
  <c r="F38" i="13"/>
  <c r="F40" i="13"/>
  <c r="F41" i="13"/>
  <c r="E14" i="13"/>
  <c r="F27" i="13"/>
  <c r="F29" i="13"/>
  <c r="E22" i="13"/>
  <c r="E13" i="13"/>
  <c r="F32" i="13"/>
  <c r="E18" i="13"/>
  <c r="E12" i="13"/>
  <c r="F31" i="13"/>
  <c r="F33" i="13"/>
  <c r="F60" i="15"/>
  <c r="C61" i="15"/>
  <c r="M7" i="34"/>
  <c r="N25" i="34"/>
  <c r="F27" i="33"/>
  <c r="B31" i="33"/>
  <c r="V27" i="34"/>
  <c r="N24" i="34"/>
  <c r="J67" i="13"/>
  <c r="H52" i="13"/>
  <c r="N26" i="34"/>
  <c r="F30" i="33"/>
  <c r="H86" i="8"/>
  <c r="K86" i="13"/>
  <c r="K82" i="13"/>
  <c r="J69" i="13"/>
  <c r="K90" i="13"/>
  <c r="J72" i="13"/>
  <c r="K77" i="13"/>
  <c r="J65" i="13"/>
  <c r="J61" i="13"/>
  <c r="K76" i="13"/>
  <c r="J70" i="13"/>
  <c r="J66" i="13"/>
  <c r="E39" i="15"/>
  <c r="F39" i="15" s="1"/>
  <c r="E38" i="15"/>
  <c r="F38" i="15" s="1"/>
  <c r="E50" i="16"/>
  <c r="E51" i="16"/>
  <c r="C48" i="16"/>
  <c r="F47" i="16"/>
  <c r="F24" i="16"/>
  <c r="K87" i="13"/>
  <c r="I101" i="8"/>
  <c r="I105" i="8"/>
  <c r="I108" i="8"/>
  <c r="H97" i="8"/>
  <c r="H100" i="8"/>
  <c r="G66" i="8"/>
  <c r="H83" i="8"/>
  <c r="H89" i="8"/>
  <c r="G69" i="8"/>
  <c r="H74" i="8"/>
  <c r="H91" i="8"/>
  <c r="H81" i="8"/>
  <c r="H96" i="8"/>
  <c r="H77" i="8"/>
  <c r="H82" i="8"/>
  <c r="H99" i="8"/>
  <c r="H84" i="8"/>
  <c r="H87" i="8"/>
  <c r="G67" i="8"/>
  <c r="F14" i="33"/>
  <c r="N30" i="34"/>
  <c r="J71" i="13"/>
  <c r="K88" i="13"/>
  <c r="E27" i="15"/>
  <c r="E38" i="16"/>
  <c r="E39" i="16"/>
  <c r="E40" i="16"/>
  <c r="B4" i="8"/>
  <c r="I100" i="8"/>
  <c r="I111" i="8"/>
  <c r="H78" i="8"/>
  <c r="G64" i="8"/>
  <c r="E21" i="8"/>
  <c r="B33" i="33"/>
  <c r="G62" i="8"/>
  <c r="I107" i="8"/>
  <c r="H94" i="8"/>
  <c r="V28" i="34"/>
  <c r="B14" i="33"/>
  <c r="B4" i="23" l="1"/>
  <c r="R26" i="34" s="1"/>
  <c r="I26" i="34" s="1"/>
  <c r="K24" i="8"/>
  <c r="K25" i="8"/>
  <c r="AA14" i="5"/>
  <c r="AF14" i="5"/>
  <c r="AN14" i="5"/>
  <c r="AV14" i="5"/>
  <c r="AG14" i="5"/>
  <c r="AO14" i="5"/>
  <c r="AW14" i="5"/>
  <c r="AH14" i="5"/>
  <c r="AP14" i="5"/>
  <c r="AC14" i="5"/>
  <c r="AD14" i="5"/>
  <c r="AU14" i="5"/>
  <c r="AI14" i="5"/>
  <c r="AQ14" i="5"/>
  <c r="AS14" i="5"/>
  <c r="AT14" i="5"/>
  <c r="AM14" i="5"/>
  <c r="AB14" i="5"/>
  <c r="AJ14" i="5"/>
  <c r="AR14" i="5"/>
  <c r="AK14" i="5"/>
  <c r="AL14" i="5"/>
  <c r="AE14" i="5"/>
  <c r="Z14" i="5"/>
  <c r="Y14" i="5"/>
  <c r="Q13" i="5"/>
  <c r="X14" i="5"/>
  <c r="S13" i="5"/>
  <c r="R13" i="5"/>
  <c r="P13" i="5"/>
  <c r="S14" i="5"/>
  <c r="V14" i="5"/>
  <c r="T14" i="5"/>
  <c r="N13" i="5"/>
  <c r="U14" i="5"/>
  <c r="O13" i="5"/>
  <c r="W14" i="5"/>
  <c r="C11" i="5"/>
  <c r="E11" i="5"/>
  <c r="D11" i="5"/>
  <c r="F11" i="5"/>
  <c r="B11" i="5"/>
  <c r="G11" i="5"/>
  <c r="AC13" i="23"/>
  <c r="AK13" i="23"/>
  <c r="AS13" i="23"/>
  <c r="AD13" i="23"/>
  <c r="AL13" i="23"/>
  <c r="AT13" i="23"/>
  <c r="AB13" i="23"/>
  <c r="AE13" i="23"/>
  <c r="AM13" i="23"/>
  <c r="AU13" i="23"/>
  <c r="AI13" i="23"/>
  <c r="AF13" i="23"/>
  <c r="AN13" i="23"/>
  <c r="AV13" i="23"/>
  <c r="AP13" i="23"/>
  <c r="AQ13" i="23"/>
  <c r="AJ13" i="23"/>
  <c r="AG13" i="23"/>
  <c r="AO13" i="23"/>
  <c r="AW13" i="23"/>
  <c r="AH13" i="23"/>
  <c r="AA13" i="23"/>
  <c r="AR13" i="23"/>
  <c r="Y13" i="23"/>
  <c r="Z13" i="23"/>
  <c r="I12" i="23"/>
  <c r="P13" i="23"/>
  <c r="X13" i="23"/>
  <c r="K12" i="23"/>
  <c r="R13" i="23"/>
  <c r="J12" i="23"/>
  <c r="Q13" i="23"/>
  <c r="N13" i="23"/>
  <c r="L12" i="23"/>
  <c r="S13" i="23"/>
  <c r="H12" i="23"/>
  <c r="W13" i="23"/>
  <c r="M12" i="23"/>
  <c r="T13" i="23"/>
  <c r="M13" i="23"/>
  <c r="U13" i="23"/>
  <c r="V13" i="23"/>
  <c r="O13" i="23"/>
  <c r="R4" i="34"/>
  <c r="I4" i="34" s="1"/>
  <c r="B419" i="12"/>
  <c r="B420" i="12" s="1"/>
  <c r="L421" i="12" s="1"/>
  <c r="E57" i="16"/>
  <c r="E56" i="16"/>
  <c r="E29" i="16"/>
  <c r="E30" i="16"/>
  <c r="E29" i="15"/>
  <c r="E31" i="15"/>
  <c r="E34" i="15" s="1"/>
  <c r="R5" i="34"/>
  <c r="I5" i="34" s="1"/>
  <c r="C50" i="15"/>
  <c r="F49" i="15"/>
  <c r="E58" i="15"/>
  <c r="E57" i="15"/>
  <c r="F36" i="16"/>
  <c r="C37" i="16"/>
  <c r="C27" i="16"/>
  <c r="F26" i="16"/>
  <c r="E19" i="16"/>
  <c r="E17" i="16"/>
  <c r="E18" i="16"/>
  <c r="F61" i="15"/>
  <c r="C62" i="15"/>
  <c r="C18" i="15"/>
  <c r="F26" i="15"/>
  <c r="C27" i="15"/>
  <c r="C61" i="16"/>
  <c r="F60" i="16"/>
  <c r="K28" i="8"/>
  <c r="K97" i="8"/>
  <c r="K40" i="8"/>
  <c r="K105" i="8"/>
  <c r="K29" i="8"/>
  <c r="K95" i="8"/>
  <c r="K30" i="8"/>
  <c r="K109" i="8"/>
  <c r="K103" i="8"/>
  <c r="K99" i="8"/>
  <c r="K90" i="8"/>
  <c r="K70" i="8"/>
  <c r="K41" i="8"/>
  <c r="K106" i="8"/>
  <c r="K37" i="8"/>
  <c r="K110" i="8"/>
  <c r="K46" i="8"/>
  <c r="K119" i="8"/>
  <c r="K52" i="8"/>
  <c r="K108" i="8"/>
  <c r="K64" i="8"/>
  <c r="K123" i="8"/>
  <c r="K130" i="8"/>
  <c r="K116" i="8"/>
  <c r="K113" i="8"/>
  <c r="K104" i="8"/>
  <c r="K85" i="8"/>
  <c r="K50" i="8"/>
  <c r="K81" i="8"/>
  <c r="K32" i="8"/>
  <c r="K84" i="8"/>
  <c r="K66" i="8"/>
  <c r="K79" i="8"/>
  <c r="K96" i="8"/>
  <c r="K86" i="8"/>
  <c r="K83" i="8"/>
  <c r="K47" i="8"/>
  <c r="K44" i="8"/>
  <c r="K122" i="8"/>
  <c r="K54" i="8"/>
  <c r="K31" i="8"/>
  <c r="K134" i="8"/>
  <c r="K127" i="8"/>
  <c r="K87" i="8"/>
  <c r="K80" i="8"/>
  <c r="K114" i="8"/>
  <c r="K62" i="8"/>
  <c r="K117" i="8"/>
  <c r="K59" i="8"/>
  <c r="K74" i="8"/>
  <c r="K61" i="8"/>
  <c r="K131" i="8"/>
  <c r="K57" i="8"/>
  <c r="K35" i="8"/>
  <c r="K38" i="8"/>
  <c r="K100" i="8"/>
  <c r="K88" i="8"/>
  <c r="K45" i="8"/>
  <c r="K69" i="8"/>
  <c r="K133" i="8"/>
  <c r="K125" i="8"/>
  <c r="K65" i="8"/>
  <c r="K120" i="8"/>
  <c r="K26" i="8"/>
  <c r="K128" i="8"/>
  <c r="K77" i="8"/>
  <c r="K43" i="8"/>
  <c r="K58" i="8"/>
  <c r="K112" i="8"/>
  <c r="K101" i="8"/>
  <c r="K67" i="8"/>
  <c r="K98" i="8"/>
  <c r="K121" i="8"/>
  <c r="K60" i="8"/>
  <c r="K115" i="8"/>
  <c r="K82" i="8"/>
  <c r="K68" i="8"/>
  <c r="K33" i="8"/>
  <c r="K42" i="8"/>
  <c r="K118" i="8"/>
  <c r="K92" i="8"/>
  <c r="K63" i="8"/>
  <c r="K56" i="8"/>
  <c r="K78" i="8"/>
  <c r="K132" i="8"/>
  <c r="K48" i="8"/>
  <c r="K124" i="8"/>
  <c r="K126" i="8"/>
  <c r="K111" i="8"/>
  <c r="K71" i="8"/>
  <c r="K72" i="8"/>
  <c r="K94" i="8"/>
  <c r="K53" i="8"/>
  <c r="K75" i="8"/>
  <c r="K36" i="8"/>
  <c r="K73" i="8"/>
  <c r="K129" i="8"/>
  <c r="K89" i="8"/>
  <c r="K49" i="8"/>
  <c r="K91" i="8"/>
  <c r="K51" i="8"/>
  <c r="K102" i="8"/>
  <c r="K107" i="8"/>
  <c r="K39" i="8"/>
  <c r="K55" i="8"/>
  <c r="K34" i="8"/>
  <c r="K93" i="8"/>
  <c r="K76" i="8"/>
  <c r="K27" i="8"/>
  <c r="E18" i="15"/>
  <c r="E19" i="15"/>
  <c r="E17" i="15"/>
  <c r="F17" i="15" s="1"/>
  <c r="F42" i="15"/>
  <c r="F48" i="16"/>
  <c r="C49" i="16"/>
  <c r="G38" i="13"/>
  <c r="G108" i="13"/>
  <c r="G84" i="13"/>
  <c r="G61" i="13"/>
  <c r="G47" i="13"/>
  <c r="G51" i="13"/>
  <c r="G91" i="13"/>
  <c r="G36" i="13"/>
  <c r="G74" i="13"/>
  <c r="G71" i="13"/>
  <c r="G95" i="13"/>
  <c r="G89" i="13"/>
  <c r="G76" i="13"/>
  <c r="G69" i="13"/>
  <c r="G79" i="13"/>
  <c r="G83" i="13"/>
  <c r="G87" i="13"/>
  <c r="G37" i="13"/>
  <c r="G70" i="13"/>
  <c r="G63" i="13"/>
  <c r="G46" i="13"/>
  <c r="G116" i="13"/>
  <c r="G101" i="13"/>
  <c r="G85" i="13"/>
  <c r="G99" i="13"/>
  <c r="G102" i="13"/>
  <c r="G103" i="13"/>
  <c r="G67" i="13"/>
  <c r="G110" i="13"/>
  <c r="G98" i="13"/>
  <c r="G73" i="13"/>
  <c r="G60" i="13"/>
  <c r="G45" i="13"/>
  <c r="G112" i="13"/>
  <c r="G58" i="13"/>
  <c r="G55" i="13"/>
  <c r="G66" i="13"/>
  <c r="G119" i="13"/>
  <c r="G78" i="13"/>
  <c r="G100" i="13"/>
  <c r="G42" i="13"/>
  <c r="G113" i="13"/>
  <c r="G62" i="13"/>
  <c r="G107" i="13"/>
  <c r="G97" i="13"/>
  <c r="G52" i="13"/>
  <c r="G48" i="13"/>
  <c r="G68" i="13"/>
  <c r="G41" i="13"/>
  <c r="G53" i="13"/>
  <c r="G39" i="13"/>
  <c r="G94" i="13"/>
  <c r="G106" i="13"/>
  <c r="G72" i="13"/>
  <c r="G96" i="13"/>
  <c r="G57" i="13"/>
  <c r="G44" i="13"/>
  <c r="G77" i="13"/>
  <c r="G43" i="13"/>
  <c r="G115" i="13"/>
  <c r="G64" i="13"/>
  <c r="G93" i="13"/>
  <c r="G75" i="13"/>
  <c r="G59" i="13"/>
  <c r="G65" i="13"/>
  <c r="G109" i="13"/>
  <c r="G54" i="13"/>
  <c r="G80" i="13"/>
  <c r="G56" i="13"/>
  <c r="G111" i="13"/>
  <c r="G81" i="13"/>
  <c r="G117" i="13"/>
  <c r="G86" i="13"/>
  <c r="G105" i="13"/>
  <c r="G88" i="13"/>
  <c r="G40" i="13"/>
  <c r="G49" i="13"/>
  <c r="G90" i="13"/>
  <c r="G50" i="13"/>
  <c r="G104" i="13"/>
  <c r="G92" i="13"/>
  <c r="G118" i="13"/>
  <c r="G114" i="13"/>
  <c r="G82" i="13"/>
  <c r="E33" i="16"/>
  <c r="E34" i="16"/>
  <c r="E32" i="16"/>
  <c r="E43" i="16"/>
  <c r="E41" i="16"/>
  <c r="E42" i="16"/>
  <c r="F12" i="16"/>
  <c r="C13" i="16"/>
  <c r="N12" i="5" l="1"/>
  <c r="K12" i="5"/>
  <c r="J12" i="5"/>
  <c r="G12" i="5"/>
  <c r="I12" i="5"/>
  <c r="M12" i="5"/>
  <c r="L12" i="5"/>
  <c r="H12" i="5"/>
  <c r="W421" i="12"/>
  <c r="T422" i="12"/>
  <c r="AP422" i="12"/>
  <c r="I422" i="12"/>
  <c r="V421" i="12"/>
  <c r="AI422" i="12"/>
  <c r="AV422" i="12"/>
  <c r="M421" i="12"/>
  <c r="AH422" i="12"/>
  <c r="AV421" i="12"/>
  <c r="N421" i="12"/>
  <c r="AA422" i="12"/>
  <c r="AO421" i="12"/>
  <c r="I421" i="12"/>
  <c r="J422" i="12"/>
  <c r="X421" i="12"/>
  <c r="AK422" i="12"/>
  <c r="C422" i="12"/>
  <c r="AC421" i="12"/>
  <c r="AT422" i="12"/>
  <c r="N422" i="12"/>
  <c r="AP421" i="12"/>
  <c r="H421" i="12"/>
  <c r="U422" i="12"/>
  <c r="AF422" i="12"/>
  <c r="D422" i="12"/>
  <c r="Z421" i="12"/>
  <c r="AM422" i="12"/>
  <c r="E422" i="12"/>
  <c r="AL422" i="12"/>
  <c r="L422" i="12"/>
  <c r="AM421" i="12"/>
  <c r="B421" i="12"/>
  <c r="R421" i="12"/>
  <c r="AE422" i="12"/>
  <c r="AR421" i="12"/>
  <c r="E421" i="12"/>
  <c r="V422" i="12"/>
  <c r="AA421" i="12"/>
  <c r="AO422" i="12"/>
  <c r="G422" i="12"/>
  <c r="T421" i="12"/>
  <c r="H422" i="12"/>
  <c r="O421" i="12"/>
  <c r="K421" i="12"/>
  <c r="Y422" i="12"/>
  <c r="AL421" i="12"/>
  <c r="D421" i="12"/>
  <c r="G421" i="12"/>
  <c r="AS421" i="12"/>
  <c r="X422" i="12"/>
  <c r="AN422" i="12"/>
  <c r="AG421" i="12"/>
  <c r="C421" i="12"/>
  <c r="AH421" i="12"/>
  <c r="Q422" i="12"/>
  <c r="AU422" i="12"/>
  <c r="AD421" i="12"/>
  <c r="M422" i="12"/>
  <c r="AQ422" i="12"/>
  <c r="AU421" i="12"/>
  <c r="AB422" i="12"/>
  <c r="Q421" i="12"/>
  <c r="P422" i="12"/>
  <c r="AQ421" i="12"/>
  <c r="Z422" i="12"/>
  <c r="J421" i="12"/>
  <c r="AN421" i="12"/>
  <c r="W422" i="12"/>
  <c r="F421" i="12"/>
  <c r="AJ421" i="12"/>
  <c r="S422" i="12"/>
  <c r="E33" i="15"/>
  <c r="E32" i="15"/>
  <c r="Y421" i="12"/>
  <c r="F422" i="12"/>
  <c r="AR422" i="12"/>
  <c r="AE421" i="12"/>
  <c r="AI421" i="12"/>
  <c r="R422" i="12"/>
  <c r="AW422" i="12"/>
  <c r="AF421" i="12"/>
  <c r="O422" i="12"/>
  <c r="AS422" i="12"/>
  <c r="AB421" i="12"/>
  <c r="K422" i="12"/>
  <c r="AW421" i="12"/>
  <c r="AD422" i="12"/>
  <c r="U421" i="12"/>
  <c r="AK421" i="12"/>
  <c r="AJ422" i="12"/>
  <c r="S421" i="12"/>
  <c r="B422" i="12"/>
  <c r="AG422" i="12"/>
  <c r="P421" i="12"/>
  <c r="AT421" i="12"/>
  <c r="AC422" i="12"/>
  <c r="F50" i="15"/>
  <c r="C51" i="15"/>
  <c r="E21" i="16"/>
  <c r="E22" i="16"/>
  <c r="E20" i="16"/>
  <c r="C28" i="16"/>
  <c r="F27" i="16"/>
  <c r="C38" i="16"/>
  <c r="F37" i="16"/>
  <c r="E20" i="15"/>
  <c r="E21" i="15"/>
  <c r="E22" i="15"/>
  <c r="C19" i="15"/>
  <c r="F18" i="15"/>
  <c r="C63" i="15"/>
  <c r="F62" i="15"/>
  <c r="C50" i="16"/>
  <c r="F49" i="16"/>
  <c r="F43" i="15"/>
  <c r="C44" i="15"/>
  <c r="C28" i="15"/>
  <c r="F27" i="15"/>
  <c r="F13" i="16"/>
  <c r="C14" i="16"/>
  <c r="E46" i="16"/>
  <c r="E44" i="16"/>
  <c r="E45" i="16"/>
  <c r="C62" i="16"/>
  <c r="F61" i="16"/>
  <c r="C39" i="16" l="1"/>
  <c r="F38" i="16"/>
  <c r="F51" i="15"/>
  <c r="C52" i="15"/>
  <c r="C29" i="16"/>
  <c r="F28" i="16"/>
  <c r="C45" i="15"/>
  <c r="F44" i="15"/>
  <c r="F19" i="15"/>
  <c r="C20" i="15"/>
  <c r="C15" i="16"/>
  <c r="F14" i="16"/>
  <c r="F50" i="16"/>
  <c r="C51" i="16"/>
  <c r="C29" i="15"/>
  <c r="F28" i="15"/>
  <c r="F62" i="16"/>
  <c r="C63" i="16"/>
  <c r="F63" i="15"/>
  <c r="C53" i="15" l="1"/>
  <c r="F52" i="15"/>
  <c r="C40" i="16"/>
  <c r="F39" i="16"/>
  <c r="C30" i="16"/>
  <c r="F29" i="16"/>
  <c r="F63" i="16"/>
  <c r="F20" i="15"/>
  <c r="C21" i="15"/>
  <c r="C52" i="16"/>
  <c r="F51" i="16"/>
  <c r="F45" i="15"/>
  <c r="C46" i="15"/>
  <c r="F46" i="15" s="1"/>
  <c r="F29" i="15"/>
  <c r="C30" i="15"/>
  <c r="F15" i="16"/>
  <c r="C16" i="16"/>
  <c r="F53" i="15" l="1"/>
  <c r="C54" i="15"/>
  <c r="F30" i="16"/>
  <c r="C31" i="16"/>
  <c r="C41" i="16"/>
  <c r="F40" i="16"/>
  <c r="C17" i="16"/>
  <c r="F16" i="16"/>
  <c r="F52" i="16"/>
  <c r="C53" i="16"/>
  <c r="C31" i="15"/>
  <c r="F30" i="15"/>
  <c r="F21" i="15"/>
  <c r="C22" i="15"/>
  <c r="F22" i="15" s="1"/>
  <c r="F41" i="16" l="1"/>
  <c r="C42" i="16"/>
  <c r="F31" i="16"/>
  <c r="C32" i="16"/>
  <c r="F54" i="15"/>
  <c r="C55" i="15"/>
  <c r="F31" i="15"/>
  <c r="C32" i="15"/>
  <c r="C54" i="16"/>
  <c r="F53" i="16"/>
  <c r="C18" i="16"/>
  <c r="F17" i="16"/>
  <c r="F55" i="15" l="1"/>
  <c r="C56" i="15"/>
  <c r="C33" i="16"/>
  <c r="F32" i="16"/>
  <c r="F42" i="16"/>
  <c r="C43" i="16"/>
  <c r="F54" i="16"/>
  <c r="C55" i="16"/>
  <c r="C19" i="16"/>
  <c r="F18" i="16"/>
  <c r="C33" i="15"/>
  <c r="F32" i="15"/>
  <c r="C44" i="16" l="1"/>
  <c r="F43" i="16"/>
  <c r="C34" i="16"/>
  <c r="F34" i="16" s="1"/>
  <c r="F33" i="16"/>
  <c r="F56" i="15"/>
  <c r="C57" i="15"/>
  <c r="C56" i="16"/>
  <c r="F55" i="16"/>
  <c r="F19" i="16"/>
  <c r="C20" i="16"/>
  <c r="F33" i="15"/>
  <c r="C34" i="15"/>
  <c r="F34" i="15" s="1"/>
  <c r="C58" i="15" l="1"/>
  <c r="F57" i="15"/>
  <c r="C45" i="16"/>
  <c r="F44" i="16"/>
  <c r="F20" i="16"/>
  <c r="C21" i="16"/>
  <c r="F56" i="16"/>
  <c r="C57" i="16"/>
  <c r="F45" i="16" l="1"/>
  <c r="C46" i="16"/>
  <c r="F46" i="16" s="1"/>
  <c r="F58" i="15"/>
  <c r="B5" i="15" s="1"/>
  <c r="R6" i="34" s="1"/>
  <c r="I6" i="34" s="1"/>
  <c r="B4" i="15"/>
  <c r="T6" i="34" s="1"/>
  <c r="F57" i="16"/>
  <c r="C58" i="16"/>
  <c r="C22" i="16"/>
  <c r="F22" i="16" s="1"/>
  <c r="F21" i="16"/>
  <c r="B4" i="16" l="1"/>
  <c r="T7" i="34" s="1"/>
  <c r="F58" i="16"/>
  <c r="B5" i="16" s="1"/>
  <c r="R7" i="34" s="1"/>
  <c r="I7" i="34" s="1"/>
</calcChain>
</file>

<file path=xl/sharedStrings.xml><?xml version="1.0" encoding="utf-8"?>
<sst xmlns="http://schemas.openxmlformats.org/spreadsheetml/2006/main" count="2758" uniqueCount="765">
  <si>
    <r>
      <t>Percentage</t>
    </r>
    <r>
      <rPr>
        <b/>
        <u/>
        <sz val="10"/>
        <color indexed="30"/>
        <rFont val="Arial"/>
        <family val="2"/>
      </rPr>
      <t xml:space="preserve"> seen</t>
    </r>
    <r>
      <rPr>
        <b/>
        <sz val="10"/>
        <color indexed="30"/>
        <rFont val="Arial"/>
        <family val="2"/>
      </rPr>
      <t xml:space="preserve"> within 18 weeks</t>
    </r>
  </si>
  <si>
    <t>48-hour GP/HCP access</t>
  </si>
  <si>
    <t>&gt;3 days (excl. Code 9s and 100s) Percentages</t>
  </si>
  <si>
    <r>
      <t>Estimated Incidence of Dementia</t>
    </r>
    <r>
      <rPr>
        <b/>
        <vertAlign val="superscript"/>
        <sz val="10"/>
        <color indexed="8"/>
        <rFont val="Arial"/>
        <family val="2"/>
      </rPr>
      <t>1</t>
    </r>
  </si>
  <si>
    <r>
      <t>Total Referred to PDS</t>
    </r>
    <r>
      <rPr>
        <b/>
        <vertAlign val="superscript"/>
        <sz val="10"/>
        <color indexed="8"/>
        <rFont val="Arial"/>
        <family val="2"/>
      </rPr>
      <t>2</t>
    </r>
  </si>
  <si>
    <r>
      <t>Delivered Successfully Against the Standard</t>
    </r>
    <r>
      <rPr>
        <b/>
        <vertAlign val="superscript"/>
        <sz val="10"/>
        <color indexed="8"/>
        <rFont val="Arial"/>
        <family val="2"/>
      </rPr>
      <t>3</t>
    </r>
  </si>
  <si>
    <r>
      <rPr>
        <vertAlign val="superscript"/>
        <sz val="10"/>
        <color indexed="8"/>
        <rFont val="Arial"/>
        <family val="2"/>
      </rPr>
      <t>1</t>
    </r>
    <r>
      <rPr>
        <sz val="10"/>
        <color indexed="8"/>
        <rFont val="Arial"/>
        <family val="2"/>
      </rPr>
      <t xml:space="preserve"> These incidence figures were derived from taking most up to date NRS population estimates for 2014/15 and applying rates as indicated in the cited research</t>
    </r>
  </si>
  <si>
    <r>
      <rPr>
        <vertAlign val="superscript"/>
        <sz val="10"/>
        <color indexed="8"/>
        <rFont val="Arial"/>
        <family val="2"/>
      </rPr>
      <t>2</t>
    </r>
    <r>
      <rPr>
        <sz val="10"/>
        <color indexed="8"/>
        <rFont val="Arial"/>
        <family val="2"/>
      </rPr>
      <t xml:space="preserve"> Number of those referred for PDS, but excludes those currently undergoing PDS as uncertain at this point whether they will meet the requirements of the LDP Standard.</t>
    </r>
  </si>
  <si>
    <r>
      <rPr>
        <vertAlign val="superscript"/>
        <sz val="10"/>
        <color indexed="8"/>
        <rFont val="Arial"/>
        <family val="2"/>
      </rPr>
      <t>3</t>
    </r>
    <r>
      <rPr>
        <sz val="10"/>
        <color indexed="8"/>
        <rFont val="Arial"/>
        <family val="2"/>
      </rPr>
      <t xml:space="preserve"> Those who have received 12 months PDS support or had PDS stopped due to patient death or move </t>
    </r>
  </si>
  <si>
    <t>Healthcare Acquired Infection - SAB (rate per 1,000 acute bed days)</t>
  </si>
  <si>
    <t>Patient Experience (9.0/10 – Overall Experience)</t>
  </si>
  <si>
    <t>(max) (&lt;=262)</t>
  </si>
  <si>
    <t>(max) (&lt;=184)</t>
  </si>
  <si>
    <t>Apr - Jun 16</t>
  </si>
  <si>
    <t>(exptd diag rate + 1 Year (min) PDS)</t>
  </si>
  <si>
    <t>Target (min)</t>
  </si>
  <si>
    <t>Target (max)</t>
  </si>
  <si>
    <t>Interim Target (min)</t>
  </si>
  <si>
    <t>Target Median (max)</t>
  </si>
  <si>
    <t>% of patients seen within the 12 week Treatment Time Guarantee</t>
  </si>
  <si>
    <t>% commenced within 12 months</t>
  </si>
  <si>
    <r>
      <t xml:space="preserve">Total </t>
    </r>
    <r>
      <rPr>
        <b/>
        <u/>
        <sz val="10"/>
        <color indexed="8"/>
        <rFont val="Arial"/>
        <family val="2"/>
      </rPr>
      <t>waiting</t>
    </r>
    <r>
      <rPr>
        <b/>
        <sz val="10"/>
        <color indexed="8"/>
        <rFont val="Arial"/>
        <family val="2"/>
      </rPr>
      <t xml:space="preserve"> at end of month adjusted</t>
    </r>
  </si>
  <si>
    <r>
      <t xml:space="preserve">Those </t>
    </r>
    <r>
      <rPr>
        <b/>
        <u/>
        <sz val="10"/>
        <color indexed="8"/>
        <rFont val="Arial"/>
        <family val="2"/>
      </rPr>
      <t>waiting</t>
    </r>
    <r>
      <rPr>
        <b/>
        <sz val="10"/>
        <color indexed="8"/>
        <rFont val="Arial"/>
        <family val="2"/>
      </rPr>
      <t xml:space="preserve"> more than 18 weeks adjusted</t>
    </r>
  </si>
  <si>
    <t>Baseline Median - 2009 (1.91)</t>
  </si>
  <si>
    <t xml:space="preserve">Extended New Median </t>
  </si>
  <si>
    <t>Target Median (50% Reduction) to 0.95 (max)</t>
  </si>
  <si>
    <t>(min for this quarter)</t>
  </si>
  <si>
    <t>(Mthly)</t>
  </si>
  <si>
    <t>(Qtrly)</t>
  </si>
  <si>
    <t>Cancer (&lt;=31-day) (% treated)</t>
  </si>
  <si>
    <t>TTG Seen Over 12 Weeks</t>
  </si>
  <si>
    <t>TTG Seen Within 12 Weeks</t>
  </si>
  <si>
    <t>Average of Weighted Response Scores</t>
  </si>
  <si>
    <t>&gt;3 days (excl. Code 9s &amp; 100s) - post-definition change - Total incl. Other Local Authority Areas - NHS Lothian</t>
  </si>
  <si>
    <t>&gt;3 days (excl. Code 9s &amp; 100s) - post-definition change - Total incl. Other Local Authority Areas - East Lothian</t>
  </si>
  <si>
    <t>&gt;3 days (excl. Code 9s &amp; 100s) - post-definition change - Total incl. Other Local Authority Areas - City of Edinburgh</t>
  </si>
  <si>
    <t>&gt;3 days (excl. Code 9s &amp; 100s) - post-definition change - Total incl. Other Local Authority Areas - Midlothian</t>
  </si>
  <si>
    <t>&gt;3 days (excl. Code 9s &amp; 100s) - post-definition change - Total incl. Other Local Authority Areas - West Lothian</t>
  </si>
  <si>
    <t>&gt;3 days (excl. Code 9s &amp; 100s) - pre-definition change - Total incl. Other Local Authority Areas - NHS Lothian</t>
  </si>
  <si>
    <t xml:space="preserve">All Cancer Types - </t>
  </si>
  <si>
    <t xml:space="preserve">Urological - </t>
  </si>
  <si>
    <t xml:space="preserve">Urology - </t>
  </si>
  <si>
    <t>Extended Basline Median</t>
  </si>
  <si>
    <t>62-day target from receipt of referral to treatment for all cancers.  This applies to each of the following groups:-</t>
  </si>
  <si>
    <t xml:space="preserve">·         any patients urgently referred with a suspicion of cancer by their primary care clinician (for example GP) or dentist; </t>
  </si>
  <si>
    <t xml:space="preserve">·         any screened-positive patients who are referred through a national cancer screening programme (breast, colorectal or cervical);  </t>
  </si>
  <si>
    <t>·         any direct referral to hospital (for example self-referral to A&amp;E).</t>
  </si>
  <si>
    <t>City of Edinburgh</t>
  </si>
  <si>
    <t>West Lothian</t>
  </si>
  <si>
    <t>People newly diagnosed with dementia will have a minimum of 1 year of post-diagnostic support (PDS).</t>
  </si>
  <si>
    <t>90 per cent of clients will wait no longer than 3 weeks from referral received to appropriate drug or alcohol treatment that supports their recovery.</t>
  </si>
  <si>
    <t>NHS Boards’ rate of Clostridium difficile infections (CDI) in patients aged 15 and over is 0.32 cases or less per 1,000 total occupied bed days.</t>
  </si>
  <si>
    <t>NHS Boards’ rate of Staphylococcus aureus Bacteraemia (including MRSA) (SAB) cases are 0.24 or less per 1,000 acute occupied bed days.</t>
  </si>
  <si>
    <t>All hospital sites (i.e. RIE, SJH &amp; WGH) to be within Hospital Scorecard (HS) limits (i.e. if one is out-with limits, status for NHS Lothian is ‘Not Met’).</t>
  </si>
  <si>
    <t>From the 1 October 2012, the Patient Rights (Scotland) Act 2011 establishes a 12 week maximum waiting time for the treatment of all eligible patients due to receive planned treatment delivered on an inpatient or day case basis.</t>
  </si>
  <si>
    <t>90 per cent of eligible patients to commence IVF treatment within 12 months of referral.</t>
  </si>
  <si>
    <t>Tell us Ten Things (TTT) Inpatient Survey (Question 10 – Overall Experience).</t>
  </si>
  <si>
    <t>90 per cent of patients to commence Psychological Therapy based treatment within 18 weeks of referral.</t>
  </si>
  <si>
    <t>90% of planned/elective patients to commence treatment within 18 weeks of referral.</t>
  </si>
  <si>
    <t xml:space="preserve">NHS Boards to sustain and embed successful smoking quits at 12 weeks post quit, in the 40% most deprived SIMD areas (60% in the Island Boards).  </t>
  </si>
  <si>
    <t>80% of all patients admitted to hospital with an initial diagnosis of stroke should receive the appropriate elements of the stroke care bundle.</t>
  </si>
  <si>
    <t>No patient should wait past their planned review date for a surveillance endoscopy.</t>
  </si>
  <si>
    <t>Quit Dates</t>
  </si>
  <si>
    <t>NHS Lothian Total – PCR Pharmacies only</t>
  </si>
  <si>
    <t>No. Within 12 Weeks</t>
  </si>
  <si>
    <t>No Of Maternities</t>
  </si>
  <si>
    <t>% within 12 weeks</t>
  </si>
  <si>
    <t>2011/12</t>
  </si>
  <si>
    <t>2013/14</t>
  </si>
  <si>
    <t>2015/16</t>
  </si>
  <si>
    <t>Advance booking</t>
  </si>
  <si>
    <t>0-365 Days</t>
  </si>
  <si>
    <t>&gt;365 Days</t>
  </si>
  <si>
    <t>Total Number of Patients Seen</t>
  </si>
  <si>
    <t>Target/Standard</t>
  </si>
  <si>
    <t>Reporting Date</t>
  </si>
  <si>
    <t>Lead Director</t>
  </si>
  <si>
    <t>Quality</t>
  </si>
  <si>
    <t>Not Applicable</t>
  </si>
  <si>
    <t>Met</t>
  </si>
  <si>
    <t xml:space="preserve">Healthcare Acquired Infection - CDI (rate per 1,000 bed days, aged 15+) </t>
  </si>
  <si>
    <t>LDP</t>
  </si>
  <si>
    <t>Worse</t>
  </si>
  <si>
    <t>Better</t>
  </si>
  <si>
    <t>Timely</t>
  </si>
  <si>
    <t>JC</t>
  </si>
  <si>
    <t>DS</t>
  </si>
  <si>
    <t>AMcM</t>
  </si>
  <si>
    <t>JF</t>
  </si>
  <si>
    <t>Stroke Bundle (% receiving)</t>
  </si>
  <si>
    <t>Effective</t>
  </si>
  <si>
    <t xml:space="preserve"> DS</t>
  </si>
  <si>
    <t>EM</t>
  </si>
  <si>
    <t>Efficient</t>
  </si>
  <si>
    <t>Hospital Scorecard – Standardised Surgical Readmission rate within 7 days</t>
  </si>
  <si>
    <t>All NHS L Sites (RIE; SJH &amp; WGH), Within Hospital Scorecard Limits</t>
  </si>
  <si>
    <t>Hospital Scorecard – Standardised Surgical Readmission rate within 28 days</t>
  </si>
  <si>
    <t>Hospital Scorecard – Standardised Medical Readmission rate within 7 days</t>
  </si>
  <si>
    <t>Hospital Scorecard – Standardised Medical Readmission rate within 28 days</t>
  </si>
  <si>
    <t>Hospital Scorecard – Average Surgical Length of Stay - Adjusted</t>
  </si>
  <si>
    <t>Hospital Scorecard – Average Medical Length of Stay - Adjusted</t>
  </si>
  <si>
    <t>Equitable</t>
  </si>
  <si>
    <t>Smoking Cessation (quits)</t>
  </si>
  <si>
    <t>AKM</t>
  </si>
  <si>
    <t>Person-Centred</t>
  </si>
  <si>
    <t>Assurance Committee</t>
  </si>
  <si>
    <t>Safe</t>
  </si>
  <si>
    <t>Dementia – East Lothian IJB</t>
  </si>
  <si>
    <t>Dementia – Edinburgh IJB</t>
  </si>
  <si>
    <t>Dementia – West Lothian IJB</t>
  </si>
  <si>
    <t>Dementia – Midlothian IJB</t>
  </si>
  <si>
    <t>HGC</t>
  </si>
  <si>
    <t>Acute Hospitals (AHC)</t>
  </si>
  <si>
    <t>Healthcare Governance (HGC)</t>
  </si>
  <si>
    <t>AHC</t>
  </si>
  <si>
    <t>Staff Governance</t>
  </si>
  <si>
    <t>Latest Performance</t>
  </si>
  <si>
    <t>Publication Date</t>
  </si>
  <si>
    <t>Overview Table</t>
  </si>
  <si>
    <t>Reporting Date:</t>
  </si>
  <si>
    <t>Met/Not Met:</t>
  </si>
  <si>
    <t>SIMD</t>
  </si>
  <si>
    <t>per 1,000 discharges (median)</t>
  </si>
  <si>
    <t>per 1,000 occupied bed days (median)</t>
  </si>
  <si>
    <t>All sites within HS Limits</t>
  </si>
  <si>
    <t>stretch to 98.0%</t>
  </si>
  <si>
    <t>(min)</t>
  </si>
  <si>
    <t>(max)</t>
  </si>
  <si>
    <t>(out of 10)</t>
  </si>
  <si>
    <t>2014/15</t>
  </si>
  <si>
    <t>2014 &amp; 2015 (Combined Calendar Years)</t>
  </si>
  <si>
    <t>Baseline Median</t>
  </si>
  <si>
    <t>Extended Median</t>
  </si>
  <si>
    <t>1st Friday of Month</t>
  </si>
  <si>
    <t>1st Friday of month</t>
  </si>
  <si>
    <t>28-30th</t>
  </si>
  <si>
    <t>14th</t>
  </si>
  <si>
    <t>28th</t>
  </si>
  <si>
    <t>5th</t>
  </si>
  <si>
    <t>24th</t>
  </si>
  <si>
    <t>8th</t>
  </si>
  <si>
    <t>Mid-end of month</t>
  </si>
  <si>
    <t>20th</t>
  </si>
  <si>
    <t>25th</t>
  </si>
  <si>
    <t>End of 1/4 + 4 months</t>
  </si>
  <si>
    <t>29th</t>
  </si>
  <si>
    <t>Target:</t>
  </si>
  <si>
    <t>Latest Performance:</t>
  </si>
  <si>
    <t>Publication Date:</t>
  </si>
  <si>
    <t>Latest Performance (48-hour):</t>
  </si>
  <si>
    <t>Latest Performance (Advanced booking):</t>
  </si>
  <si>
    <t>Scotland v Lothian:</t>
  </si>
  <si>
    <t>Cumulative Patients</t>
  </si>
  <si>
    <t>Rate</t>
  </si>
  <si>
    <t>Latest Performance No:</t>
  </si>
  <si>
    <t>Latest Performance Rate:</t>
  </si>
  <si>
    <t>Latest Performance (%):</t>
  </si>
  <si>
    <t>Latest Performance (No):</t>
  </si>
  <si>
    <t>Scotland v Lothian (48-hour):</t>
  </si>
  <si>
    <t>(median)</t>
  </si>
  <si>
    <t>End of 1/4 + 6 weeks</t>
  </si>
  <si>
    <t>The new aim of the Scottish Patient Safety Programme is to reduce hospital mortality by a further 10% by December 2018.</t>
  </si>
  <si>
    <t>If an HSMR value is less than one: This means the number of deaths within 30 days of admission for a hospital is fewer than predicted.</t>
  </si>
  <si>
    <t>If an HSMR value is greater than one : This means the number of deaths within 30 days for a hospital is more than predicted.</t>
  </si>
  <si>
    <t>If the number of deaths is more than predicted this does not necessarily mean that these were avoidable deaths (ie that they should not have happened), or that they were unexpected, or attributable to failings in the quality of care.</t>
  </si>
  <si>
    <t>HSMR</t>
  </si>
  <si>
    <t>End of 1/4 + 5 months</t>
  </si>
  <si>
    <t>End of 1/4 + 6 months</t>
  </si>
  <si>
    <t>NHS Lothian Total - Overall</t>
  </si>
  <si>
    <t>[cumulative]</t>
  </si>
  <si>
    <t xml:space="preserve">Raw Data - Lothian </t>
  </si>
  <si>
    <t>Gynaecology</t>
  </si>
  <si>
    <t>NEUROLOGY</t>
  </si>
  <si>
    <t>NHS L</t>
  </si>
  <si>
    <t>Latest Performance NHS Lothian:</t>
  </si>
  <si>
    <t>Latest Performance RIE:</t>
  </si>
  <si>
    <t>Latest Performance SJH:</t>
  </si>
  <si>
    <t>Latest Performance WGH:</t>
  </si>
  <si>
    <t>(rate)</t>
  </si>
  <si>
    <t>(incidences)</t>
  </si>
  <si>
    <r>
      <t>Staff Sickness Absence Levels</t>
    </r>
    <r>
      <rPr>
        <sz val="8"/>
        <color indexed="8"/>
        <rFont val="Arial"/>
        <family val="2"/>
      </rPr>
      <t xml:space="preserve"> (&lt;=4%)</t>
    </r>
  </si>
  <si>
    <t>Improving</t>
  </si>
  <si>
    <t>Deteriorating</t>
  </si>
  <si>
    <t/>
  </si>
  <si>
    <t>Extended Baseline Median</t>
  </si>
  <si>
    <t xml:space="preserve">New Median </t>
  </si>
  <si>
    <t>No Change</t>
  </si>
  <si>
    <t>(Monthly)</t>
  </si>
  <si>
    <t>(Quarterly)</t>
  </si>
  <si>
    <t>TOBD (1/4ly)</t>
  </si>
  <si>
    <t>TOBD Cumulative</t>
  </si>
  <si>
    <t>AOBD (1/4ly)</t>
  </si>
  <si>
    <t>AOBD Cumulative</t>
  </si>
  <si>
    <t>Figure 1:  Cardiac Arrest Rate per 1,000 Discharges</t>
  </si>
  <si>
    <t>Code 9s</t>
  </si>
  <si>
    <t>Patient journeys within 18 weeks (%)</t>
  </si>
  <si>
    <t>Total Number Waiting</t>
  </si>
  <si>
    <t>East Lothian IJB</t>
  </si>
  <si>
    <t>Edinburgh IJB</t>
  </si>
  <si>
    <t>Midlothian IJB</t>
  </si>
  <si>
    <t>West Lothian IJB</t>
  </si>
  <si>
    <t>Trend:</t>
  </si>
  <si>
    <t>Trend (48-hour):</t>
  </si>
  <si>
    <t>Scotland v Lothian (Advanced booking):</t>
  </si>
  <si>
    <t>Detect Cancer Early (% diagnosed)</t>
  </si>
  <si>
    <t>Combined Calendar Years</t>
  </si>
  <si>
    <t xml:space="preserve">Trend:  </t>
  </si>
  <si>
    <t>JB</t>
  </si>
  <si>
    <t>&gt;3 days (excl. Code 9s and 100s)</t>
  </si>
  <si>
    <t>Trend (Advanced booking):</t>
  </si>
  <si>
    <t>End of following 1/4</t>
  </si>
  <si>
    <t>DERMATOLOGY</t>
  </si>
  <si>
    <t>Scotland v Lothian (31 day):</t>
  </si>
  <si>
    <t>Scotland v Lothian (62 day):</t>
  </si>
  <si>
    <t>(At month end)</t>
  </si>
  <si>
    <t>Next Publication:</t>
  </si>
  <si>
    <t>1st Tuesday of the month</t>
  </si>
  <si>
    <r>
      <t>Measure</t>
    </r>
    <r>
      <rPr>
        <b/>
        <vertAlign val="superscript"/>
        <sz val="8"/>
        <color indexed="8"/>
        <rFont val="Arial"/>
        <family val="2"/>
      </rPr>
      <t>1</t>
    </r>
  </si>
  <si>
    <r>
      <t>Performance Against Target/Standard</t>
    </r>
    <r>
      <rPr>
        <b/>
        <vertAlign val="superscript"/>
        <sz val="8"/>
        <color indexed="8"/>
        <rFont val="Arial"/>
        <family val="2"/>
      </rPr>
      <t>4</t>
    </r>
  </si>
  <si>
    <r>
      <t>Trend</t>
    </r>
    <r>
      <rPr>
        <b/>
        <vertAlign val="superscript"/>
        <sz val="8"/>
        <color indexed="8"/>
        <rFont val="Arial"/>
        <family val="2"/>
      </rPr>
      <t>5</t>
    </r>
  </si>
  <si>
    <r>
      <t>Published NHS Lothian vs. Scotland</t>
    </r>
    <r>
      <rPr>
        <b/>
        <vertAlign val="superscript"/>
        <sz val="8"/>
        <color indexed="8"/>
        <rFont val="Arial"/>
        <family val="2"/>
      </rPr>
      <t>6</t>
    </r>
  </si>
  <si>
    <r>
      <t>Date of  Published NHS Lothian vs. Scotland</t>
    </r>
    <r>
      <rPr>
        <b/>
        <vertAlign val="superscript"/>
        <sz val="8"/>
        <color indexed="8"/>
        <rFont val="Arial"/>
        <family val="2"/>
      </rPr>
      <t>7</t>
    </r>
  </si>
  <si>
    <t>Start of March, June, September &amp; December</t>
  </si>
  <si>
    <t>End of March, June, September &amp; December</t>
  </si>
  <si>
    <t>Published</t>
  </si>
  <si>
    <t>Here</t>
  </si>
  <si>
    <t>N/A</t>
  </si>
  <si>
    <t>Start of October</t>
  </si>
  <si>
    <t>End of November</t>
  </si>
  <si>
    <t>2nd Tuesday of the month</t>
  </si>
  <si>
    <t>NRAC</t>
  </si>
  <si>
    <t>2016/17</t>
  </si>
  <si>
    <t>Mid June</t>
  </si>
  <si>
    <t>End of February, May, August &amp; November</t>
  </si>
  <si>
    <t>Start of April, July, October &amp; January</t>
  </si>
  <si>
    <t>C.Diff</t>
  </si>
  <si>
    <t>SAB</t>
  </si>
  <si>
    <t>Scotland v Lothian (C.Diff):</t>
  </si>
  <si>
    <t>Scotland v Lothian (SAB):</t>
  </si>
  <si>
    <t>Scotland v Lothian (%):</t>
  </si>
  <si>
    <t>Scotland v Lothian (NRAC):</t>
  </si>
  <si>
    <t>Start of June</t>
  </si>
  <si>
    <t>A six week maximum waiting time for eight key diagnostic tests (four for Gastroenterology/Urology Diagnostics, and four for Radiology (one of which covers data for Vascular Labs from 31st March 2009.  Please see separate proformas for Gastroenterology/Urology Diagnostics, and Vascular Labs data).)</t>
  </si>
  <si>
    <t>-</t>
  </si>
  <si>
    <t>NHS Lothian Target</t>
  </si>
  <si>
    <t>For chart (only):-</t>
  </si>
  <si>
    <t>Code 100s</t>
  </si>
  <si>
    <t>Total incl. Other Local Authority Areas</t>
  </si>
  <si>
    <t>Cumulative %</t>
  </si>
  <si>
    <t>Part 1:-</t>
  </si>
  <si>
    <t>Number of People Referred to a PDS Service</t>
  </si>
  <si>
    <t>% of New Diagnosed Incidences Referred to PDS</t>
  </si>
  <si>
    <t>Part 2:-</t>
  </si>
  <si>
    <t>% of Standard Achieved</t>
  </si>
  <si>
    <t>Latest Performance 1.:</t>
  </si>
  <si>
    <t>Latest Performance 2.:</t>
  </si>
  <si>
    <t xml:space="preserve">Part 1:  </t>
  </si>
  <si>
    <t xml:space="preserve">Part 2:  </t>
  </si>
  <si>
    <t>(TBC)</t>
  </si>
  <si>
    <t>Total Delayed Discharges (incl. Code 9s, excl. Code 100s)</t>
  </si>
  <si>
    <t>&lt;=3 days (excl. Code 9s and 100s)</t>
  </si>
  <si>
    <t>Total Diagnostics Patients Over 6 Week Standard</t>
  </si>
  <si>
    <t>Total Gastroenterology/ Urology Diagnostics Patients Over 6 Week Standard</t>
  </si>
  <si>
    <t>NHS Lothian Total – Prisons only</t>
  </si>
  <si>
    <t>NHS Lothian Total – Non-Pharmacy &amp; Prisons only</t>
  </si>
  <si>
    <t>NHS Lothian Total – Non-Pharmacy only (excl. Prisons)</t>
  </si>
  <si>
    <t>General Ultrasound excl. Vascular Labs</t>
  </si>
  <si>
    <t>Total Radiology Patients Over 6 Week Standard excl. Vascular Labs</t>
  </si>
  <si>
    <t xml:space="preserve">Total Vascular Labs Patients Over 6 Weeks Standard </t>
  </si>
  <si>
    <t>Notes</t>
  </si>
  <si>
    <t>Dec</t>
  </si>
  <si>
    <t>Jan</t>
  </si>
  <si>
    <t>Feb</t>
  </si>
  <si>
    <t>Mar</t>
  </si>
  <si>
    <t>Apr</t>
  </si>
  <si>
    <t>May</t>
  </si>
  <si>
    <t>Jun</t>
  </si>
  <si>
    <t>Jul</t>
  </si>
  <si>
    <t>Aug</t>
  </si>
  <si>
    <t>Sep</t>
  </si>
  <si>
    <t>Oct</t>
  </si>
  <si>
    <t>Nov</t>
  </si>
  <si>
    <t>Jan - Mar 16</t>
  </si>
  <si>
    <t>Jul - Sep 15</t>
  </si>
  <si>
    <t>Apr - Jun 15</t>
  </si>
  <si>
    <t>25th (+ 2 months)</t>
  </si>
  <si>
    <t>From 31 March 2010, no patient should wait longer than 12 weeks for a new outpatient appointment at a consultant-led clinic.  This includes referrals from all sources.</t>
  </si>
  <si>
    <t>Updated NRAC to 14.66% for 2016/17 allocation, Nov 16</t>
  </si>
  <si>
    <r>
      <t>Healthcare Quality Domain</t>
    </r>
    <r>
      <rPr>
        <b/>
        <vertAlign val="superscript"/>
        <sz val="6"/>
        <color indexed="8"/>
        <rFont val="Arial"/>
        <family val="2"/>
      </rPr>
      <t>2</t>
    </r>
  </si>
  <si>
    <r>
      <t>Type</t>
    </r>
    <r>
      <rPr>
        <b/>
        <vertAlign val="superscript"/>
        <sz val="6"/>
        <color indexed="8"/>
        <rFont val="Arial"/>
        <family val="2"/>
      </rPr>
      <t>3</t>
    </r>
  </si>
  <si>
    <t>Vascular Surgery</t>
  </si>
  <si>
    <t xml:space="preserve">Baseline Median </t>
  </si>
  <si>
    <t>Committee Assurance Level</t>
  </si>
  <si>
    <t>Date Assurance Level Assigned</t>
  </si>
  <si>
    <t>To be reviewed</t>
  </si>
  <si>
    <t>Moderate</t>
  </si>
  <si>
    <t>Limited</t>
  </si>
  <si>
    <t>Significant</t>
  </si>
  <si>
    <t>Outpatients (&lt;=12 weeks)</t>
  </si>
  <si>
    <r>
      <t>Cancer (&lt;=62-day)</t>
    </r>
    <r>
      <rPr>
        <sz val="8"/>
        <color indexed="8"/>
        <rFont val="Arial"/>
        <family val="2"/>
      </rPr>
      <t xml:space="preserve"> (% treated) </t>
    </r>
  </si>
  <si>
    <t>Alcohol Brief Interventions (ABIs) (Number)</t>
  </si>
  <si>
    <t>Cardiac Arrest (per 1,000 discharges)</t>
  </si>
  <si>
    <t>Falls With Harm (per 1,000 occupied bed days)</t>
  </si>
  <si>
    <t>Hospital Standardised Mortality Ratios (HSMR) (within limits)</t>
  </si>
  <si>
    <t>IVF (% &lt;=12 months)</t>
  </si>
  <si>
    <t xml:space="preserve">Psychological Therapies (% &lt;=18 wks) </t>
  </si>
  <si>
    <t xml:space="preserve">Referral to Treatment (% &lt;=18 wks) </t>
  </si>
  <si>
    <t>IPDC Treatment Time Guarantee (&lt;=12 wks)</t>
  </si>
  <si>
    <t>Four hour Unscheduled Care (% &lt;=4 hrs)</t>
  </si>
  <si>
    <r>
      <t xml:space="preserve">Diagnostics (&lt;=6 wks) – </t>
    </r>
    <r>
      <rPr>
        <sz val="8"/>
        <color indexed="8"/>
        <rFont val="Arial"/>
        <family val="2"/>
      </rPr>
      <t xml:space="preserve">Vascular Labs  </t>
    </r>
  </si>
  <si>
    <t>Delayed Discharges (&gt;3 days) – East Lothian IJB</t>
  </si>
  <si>
    <t>Delayed Discharges (&gt;3 days) – Edinburgh IJB</t>
  </si>
  <si>
    <t>Delayed Discharges (&gt;3 days) – Midlothian IJB</t>
  </si>
  <si>
    <t>Delayed Discharges (&gt;3 days) – West Lothian IJB</t>
  </si>
  <si>
    <t>Early Access to Antenatal Care (% &lt;=12 wks)</t>
  </si>
  <si>
    <t>Question 10 - Overall Experience (out of 10)</t>
  </si>
  <si>
    <t>Figure 1:  Rates of Referral to PDS in each month for NHS Lothian and IJBs, for those Diagnosed with Dementia - Source: ISD</t>
  </si>
  <si>
    <t>tbc</t>
  </si>
  <si>
    <t>New Median</t>
  </si>
  <si>
    <t>Extended New Median</t>
  </si>
  <si>
    <t>New Median 2</t>
  </si>
  <si>
    <t>Extended New Median 2</t>
  </si>
  <si>
    <t>Rate per 1,000 discharges</t>
  </si>
  <si>
    <t>TBC</t>
  </si>
  <si>
    <t>To be reviewed (was 'Met' at time of mtg)</t>
  </si>
  <si>
    <t>48 Hour GP Access – access to healthcare prof</t>
  </si>
  <si>
    <t xml:space="preserve">48 Hour GP Access – GP appt </t>
  </si>
  <si>
    <t>RIE</t>
  </si>
  <si>
    <t>WGH</t>
  </si>
  <si>
    <t>RHSC</t>
  </si>
  <si>
    <t>SJH</t>
  </si>
  <si>
    <t>Lothian</t>
  </si>
  <si>
    <t>Target</t>
  </si>
  <si>
    <t>Measure</t>
  </si>
  <si>
    <t>Alcohol Brief Interventions (ABI)</t>
  </si>
  <si>
    <t>A&amp;E Waiting Times</t>
  </si>
  <si>
    <t>Early Access to Antenatal Services</t>
  </si>
  <si>
    <t>Child &amp; Adolescent Mental Health Services</t>
  </si>
  <si>
    <t>Cancer Waiting Times - 31 Day</t>
  </si>
  <si>
    <t>Cancer Waiting Times - 62 Day</t>
  </si>
  <si>
    <t>Cardiac Arrest</t>
  </si>
  <si>
    <t>Delayed Discharges</t>
  </si>
  <si>
    <t>Dementia Post Diagnostic Support</t>
  </si>
  <si>
    <t>Detect Cancer Early</t>
  </si>
  <si>
    <t>Diagnostics Waiting Times</t>
  </si>
  <si>
    <t>Drug &amp; Alcohol Waiting Times</t>
  </si>
  <si>
    <t>Falls with Harm</t>
  </si>
  <si>
    <t>GP Access</t>
  </si>
  <si>
    <t>Healthcare Associated Infections - C.Diff</t>
  </si>
  <si>
    <t>Healthcare Associated Infections - SAB</t>
  </si>
  <si>
    <t>Hospital Scorecard</t>
  </si>
  <si>
    <t>IVF Waiting Times</t>
  </si>
  <si>
    <t>Outpatient Waiting Times (12 Week)</t>
  </si>
  <si>
    <t>Patient Experience</t>
  </si>
  <si>
    <t>Psychological Therapies</t>
  </si>
  <si>
    <t>Referral To Treatment (18 Weeks)</t>
  </si>
  <si>
    <t>Sickness Absence</t>
  </si>
  <si>
    <t>Smoking Cessation</t>
  </si>
  <si>
    <t>Stroke Bundle</t>
  </si>
  <si>
    <t>Inpatient - Treatment Time Guarantee (12 Weeks)</t>
  </si>
  <si>
    <t>Return to Contents</t>
  </si>
  <si>
    <t>Patients seen for 1st treatment</t>
  </si>
  <si>
    <t>% within 18 wks</t>
  </si>
  <si>
    <t>% over 18 wks</t>
  </si>
  <si>
    <t>Patients still waiting at month end</t>
  </si>
  <si>
    <t>Cancer Type</t>
  </si>
  <si>
    <t>Percentage that started treatment within 31 days</t>
  </si>
  <si>
    <t>All Cancer types</t>
  </si>
  <si>
    <t>Breast (screened excluded)</t>
  </si>
  <si>
    <t>Breast (screened only)</t>
  </si>
  <si>
    <t>Cervical (screened excluded)</t>
  </si>
  <si>
    <t>Cervical (screened only)</t>
  </si>
  <si>
    <t>n/a</t>
  </si>
  <si>
    <t>Colorectal (screened excluded)</t>
  </si>
  <si>
    <t>Colorectal (screened only)</t>
  </si>
  <si>
    <t>Head &amp; Neck</t>
  </si>
  <si>
    <t>Lung</t>
  </si>
  <si>
    <t>Lymphoma</t>
  </si>
  <si>
    <t>Melanoma</t>
  </si>
  <si>
    <t>Ovarian</t>
  </si>
  <si>
    <t>Upper Gastro-Intestinal (GI)</t>
  </si>
  <si>
    <t>Urological</t>
  </si>
  <si>
    <t>Percentage that started treatment within 62 days</t>
  </si>
  <si>
    <t>Numerator</t>
  </si>
  <si>
    <t>Denominator</t>
  </si>
  <si>
    <t xml:space="preserve"> </t>
  </si>
  <si>
    <t>NHS Scotland</t>
  </si>
  <si>
    <t>NHS Lothian</t>
  </si>
  <si>
    <t>2010 &amp; 2011 (Baseline Period)</t>
  </si>
  <si>
    <t>2014 &amp; 2015</t>
  </si>
  <si>
    <t>2011 &amp; 2012</t>
  </si>
  <si>
    <t>2012 &amp; 2013</t>
  </si>
  <si>
    <t>2013 &amp; 2014</t>
  </si>
  <si>
    <t>Colonoscopy</t>
  </si>
  <si>
    <t>Upper Endoscopy</t>
  </si>
  <si>
    <t>Flexible Sigmoidoscopy (Lower Endoscopy)</t>
  </si>
  <si>
    <t>Flexible Cystoscopy</t>
  </si>
  <si>
    <t>Total</t>
  </si>
  <si>
    <t>Gastroenterology/ Urology Diagnostics</t>
  </si>
  <si>
    <t>CT</t>
  </si>
  <si>
    <t>MRI</t>
  </si>
  <si>
    <t>Barium Studies</t>
  </si>
  <si>
    <t>Minus Vascular Labs, from Oct 15 inclusive onwards.</t>
  </si>
  <si>
    <t>Radiology</t>
  </si>
  <si>
    <t xml:space="preserve">Vascular Labs </t>
  </si>
  <si>
    <t>Edinburgh City Alcohol &amp; Drug Partnership (ADP)</t>
  </si>
  <si>
    <t>Midlothian and East Lothian ADP (MELDAP)</t>
  </si>
  <si>
    <t>East Lothian</t>
  </si>
  <si>
    <t>Midlothian</t>
  </si>
  <si>
    <t>West Lothian ADP</t>
  </si>
  <si>
    <t>Urology</t>
  </si>
  <si>
    <t>General Surgery</t>
  </si>
  <si>
    <t>Orthopaedic Surgery</t>
  </si>
  <si>
    <t>Others</t>
  </si>
  <si>
    <t>Total List Size (TTG)</t>
  </si>
  <si>
    <t>Available</t>
  </si>
  <si>
    <t>Unavailable</t>
  </si>
  <si>
    <t xml:space="preserve">Percentage Unavailable </t>
  </si>
  <si>
    <t>Non-TTG</t>
  </si>
  <si>
    <t>GASTROENTEROLOGY</t>
  </si>
  <si>
    <t>TRAUMA AND ORTHOPAEDIC SURGERY</t>
  </si>
  <si>
    <t>GENERAL SURGERY (EXCL VASCULAR)</t>
  </si>
  <si>
    <t>EAR, NOSE &amp; THROAT (ENT)</t>
  </si>
  <si>
    <t>VASCULAR SURGERY</t>
  </si>
  <si>
    <t>UROLOGY</t>
  </si>
  <si>
    <t>OPHTHALMOLOGY</t>
  </si>
  <si>
    <t>OTHERS</t>
  </si>
  <si>
    <t>Total List Size</t>
  </si>
  <si>
    <t>Percentage Unavailable</t>
  </si>
  <si>
    <t>Number of patient journeys within 18 weeks</t>
  </si>
  <si>
    <t>Number of patient journeys over 18 weeks</t>
  </si>
  <si>
    <t>Patient journeys that could be fully measured (%)</t>
  </si>
  <si>
    <t>Stroke Bundle Performance</t>
  </si>
  <si>
    <t>1. Access to stroke unit by day after admission</t>
  </si>
  <si>
    <t>2. Swallow screen within 4 hours of admission</t>
  </si>
  <si>
    <t>3. Imaging undertaken within 24 hours</t>
  </si>
  <si>
    <t>4. Aspirin by the day following admission</t>
  </si>
  <si>
    <t>Flexible Sigmoidoscopy</t>
  </si>
  <si>
    <t>Surgical Readmissions within 7 Days</t>
  </si>
  <si>
    <t>Surgical Readmissions within 28 Days</t>
  </si>
  <si>
    <t>Medical Readmissions within 7 Days</t>
  </si>
  <si>
    <t>Medical Readmissions within 28 Days</t>
  </si>
  <si>
    <t>Average Surgical Length of Stay-Adjusted</t>
  </si>
  <si>
    <t>Average Medical Length of Stay-Adjusted</t>
  </si>
  <si>
    <t>Standardised Rate per 1,000 admissions</t>
  </si>
  <si>
    <t>Adjusted</t>
  </si>
  <si>
    <t>Oct - Dec 15</t>
  </si>
  <si>
    <t xml:space="preserve">Royal Infirmary of Edinburgh </t>
  </si>
  <si>
    <t>St John's Hospital</t>
  </si>
  <si>
    <t>Western General Hospital</t>
  </si>
  <si>
    <t>Date</t>
  </si>
  <si>
    <t>Patients</t>
  </si>
  <si>
    <t>Latest Data</t>
  </si>
  <si>
    <t>Next Update</t>
  </si>
  <si>
    <t>Description:</t>
  </si>
  <si>
    <t>95% of patients are to wait no longer than 4 hours from arrival to admission, discharge or transfer for A&amp;E treatment.  NHS Boards are to work towards 98%.</t>
  </si>
  <si>
    <t>Next Update:</t>
  </si>
  <si>
    <t>NHS Boards to sustain and embed alcohol brief interventions in 3 priority settings (primary care, A&amp;E, antenatal) and broaden delivery in wider settings.</t>
  </si>
  <si>
    <t>At least 80 per cent of pregnant women in each SIMD (Scottish Index of Multiple Deprivation) quintile will have booked for antenatal care by the 12th week of gestation.</t>
  </si>
  <si>
    <t>31-day target from decision to treat until first treatment for all cancers, no matter how patients were referred.  For breast cancer, this replaces the previous 31-day diagnosis to treatment target.</t>
  </si>
  <si>
    <t>Total Number Seen</t>
  </si>
  <si>
    <t>Number Seen Within 18 Weeks</t>
  </si>
  <si>
    <t>Number Seen Over 18 Weeks</t>
  </si>
  <si>
    <t>Number Waiting Within 18 Weeks</t>
  </si>
  <si>
    <t>Number Waiting Over 18 Weeks</t>
  </si>
  <si>
    <r>
      <t xml:space="preserve">Percentage of children and young people </t>
    </r>
    <r>
      <rPr>
        <b/>
        <u/>
        <sz val="10"/>
        <color indexed="30"/>
        <rFont val="Arial"/>
        <family val="2"/>
      </rPr>
      <t>seen</t>
    </r>
    <r>
      <rPr>
        <b/>
        <sz val="10"/>
        <color indexed="30"/>
        <rFont val="Arial"/>
        <family val="2"/>
      </rPr>
      <t xml:space="preserve"> within 18 weeks for first treatment</t>
    </r>
  </si>
  <si>
    <r>
      <t xml:space="preserve">Total </t>
    </r>
    <r>
      <rPr>
        <b/>
        <u/>
        <sz val="10"/>
        <color indexed="8"/>
        <rFont val="Arial"/>
        <family val="2"/>
      </rPr>
      <t>waiting</t>
    </r>
    <r>
      <rPr>
        <b/>
        <sz val="10"/>
        <color indexed="8"/>
        <rFont val="Arial"/>
        <family val="2"/>
      </rPr>
      <t xml:space="preserve"> at end of month</t>
    </r>
  </si>
  <si>
    <r>
      <t xml:space="preserve">Those </t>
    </r>
    <r>
      <rPr>
        <b/>
        <u/>
        <sz val="10"/>
        <color indexed="8"/>
        <rFont val="Arial"/>
        <family val="2"/>
      </rPr>
      <t>waiting</t>
    </r>
    <r>
      <rPr>
        <b/>
        <sz val="10"/>
        <color indexed="8"/>
        <rFont val="Arial"/>
        <family val="2"/>
      </rPr>
      <t xml:space="preserve"> more than 18 weeks</t>
    </r>
  </si>
  <si>
    <t>NEUROSURGERY</t>
  </si>
  <si>
    <t>2017/18</t>
  </si>
  <si>
    <t>2018/19</t>
  </si>
  <si>
    <t>Jul - Sep 16</t>
  </si>
  <si>
    <t>Updated NRAC to 14.76% for 2017/18 allocation, Apr 17</t>
  </si>
  <si>
    <t>Planned Repeat Surveillance Endoscopy</t>
  </si>
  <si>
    <t xml:space="preserve">Total Planned Repeat Surveillance Endoscopy Patients Waiting &amp; Overdue Appointment </t>
  </si>
  <si>
    <t>(at month end)</t>
  </si>
  <si>
    <t>NHS Lothian Four Hour Performance</t>
  </si>
  <si>
    <r>
      <rPr>
        <sz val="10"/>
        <color indexed="10"/>
        <rFont val="Arial"/>
        <family val="2"/>
      </rPr>
      <t xml:space="preserve">50% share of NHS Lothian Target </t>
    </r>
    <r>
      <rPr>
        <sz val="10"/>
        <color indexed="63"/>
        <rFont val="Arial"/>
        <family val="2"/>
      </rPr>
      <t>(for financial year quarters) – for PCR Pharmacies; and for Non-Pharmacy &amp; Prisons, respectively (min)</t>
    </r>
  </si>
  <si>
    <r>
      <t>NHS Lothian Target</t>
    </r>
    <r>
      <rPr>
        <b/>
        <sz val="10"/>
        <color indexed="8"/>
        <rFont val="Arial"/>
        <family val="2"/>
      </rPr>
      <t xml:space="preserve"> (for financial year quarters) (min)</t>
    </r>
  </si>
  <si>
    <t>shld these be 6 or 12 points??</t>
  </si>
  <si>
    <t>also - start access to stroke at Apr 16 but others earlier??</t>
  </si>
  <si>
    <t>retain target on charts? Is it meaningful in the same way?</t>
  </si>
  <si>
    <t>okay there are no breaks between Mar 16 &amp; Apr 16 for components?</t>
  </si>
  <si>
    <t>Non-prisons</t>
  </si>
  <si>
    <t>Prisons</t>
  </si>
  <si>
    <t>West Lothian ADP:  HMP Addiewell</t>
  </si>
  <si>
    <t>Edinburgh City ADP:  HMP Edinburgh</t>
  </si>
  <si>
    <t>Bundle Target (min)</t>
  </si>
  <si>
    <t>Component Target (min)</t>
  </si>
  <si>
    <t>Component Target - 90% on day of admission (min)</t>
  </si>
  <si>
    <t>Moving Range</t>
  </si>
  <si>
    <t>Average Moving Range</t>
  </si>
  <si>
    <t>Mean</t>
  </si>
  <si>
    <t>N.b. - above should always be a positive</t>
  </si>
  <si>
    <t>Measure of variation
(1 sigma)</t>
  </si>
  <si>
    <t>Number scanned within 24 hours of admission</t>
  </si>
  <si>
    <t>Measure of variation (1 sigma)</t>
  </si>
  <si>
    <t xml:space="preserve">Upper Control Limit </t>
  </si>
  <si>
    <t xml:space="preserve">Lower Control Limit </t>
  </si>
  <si>
    <t>Lower Control Limit</t>
  </si>
  <si>
    <t>Upper Control Limit</t>
  </si>
  <si>
    <t>Upper Control Limit [OMIT FROM CHART AS &gt;100%]</t>
  </si>
  <si>
    <t>Number of initial stroke patients receiving appropriate bundle of care</t>
  </si>
  <si>
    <t>N.b. need to break points on chart &amp; footnote for bundle &amp; swallow</t>
  </si>
  <si>
    <t>Bundle Component 1 - Access to stroke unit within one day of admission</t>
  </si>
  <si>
    <t>4. Aspirin within one day of admission</t>
  </si>
  <si>
    <t>Bundle Component 4 - Aspirin within one day of admission</t>
  </si>
  <si>
    <t xml:space="preserve">Number receiving aspirin within one day of admission </t>
  </si>
  <si>
    <t>Number swallow screened on day of admission (to Mar 16 inc.)/ within four hours of admission (from Apr 16 incl.)</t>
  </si>
  <si>
    <t>Bundle Component 2 - Swallow screen within standard (on day of admission to Mar 16 incl./ within four hours of admission from Apr 16 incl.)</t>
  </si>
  <si>
    <t xml:space="preserve">Number admitted to Stroke Unit within one day of  admission </t>
  </si>
  <si>
    <t>Bundle Component 3 - Scanned within 24 hours of admission</t>
  </si>
  <si>
    <t>Radiology/Imaging</t>
  </si>
  <si>
    <t>Need to add 3 sigma line for QI tool test 4?  tbc</t>
  </si>
  <si>
    <t>Paediatric Surgery</t>
  </si>
  <si>
    <t>Data in main table above</t>
  </si>
  <si>
    <t>data in main table above</t>
  </si>
  <si>
    <t xml:space="preserve">   East Lothian</t>
  </si>
  <si>
    <t xml:space="preserve">   Midlothian</t>
  </si>
  <si>
    <t>N.b. - above should always be a positive - and make sure you don't include the 'moving range' following the data points as this will affect the average moving range</t>
  </si>
  <si>
    <t>N.b. - above should always be a positive - &amp;don't include 'moving range' after data points as this will affect average moving range</t>
  </si>
  <si>
    <t>N.b. - above should always be a positive - &amp; don't include 'moving range' after data points as this will affect average moving range</t>
  </si>
  <si>
    <t>9,757 (Annual) 2,440 (per Quarter)</t>
  </si>
  <si>
    <t>% of patients waiting 12 weeks or less for a new outpatient appointment</t>
  </si>
  <si>
    <r>
      <t xml:space="preserve">General Ultrasound </t>
    </r>
    <r>
      <rPr>
        <b/>
        <sz val="10"/>
        <color rgb="FFFF0000"/>
        <rFont val="Arial"/>
        <family val="2"/>
      </rPr>
      <t>excl. Vascular Labs</t>
    </r>
  </si>
  <si>
    <r>
      <t xml:space="preserve">Total Radiology Patients Over 6 Week Standard </t>
    </r>
    <r>
      <rPr>
        <b/>
        <sz val="10"/>
        <color rgb="FFFF0000"/>
        <rFont val="Arial"/>
        <family val="2"/>
      </rPr>
      <t>excl. Vascular Labs</t>
    </r>
  </si>
  <si>
    <t>TG</t>
  </si>
  <si>
    <t>Rate of Referral to PDS in each month for those Diagnosed with Dementia:-</t>
  </si>
  <si>
    <t>Drug &amp; Alcohol Waiting Times (% &lt;=3 wks) - Edinburgh IJB</t>
  </si>
  <si>
    <t>Drug &amp; Alcohol Waiting Times (% &lt;=3 wks) - West Lothian IJB</t>
  </si>
  <si>
    <t>New Median 3</t>
  </si>
  <si>
    <t>Extended New Median 3</t>
  </si>
  <si>
    <t>'Third 3rd' - Upper</t>
  </si>
  <si>
    <t>'Third 3rd' - Lower</t>
  </si>
  <si>
    <t>'First 3rd' - Upper</t>
  </si>
  <si>
    <t>'First 3rd' - Lower</t>
  </si>
  <si>
    <t>Target Rate (max)</t>
  </si>
  <si>
    <t>Total Overdue</t>
  </si>
  <si>
    <t>&gt; 6 Weeks Overdue</t>
  </si>
  <si>
    <t>Colonoscopy &gt; 6 Weeks Overdue</t>
  </si>
  <si>
    <t>Flexible Cystoscopy &gt; 6 Weeks Overdue</t>
  </si>
  <si>
    <t>Flexible Sigmoidoscopy &gt; 6 Weeks Overdue</t>
  </si>
  <si>
    <t>Upper Endoscopy &gt; 6 Weeks Overdue</t>
  </si>
  <si>
    <t>Total &gt; 6 Weeks Overdue</t>
  </si>
  <si>
    <t xml:space="preserve">Colonoscopy  </t>
  </si>
  <si>
    <t xml:space="preserve">Flexible Cystoscopy  </t>
  </si>
  <si>
    <t xml:space="preserve">Flexible Sigmoidoscopy  </t>
  </si>
  <si>
    <t xml:space="preserve">Upper Endoscopy  </t>
  </si>
  <si>
    <t xml:space="preserve">Total </t>
  </si>
  <si>
    <t>To minimise delayed discharges over 3 days pending national clarity.</t>
  </si>
  <si>
    <t>EM/DS</t>
  </si>
  <si>
    <t>Drug &amp; Alcohol Waiting Times (% &lt;=3 wks) - Midlothian &amp; East Lothian IJB (MELDAP)</t>
  </si>
  <si>
    <t>Stage 1 - 5 Days</t>
  </si>
  <si>
    <t>Stage 2 - 20 Days</t>
  </si>
  <si>
    <t>Latest Performance (Stage 1 - 5 Day):</t>
  </si>
  <si>
    <t>Latest Performance (Stage 2 - 20 Day):</t>
  </si>
  <si>
    <t>Complaints - Stage 2 (%&lt;=20-day)</t>
  </si>
  <si>
    <t>Scotland v Lothian (Stage 1 - 5 Day):</t>
  </si>
  <si>
    <t>Scotland v Lothian (Stage 2 - 20 Day):</t>
  </si>
  <si>
    <t>2019/20</t>
  </si>
  <si>
    <t>2020/21</t>
  </si>
  <si>
    <t>% Stage 2 - within 20 Days</t>
  </si>
  <si>
    <t>% Stage 1 - within 5 Days</t>
  </si>
  <si>
    <t>Complaints - Stage 1 (%&lt;=5-day)</t>
  </si>
  <si>
    <r>
      <t xml:space="preserve">Diagnostics (&lt;=6 wks) - </t>
    </r>
    <r>
      <rPr>
        <sz val="8"/>
        <color indexed="8"/>
        <rFont val="Arial"/>
        <family val="2"/>
      </rPr>
      <t>Radiology/Imaging</t>
    </r>
  </si>
  <si>
    <t xml:space="preserve"> http://www.ahrq.gov/professionals/quality-patient-safety/talkingquality/create/sixdomains.html</t>
  </si>
  <si>
    <r>
      <t>CAMHs</t>
    </r>
    <r>
      <rPr>
        <vertAlign val="superscript"/>
        <sz val="8"/>
        <color indexed="8"/>
        <rFont val="Arial"/>
        <family val="2"/>
      </rPr>
      <t>8</t>
    </r>
    <r>
      <rPr>
        <sz val="8"/>
        <color indexed="8"/>
        <rFont val="Arial"/>
        <family val="2"/>
      </rPr>
      <t xml:space="preserve"> (&lt;=18 wks)</t>
    </r>
  </si>
  <si>
    <r>
      <t>TBC</t>
    </r>
    <r>
      <rPr>
        <vertAlign val="superscript"/>
        <sz val="8"/>
        <color indexed="8"/>
        <rFont val="Arial"/>
        <family val="2"/>
      </rPr>
      <t>11</t>
    </r>
  </si>
  <si>
    <t>http://www.gov.scot/Topics/Statistics/SIMD</t>
  </si>
  <si>
    <t>http://www.isdscotland.org/Health-Topics/Mental-Health/Publications/2017-01-24/2017-01-24-DementiaPDS-Summary.pdf?</t>
  </si>
  <si>
    <t>1. Much of this reporting uses management information and is therefore subject to change;</t>
  </si>
  <si>
    <t>2. 6 Domains of Healthcare Quality</t>
  </si>
  <si>
    <t>3. This describes the standard type – ‘LDP’ target/standards are Local Delivery Plan (previously HEAT), target/standards; Quality standards were originally reported    under a separate Quality Paper.</t>
  </si>
  <si>
    <t>4. Performance Against Target/Standard – describes where Latest Performance meets or does not meet Target.</t>
  </si>
  <si>
    <t>5. Trend - describes Improvement, No Change or Deterioration for Latest Performance, where Performance Against Target/Standard is ‘Not Met’, against an average of the last two relevant reported data points.  HAI measures use HIS run chart assessment to ascertain trend.  (Black cells indicate that a Standard is ‘Met’ so a Trend is not available’).</t>
  </si>
  <si>
    <t xml:space="preserve">6. Published NHS Lothian vs. Scotland – describes most recent published Lothian position against the most recent (directly comparable) published Scotland position to comply with Official Statistics’ requirements - either for rates (incl. %) or against NRAC share.  These may refer to different time periods than Latest Performance.  </t>
  </si>
  <si>
    <t xml:space="preserve">7. Date of Published NHS Lothian vs. Scotland – describes most recent published Lothian position against the most recent (directly comparable) published Scotland    position to comply with Official Statistics’ requirements - either for rates (incl. %) or against NRAC share.  These may refer to different time periods than Latest Performance.  </t>
  </si>
  <si>
    <t>8. Abbreviations – CAMHS  - Child and Adolescent Mental Health Services;  CDI- Clostridium difficile Infection; SAB Staphylococcus aureus Bacteraemia;  IPDC –  Inpatient and Day-case;  IVF – In Vitro Fertilisation</t>
  </si>
  <si>
    <t>1.      Stage 1 - 5 Days.</t>
  </si>
  <si>
    <t>2.      Stage 2 - 20 Days.</t>
  </si>
  <si>
    <t>Trend  (Stage 1):</t>
  </si>
  <si>
    <t>Trend  (Stage 2):</t>
  </si>
  <si>
    <t>Complaints - Stage 1 &amp; 2</t>
  </si>
  <si>
    <t>2015 &amp; 2016</t>
  </si>
  <si>
    <t>2015 &amp; 2016 (Combined Calendar Years)</t>
  </si>
  <si>
    <t>Oct - Dec 16</t>
  </si>
  <si>
    <t>Component Target - 100% within four hours of admission</t>
  </si>
  <si>
    <t>Diagnostics (&lt;=6 wks) - Gastroenterology/ Urology Diagnostics</t>
  </si>
  <si>
    <r>
      <t>Planned Repeat Surveillance Endoscopy (past due date)</t>
    </r>
    <r>
      <rPr>
        <vertAlign val="superscript"/>
        <sz val="8"/>
        <color indexed="8"/>
        <rFont val="Arial"/>
        <family val="2"/>
      </rPr>
      <t>9</t>
    </r>
  </si>
  <si>
    <t xml:space="preserve">Delayed Discharges &gt;3 Days for NHS Lothian and East Lothian IJB (excl. Code 9s &amp; 100s) </t>
  </si>
  <si>
    <t>Delayed Discharges &gt;3 Days for NHS Lothian and City of Edinburgh IJB (excl. Code 9s &amp; 100s) ity of Edinburgh</t>
  </si>
  <si>
    <t>Delayed Discharges &gt;3 Days for NHS Lothian and Midlothian IJB (excl. Code 9s &amp; 100s)</t>
  </si>
  <si>
    <t>Delayed Discharges &gt;3 Days for NHS Lothian and West Lothian IJB (excl. Code 9s &amp; 100s)</t>
  </si>
  <si>
    <t>All NHS Locations against standard</t>
  </si>
  <si>
    <t>NHS Lothian year on year performance against standard</t>
  </si>
  <si>
    <t>NHS Lothian against standard with delayed discharges 2016/17</t>
  </si>
  <si>
    <t>NHS Lothian against standard</t>
  </si>
  <si>
    <t>Updated NRAC to 14.66% for 2016/17 allocation</t>
  </si>
  <si>
    <t>Updated NRAC to 14.76% for 2017/18 allocation</t>
  </si>
  <si>
    <t>Performance against standard</t>
  </si>
  <si>
    <t>Total Delayed Discharges against &lt;3 days</t>
  </si>
  <si>
    <t>NHS Lothian &amp; East Lothian IJB</t>
  </si>
  <si>
    <t>NHS Lothian &amp; Edinburgh IJB</t>
  </si>
  <si>
    <t>NHS Lothian &amp; West Lothian IJB</t>
  </si>
  <si>
    <t>NHS Lothian &amp; Midlothian IJB</t>
  </si>
  <si>
    <t>Scottish Prison Service</t>
  </si>
  <si>
    <t>GPs to provide 48 Hour access or advance booking to an appropriate member of the GP team for at least 90 per cent of patients.</t>
  </si>
  <si>
    <t>48-hour GP access - The performance measure for this standard is measured by the Health and Care Experience Survey and says that at least 90% of people should have 48-hour access to the appropriate healthcare professional.</t>
  </si>
  <si>
    <t>Advance booking - The performance measure for this standard is measured by the Health and Care Experience Survey and says that at least 90% of people should be able to book an appointment with a GP more than 48 hours in advance.</t>
  </si>
  <si>
    <t>Numner of C.Diff Episodes</t>
  </si>
  <si>
    <t>Target Incidence (max)</t>
  </si>
  <si>
    <t>Numner of SAB Episodes</t>
  </si>
  <si>
    <t>Total Over 12 Weeks at Month End</t>
  </si>
  <si>
    <t>Percentage of Inpatients Seen Within 12 Weeks</t>
  </si>
  <si>
    <t>Number of Inpatients Waiting Over 12 Weeks at Month End</t>
  </si>
  <si>
    <t>Percentage &amp; Number Dual Axis Chart</t>
  </si>
  <si>
    <t>Percentage of patients to commence IVF treatment within 12 months of referral</t>
  </si>
  <si>
    <t>Percentage of patients waiting 12 weeks or less for a new outpatient appointment</t>
  </si>
  <si>
    <t>Number of Patients Waiting Over 12 Weeks for a New Outpatient Appointment</t>
  </si>
  <si>
    <t xml:space="preserve">Percentage of Patients seen within 18 wks for 1st Treatment </t>
  </si>
  <si>
    <t>Percentage of Planned/Elective Patients to Commence Treatment Within 18 Weeks of Referral</t>
  </si>
  <si>
    <t>NHS Lothian Performance Against Standard</t>
  </si>
  <si>
    <t>Comparison of NHS Lothian Quarterly Smoking Cessation Outcomes Against Standards, excl. 50% Target Shares (HEAT for 2014/15, &amp; LDP for 2015/16 &amp; 2016/17)  (Source:  Smoking Cessation Database for 2014/15 &amp; ISD  for 2015/16)</t>
  </si>
  <si>
    <t>NHS Lothian Quarterly Smoking Cessation Outcomes for Non-Pharmacy &amp; Prisons (HEAT for 2014/15, &amp; LDP for 2015/16 &amp; 2016/17)  (Source:  Smoking Cessation Database for 2014/15 &amp; ISD  for 2015/16)</t>
  </si>
  <si>
    <t>NHS Lothian Quarterly Smoking Cessation Outcomes for PCR-Pharmacies (HEAT for 2014/15, &amp; LDP for 2015/16 &amp; 2016/17)  (Source:  Smoking Cessation Database for 2014/15 &amp; ISD  for 2015/16)</t>
  </si>
  <si>
    <t xml:space="preserve">Comparison of NHS Lothian Quarterly Smoking Cessation Outcomes Against Standards, incl. 50% Target Shares (HEAT for 2014/15, &amp; LDP for 2015/16 &amp; 2016/17)  (Source:  Smoking Cessation Database for 2014/15 &amp; ISD  for 2015/16) </t>
  </si>
  <si>
    <t>The key elements of the stroke care bundle are:-</t>
  </si>
  <si>
    <r>
      <rPr>
        <sz val="10"/>
        <color theme="1"/>
        <rFont val="Arial"/>
        <family val="2"/>
      </rPr>
      <t xml:space="preserve">1. Admission </t>
    </r>
    <r>
      <rPr>
        <b/>
        <sz val="10"/>
        <color theme="1"/>
        <rFont val="Arial"/>
        <family val="2"/>
      </rPr>
      <t xml:space="preserve">to the stroke unit on the day of admission, or the day following presentation </t>
    </r>
    <r>
      <rPr>
        <sz val="10"/>
        <color theme="1"/>
        <rFont val="Arial"/>
        <family val="2"/>
      </rPr>
      <t>at hospital;</t>
    </r>
  </si>
  <si>
    <r>
      <t xml:space="preserve">2. Screening by a standardised assessment method to identify any difficulty swallowing safely due to low conscious level and/ or the presence of signs of dysphagia </t>
    </r>
    <r>
      <rPr>
        <b/>
        <sz val="10"/>
        <color theme="1"/>
        <rFont val="Arial"/>
        <family val="2"/>
      </rPr>
      <t>within 4</t>
    </r>
    <r>
      <rPr>
        <sz val="10"/>
        <color theme="1"/>
        <rFont val="Arial"/>
        <family val="2"/>
      </rPr>
      <t xml:space="preserve"> </t>
    </r>
    <r>
      <rPr>
        <b/>
        <sz val="10"/>
        <color theme="1"/>
        <rFont val="Arial"/>
        <family val="2"/>
      </rPr>
      <t>hours of arrival at hospital;</t>
    </r>
  </si>
  <si>
    <r>
      <t xml:space="preserve">3. CT/ MRI imaging </t>
    </r>
    <r>
      <rPr>
        <b/>
        <sz val="10"/>
        <color theme="1"/>
        <rFont val="Arial"/>
        <family val="2"/>
      </rPr>
      <t xml:space="preserve">within 24 hours </t>
    </r>
    <r>
      <rPr>
        <sz val="10"/>
        <color theme="1"/>
        <rFont val="Arial"/>
        <family val="2"/>
      </rPr>
      <t xml:space="preserve">of admission; and </t>
    </r>
  </si>
  <si>
    <r>
      <t xml:space="preserve">4. Aspirin is given </t>
    </r>
    <r>
      <rPr>
        <b/>
        <sz val="10"/>
        <color theme="1"/>
        <rFont val="Arial"/>
        <family val="2"/>
      </rPr>
      <t xml:space="preserve">on the day of admission or the following day where </t>
    </r>
    <r>
      <rPr>
        <sz val="10"/>
        <color theme="1"/>
        <rFont val="Arial"/>
        <family val="2"/>
      </rPr>
      <t>haemorrhagic stroke has been excluded, or other contraindication, as specified in the national audit.</t>
    </r>
  </si>
  <si>
    <t>1. Access to stroke unit within one day of admission*</t>
  </si>
  <si>
    <t>2. Swallow screen within four hours of admission**</t>
  </si>
  <si>
    <t>3. Scanned within 24 hours of admission***</t>
  </si>
  <si>
    <t>* National Target is enforced from April 2016.  Prior to this there was no national target - but the NHS Lothian local target was 70%.</t>
  </si>
  <si>
    <t>** Data to March 16 incl. is not comparable to data from April 16 onwards, due to change in standard (from 90% on day of admission, to 100% within 4 hours of admission).</t>
  </si>
  <si>
    <t>*** From April 2016 standard has changed from 90% on day of admission, to 100% within 4 hours of admission.</t>
  </si>
  <si>
    <t>Number of Initial Stroke Patients Receiving Appropriate Bundle of Care</t>
  </si>
  <si>
    <t>Number of Patients Swallow Screened on Day of Admission</t>
  </si>
  <si>
    <t>SPC (numbers)</t>
  </si>
  <si>
    <t>SPC (performance)</t>
  </si>
  <si>
    <t>Total &gt;6 Weeks Overdue</t>
  </si>
  <si>
    <t>Colonoscopy &gt;6 Weeks Overdue</t>
  </si>
  <si>
    <t>Flexible Cystoscopy &gt;6 Weeks Overdue</t>
  </si>
  <si>
    <t>Flexible Sigmoidoscopy &gt;6 Weeks Overdue</t>
  </si>
  <si>
    <t>Upper Endoscopy &gt;6 Weeks Overdue</t>
  </si>
  <si>
    <t>Run Charts</t>
  </si>
  <si>
    <t>SPC - Don't Use</t>
  </si>
  <si>
    <t>Run Chart 2 - Don't Use</t>
  </si>
  <si>
    <t>Non coloured tabs contain Management Information</t>
  </si>
  <si>
    <t>Tabs that are this colour contain Published Data</t>
  </si>
  <si>
    <t>All</t>
  </si>
  <si>
    <t>SPC</t>
  </si>
  <si>
    <t>Total Radiology Patients over 6 Weeks</t>
  </si>
  <si>
    <t>MRI Patients over 6 Weeks</t>
  </si>
  <si>
    <t>CT Patients over 6 Weeks</t>
  </si>
  <si>
    <t>General Ultrasound Patients over 6 Weeks</t>
  </si>
  <si>
    <t>Barium Studies Patients over 6 Weeks</t>
  </si>
  <si>
    <t>Total Diagnostics</t>
  </si>
  <si>
    <t>Total Diagnostics Labs Patients Over 6 Weeks</t>
  </si>
  <si>
    <t>Usually 0</t>
  </si>
  <si>
    <t>Time Series</t>
  </si>
  <si>
    <t>Total Diagnostics Patients Over 6 Weeks</t>
  </si>
  <si>
    <t>Radiology Patients Over 6 Weeks</t>
  </si>
  <si>
    <t>Vascular Labs Patients Over 6 Weeks</t>
  </si>
  <si>
    <t>Upper Endoscopy Patients Over 6 Weeks</t>
  </si>
  <si>
    <t>Gastroenterology/Urology Patients Over 6 Weeks</t>
  </si>
  <si>
    <t>Colonoscopy Patients Over 6 Weeks</t>
  </si>
  <si>
    <t>Flexible Sigmoidoscopy (Lower Endoscopy) Patients Over 6 Weeks</t>
  </si>
  <si>
    <t>Flexible Cystoscopy Patients Over 6 Weeks</t>
  </si>
  <si>
    <t>Percentage of children and young people seen within 18 weeks for first treatment</t>
  </si>
  <si>
    <r>
      <t>Figure 3: Generic Teams - Number of children and young people seen for 1</t>
    </r>
    <r>
      <rPr>
        <b/>
        <vertAlign val="superscript"/>
        <sz val="10"/>
        <color rgb="FF000000"/>
        <rFont val="Arial"/>
        <family val="2"/>
      </rPr>
      <t>st</t>
    </r>
    <r>
      <rPr>
        <b/>
        <sz val="10"/>
        <color rgb="FF000000"/>
        <rFont val="Arial"/>
        <family val="2"/>
      </rPr>
      <t xml:space="preserve"> treatment – Higher Count is Better</t>
    </r>
  </si>
  <si>
    <r>
      <t>Figure 4: Generic Teams - Number of children and young people seen for 1</t>
    </r>
    <r>
      <rPr>
        <b/>
        <vertAlign val="superscript"/>
        <sz val="10"/>
        <color rgb="FF000000"/>
        <rFont val="Arial"/>
        <family val="2"/>
      </rPr>
      <t>st</t>
    </r>
    <r>
      <rPr>
        <b/>
        <sz val="10"/>
        <color rgb="FF000000"/>
        <rFont val="Arial"/>
        <family val="2"/>
      </rPr>
      <t xml:space="preserve"> treatment waiting over 18 weeks when seen – Lower Count is Better</t>
    </r>
  </si>
  <si>
    <t>Figure 5: Generic Teams - Number of children and young people waiting over 18 weeks – Lower Count is Better</t>
  </si>
  <si>
    <t>Figure 2: All Teams - Number of children and young people waiting over 18 weeks – Lower Count is Better</t>
  </si>
  <si>
    <r>
      <t>Figure 1: All Teams</t>
    </r>
    <r>
      <rPr>
        <b/>
        <sz val="10"/>
        <color rgb="FF0070C0"/>
        <rFont val="Arial"/>
        <family val="2"/>
      </rPr>
      <t xml:space="preserve"> - </t>
    </r>
    <r>
      <rPr>
        <b/>
        <sz val="10"/>
        <color rgb="FF000000"/>
        <rFont val="Arial"/>
        <family val="2"/>
      </rPr>
      <t xml:space="preserve">Percentage of children and young people </t>
    </r>
    <r>
      <rPr>
        <b/>
        <u/>
        <sz val="10"/>
        <color rgb="FF000000"/>
        <rFont val="Arial"/>
        <family val="2"/>
      </rPr>
      <t>seen</t>
    </r>
    <r>
      <rPr>
        <b/>
        <sz val="10"/>
        <color rgb="FF000000"/>
        <rFont val="Arial"/>
        <family val="2"/>
      </rPr>
      <t xml:space="preserve"> within 18 weeks for first treatment</t>
    </r>
    <r>
      <rPr>
        <b/>
        <sz val="10"/>
        <color rgb="FF0070C0"/>
        <rFont val="Arial"/>
        <family val="2"/>
      </rPr>
      <t xml:space="preserve"> – Higher % is Better</t>
    </r>
  </si>
  <si>
    <t>Figure 6: Generic Teams - Referrals by month</t>
  </si>
  <si>
    <t>Figure 7: Generic Teams - Accepted referrals rate by month</t>
  </si>
  <si>
    <t>Patients waiting at month end [adjusted]</t>
  </si>
  <si>
    <t>Service</t>
  </si>
  <si>
    <t>Number waiting</t>
  </si>
  <si>
    <t>ADHD Teams</t>
  </si>
  <si>
    <t>Generic Teams</t>
  </si>
  <si>
    <t>Tier 4 &amp; Specialist Teams</t>
  </si>
  <si>
    <t>Patients seen for 1st treatment [adjusted]</t>
  </si>
  <si>
    <t>Patient Numbers Service Breakdown</t>
  </si>
  <si>
    <t>Patients waiting at month end adjusted</t>
  </si>
  <si>
    <t>CAMHS</t>
  </si>
  <si>
    <t>cCBT</t>
  </si>
  <si>
    <t>General Adult Services</t>
  </si>
  <si>
    <t>Learning Disabilities</t>
  </si>
  <si>
    <t>Older Adult Services</t>
  </si>
  <si>
    <t>Psychotherapy</t>
  </si>
  <si>
    <t>Specialist Services [Adult]</t>
  </si>
  <si>
    <t>Clinical Health Psychology</t>
  </si>
  <si>
    <t>Neuropsychology</t>
  </si>
  <si>
    <t>GSH (3rd Sector)</t>
  </si>
  <si>
    <t>Total Seen</t>
  </si>
  <si>
    <t>Total Waiting</t>
  </si>
  <si>
    <t>Patients seen for 1st treatment (adjusted)</t>
  </si>
  <si>
    <t>within 18 weeks</t>
  </si>
  <si>
    <t>over 18 weeks</t>
  </si>
  <si>
    <t>% within 18 weeks</t>
  </si>
  <si>
    <t>% over 18 weeks</t>
  </si>
  <si>
    <t>Number seen</t>
  </si>
  <si>
    <t>Figure 3: Referrals for Psychological Therapy (All Teams)</t>
  </si>
  <si>
    <r>
      <t>Figure 2: Psychological Therapies: Number of Patients waiting &gt;18 wks</t>
    </r>
    <r>
      <rPr>
        <b/>
        <sz val="10"/>
        <color rgb="FF000000"/>
        <rFont val="Arial"/>
        <family val="2"/>
      </rPr>
      <t xml:space="preserve"> at Month End by </t>
    </r>
    <r>
      <rPr>
        <b/>
        <sz val="10"/>
        <color theme="1"/>
        <rFont val="Arial"/>
        <family val="2"/>
      </rPr>
      <t>Month – Lower Count is Better</t>
    </r>
  </si>
  <si>
    <r>
      <t>Figure 5: General Adult Services: Number of patients seen for 1</t>
    </r>
    <r>
      <rPr>
        <b/>
        <vertAlign val="superscript"/>
        <sz val="10"/>
        <color theme="1"/>
        <rFont val="Arial"/>
        <family val="2"/>
      </rPr>
      <t>st</t>
    </r>
    <r>
      <rPr>
        <b/>
        <sz val="10"/>
        <color theme="1"/>
        <rFont val="Arial"/>
        <family val="2"/>
      </rPr>
      <t xml:space="preserve"> Treatment waiting &gt;18 wks – Lower Count is Better</t>
    </r>
  </si>
  <si>
    <r>
      <t>Figure 4: General Adult Services: Number of patients seen for 1</t>
    </r>
    <r>
      <rPr>
        <b/>
        <vertAlign val="superscript"/>
        <sz val="10"/>
        <color theme="1"/>
        <rFont val="Arial"/>
        <family val="2"/>
      </rPr>
      <t>st</t>
    </r>
    <r>
      <rPr>
        <b/>
        <sz val="10"/>
        <color theme="1"/>
        <rFont val="Arial"/>
        <family val="2"/>
      </rPr>
      <t xml:space="preserve"> Treatment – Higher Count is Better</t>
    </r>
  </si>
  <si>
    <t>Figure 1: Psychological Therapies: % of Patients seen within 18 wks for 1st Treatment</t>
  </si>
  <si>
    <t>Figure 6: General Adult Services: Number of patients waiting &gt;18 wks at Month End – Lower Count is Better</t>
  </si>
  <si>
    <t>Figure 7: General Adult Services: Referrals for Psychological Therapies</t>
  </si>
  <si>
    <t>Number of Eligible Referrals Starting Treatment within and out-with 31 Day Standard - Apr 2015-Mar 2017 incl.</t>
  </si>
  <si>
    <r>
      <t xml:space="preserve">Did Not Start Treatment within 31 Days by Cancer Type – Apr 2015-Mar 2017 incl. - Pareto </t>
    </r>
    <r>
      <rPr>
        <b/>
        <vertAlign val="superscript"/>
        <sz val="10"/>
        <color theme="1"/>
        <rFont val="Arial"/>
        <family val="2"/>
      </rPr>
      <t>1</t>
    </r>
  </si>
  <si>
    <r>
      <rPr>
        <vertAlign val="superscript"/>
        <sz val="10"/>
        <color theme="1"/>
        <rFont val="Arial"/>
        <family val="2"/>
      </rPr>
      <t>1</t>
    </r>
    <r>
      <rPr>
        <sz val="10"/>
        <color theme="1"/>
        <rFont val="Arial"/>
        <family val="2"/>
      </rPr>
      <t xml:space="preserve"> Most patients who did not start treatment within 31 days between Apr 15 and Mar 17 incl. were urological patients but urological patients were also the second largest group to start treatment within 31 days.</t>
    </r>
  </si>
  <si>
    <t>No. of eligible referrals who started treatment within 31 days</t>
  </si>
  <si>
    <t>Upper GI</t>
  </si>
  <si>
    <t>Grand Total</t>
  </si>
  <si>
    <t>%</t>
  </si>
  <si>
    <t>No. of eligible referrals</t>
  </si>
  <si>
    <t>Did Start Treatment Within 31 Days</t>
  </si>
  <si>
    <t>Did Not Start Treatment Within 31 Days</t>
  </si>
  <si>
    <r>
      <t xml:space="preserve">Did Start Treatment within 31 Days by Cancer Type – Apr 2015-Mar 2017 incl. - Pareto </t>
    </r>
    <r>
      <rPr>
        <b/>
        <vertAlign val="superscript"/>
        <sz val="10"/>
        <color theme="1"/>
        <rFont val="Arial"/>
        <family val="2"/>
      </rPr>
      <t>1</t>
    </r>
  </si>
  <si>
    <t>No. of eligible referrals who did not start treatment within 31 days</t>
  </si>
  <si>
    <r>
      <rPr>
        <vertAlign val="superscript"/>
        <sz val="10"/>
        <color theme="1"/>
        <rFont val="Arial"/>
        <family val="2"/>
      </rPr>
      <t>1</t>
    </r>
    <r>
      <rPr>
        <sz val="10"/>
        <color theme="1"/>
        <rFont val="Arial"/>
        <family val="2"/>
      </rPr>
      <t xml:space="preserve"> Most patients who did not start treatment within 62 days between Apr 15 and Mar 17 incl. were urological patients but urological patients were also the third largest group to start treatment within 62 days.</t>
    </r>
  </si>
  <si>
    <r>
      <t xml:space="preserve">Did Start Treatment within 62 Days by Cancer Type – Apr 2015-Mar 2017 incl. - Pareto </t>
    </r>
    <r>
      <rPr>
        <b/>
        <vertAlign val="superscript"/>
        <sz val="10"/>
        <color theme="1"/>
        <rFont val="Arial"/>
        <family val="2"/>
      </rPr>
      <t>1</t>
    </r>
  </si>
  <si>
    <r>
      <t xml:space="preserve">Did Not Start Treatment within 62 Days by Cancer Type – Apr 2015-Mar 2017 incl. - Pareto </t>
    </r>
    <r>
      <rPr>
        <b/>
        <vertAlign val="superscript"/>
        <sz val="10"/>
        <color theme="1"/>
        <rFont val="Arial"/>
        <family val="2"/>
      </rPr>
      <t>1</t>
    </r>
  </si>
  <si>
    <t>Number of Eligible Referrals Starting Treatment within and out-with 62 Day Standard - Apr 2015-Mar 2017 incl.</t>
  </si>
  <si>
    <t>Did Start Treatment Within 62 Days</t>
  </si>
  <si>
    <t>Did Not Start Treatment Within 62 Days</t>
  </si>
  <si>
    <t>No. of eligible referrals who started treatment within 62 days</t>
  </si>
  <si>
    <t>No. of eligible referrals who did not start treatment within 62 days</t>
  </si>
  <si>
    <r>
      <t xml:space="preserve">Figure 8: Pareto – Patients Waiting &gt;18 Weeks For Treatment Per </t>
    </r>
    <r>
      <rPr>
        <b/>
        <sz val="10"/>
        <color theme="1"/>
        <rFont val="Arial"/>
        <family val="2"/>
      </rPr>
      <t>Team – as at end Jul 17 - Lower Count is Better</t>
    </r>
    <r>
      <rPr>
        <b/>
        <sz val="10"/>
        <color rgb="FF0070C0"/>
        <rFont val="Arial"/>
        <family val="2"/>
      </rPr>
      <t xml:space="preserve"> </t>
    </r>
  </si>
  <si>
    <r>
      <t>Figure 8:  Pareto – children &amp; young people waiting &gt;18 weeks per team</t>
    </r>
    <r>
      <rPr>
        <b/>
        <sz val="10"/>
        <color rgb="FF0070C0"/>
        <rFont val="Arial"/>
        <family val="2"/>
      </rPr>
      <t xml:space="preserve"> </t>
    </r>
    <r>
      <rPr>
        <b/>
        <sz val="10"/>
        <color rgb="FF000000"/>
        <rFont val="Arial"/>
        <family val="2"/>
      </rPr>
      <t>– as at end of Jul 2017 - Lower Count is Better</t>
    </r>
  </si>
  <si>
    <t>Data found N:\Projects\Performance Mgmt Indicators\Cycle Docs &amp; Data\Proformas &amp; Data\Data for Proformas\Cancer Waits - 31 &amp;  62 Day\Data for Pareto Bar Chart.xlsx</t>
  </si>
  <si>
    <t xml:space="preserve">Code 9s are used for 'complex' cases - they are codes used when a partnership is unable, for reasons beyond their control, to secure a patient's safe, timely and appropriate discharge from hospital. </t>
  </si>
  <si>
    <t xml:space="preserve">Code 100 is used for commissioning/ re-provisioning. </t>
  </si>
  <si>
    <t>50% reduction in Cardiac Arrests from the 2009 (Jan-Dec) baseline median of 1.91 to December 2019</t>
  </si>
  <si>
    <t>20% reduction in all inpatient falls with harm from 2010/11 (Apr-Mar) baseline median of 0.38.</t>
  </si>
  <si>
    <t>Increase the proportion of people diagnosed and treated in the first stage of breast, colorectal and lung cancer by 25 per cent.</t>
  </si>
  <si>
    <t>90 per cent of young people to commence treatment for specialist Child and Adolescent Mental Health services within 18 weeks of referral.</t>
  </si>
  <si>
    <t>NHS Boards to achieve a staff sickness absence rate of 4 per cent</t>
  </si>
  <si>
    <t>Total Delays</t>
  </si>
  <si>
    <t>Scotland v Lothian 1:</t>
  </si>
  <si>
    <t>Scotland v Lothian 2:</t>
  </si>
  <si>
    <t>Part 1: Worse</t>
  </si>
  <si>
    <t>Part 2: Worse</t>
  </si>
  <si>
    <t xml:space="preserve">9. SIMD - Scottish Index of Multiple Deprivation, </t>
  </si>
  <si>
    <t>10. From the start of April 2017 there has been a national change on assessment of the complaints process.  As no historical data is available for the proposed metrics, data will only be available covering April onward.  Furthermore as a new measure, there will be an absence of comparative data initially in order to consider performance against that elsewhere.</t>
  </si>
  <si>
    <t>11. ISD have stated in their publication of 24/1/17 “there is no specific threshold or target in which NHS Boards are expected to be attaining to as the PDS services are still within their infancy and it is anticipated there is likely further developments required”.  Please also see relevant IJB level Proforma below (in Section 6 Exception Proformas).</t>
  </si>
  <si>
    <r>
      <t>min for each SIMD</t>
    </r>
    <r>
      <rPr>
        <vertAlign val="superscript"/>
        <sz val="8"/>
        <color indexed="8"/>
        <rFont val="Arial"/>
        <family val="2"/>
      </rPr>
      <t>9</t>
    </r>
    <r>
      <rPr>
        <sz val="8"/>
        <color indexed="8"/>
        <rFont val="Arial"/>
        <family val="2"/>
      </rPr>
      <t xml:space="preserve"> quintile</t>
    </r>
  </si>
  <si>
    <r>
      <t>TBC</t>
    </r>
    <r>
      <rPr>
        <vertAlign val="superscript"/>
        <sz val="8"/>
        <color indexed="8"/>
        <rFont val="Arial"/>
        <family val="2"/>
      </rPr>
      <t>10</t>
    </r>
  </si>
  <si>
    <t>MM</t>
  </si>
  <si>
    <t>Temporary New Median</t>
  </si>
  <si>
    <t>Chart Legend</t>
  </si>
  <si>
    <t>Sections of data circled in charts signifies a trend.</t>
  </si>
  <si>
    <t>Lines this colour in charts signify a shift.</t>
  </si>
  <si>
    <t>Data points with a white centre signify points outwith the control limits.</t>
  </si>
  <si>
    <r>
      <t xml:space="preserve">General Ultrasound </t>
    </r>
    <r>
      <rPr>
        <b/>
        <sz val="10"/>
        <color theme="0"/>
        <rFont val="Arial"/>
        <family val="2"/>
      </rPr>
      <t>excl. Vascular Labs</t>
    </r>
  </si>
  <si>
    <r>
      <t xml:space="preserve">Total Radiology Patients Over 6 Week Standard </t>
    </r>
    <r>
      <rPr>
        <b/>
        <sz val="10"/>
        <color theme="0"/>
        <rFont val="Arial"/>
        <family val="2"/>
      </rPr>
      <t>excl. Vascular Labs</t>
    </r>
  </si>
  <si>
    <t>Planned Repeat Surveillance Endoscopy Patients Overdue Appointment &gt; 6 Weeks</t>
  </si>
  <si>
    <t>Maxillofacial</t>
  </si>
  <si>
    <t>652</t>
  </si>
  <si>
    <t>4,060</t>
  </si>
  <si>
    <t>Jan - Mar 17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</si>
</sst>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
    <numFmt numFmtId="165" formatCode="0.0"/>
    <numFmt numFmtId="166" formatCode="mmm\ yy"/>
    <numFmt numFmtId="167" formatCode="0.000"/>
    <numFmt numFmtId="168" formatCode="yyyy/yy"/>
    <numFmt numFmtId="169" formatCode="#,##0.0%;&quot;n/a&quot;"/>
    <numFmt numFmtId="170" formatCode="#,##0_ ;\-#,##0\ "/>
    <numFmt numFmtId="171" formatCode="_-* #,##0_-;\-* #,##0_-;_-* &quot;-&quot;??_-;_-@_-"/>
  </numFmts>
  <fonts count="104" x14ac:knownFonts="1">
    <font>
      <sz val="11"/>
      <color theme="1"/>
      <name val="Calibri"/>
      <family val="2"/>
      <scheme val="minor"/>
    </font>
    <font>
      <b/>
      <sz val="10"/>
      <color indexed="8"/>
      <name val="Arial"/>
      <family val="2"/>
    </font>
    <font>
      <sz val="10"/>
      <color indexed="8"/>
      <name val="Arial"/>
      <family val="2"/>
    </font>
    <font>
      <b/>
      <u/>
      <sz val="10"/>
      <name val="Arial"/>
      <family val="2"/>
    </font>
    <font>
      <b/>
      <sz val="10"/>
      <name val="Arial"/>
      <family val="2"/>
    </font>
    <font>
      <sz val="10"/>
      <name val="Arial"/>
      <family val="2"/>
    </font>
    <font>
      <sz val="8"/>
      <color indexed="8"/>
      <name val="Arial"/>
      <family val="2"/>
    </font>
    <font>
      <vertAlign val="superscript"/>
      <sz val="8"/>
      <color indexed="8"/>
      <name val="Arial"/>
      <family val="2"/>
    </font>
    <font>
      <sz val="8"/>
      <color indexed="8"/>
      <name val="Arial"/>
      <family val="2"/>
    </font>
    <font>
      <sz val="8"/>
      <name val="Arial"/>
      <family val="2"/>
    </font>
    <font>
      <sz val="9"/>
      <name val="Arial"/>
      <family val="2"/>
    </font>
    <font>
      <sz val="10"/>
      <name val="Arial"/>
      <family val="2"/>
    </font>
    <font>
      <b/>
      <sz val="10"/>
      <color indexed="30"/>
      <name val="Arial"/>
      <family val="2"/>
    </font>
    <font>
      <b/>
      <vertAlign val="superscript"/>
      <sz val="8"/>
      <color indexed="8"/>
      <name val="Arial"/>
      <family val="2"/>
    </font>
    <font>
      <sz val="10"/>
      <name val="Arial"/>
      <family val="2"/>
    </font>
    <font>
      <sz val="9"/>
      <color indexed="8"/>
      <name val="Arial"/>
      <family val="2"/>
    </font>
    <font>
      <sz val="10"/>
      <color indexed="23"/>
      <name val="Arial"/>
      <family val="2"/>
    </font>
    <font>
      <sz val="10"/>
      <color indexed="55"/>
      <name val="Arial"/>
      <family val="2"/>
    </font>
    <font>
      <sz val="11"/>
      <color indexed="8"/>
      <name val="Calibri"/>
      <family val="2"/>
    </font>
    <font>
      <b/>
      <sz val="12"/>
      <color indexed="8"/>
      <name val="Arial"/>
      <family val="2"/>
    </font>
    <font>
      <sz val="8"/>
      <color indexed="8"/>
      <name val="Arial"/>
      <family val="2"/>
    </font>
    <font>
      <sz val="8"/>
      <color indexed="8"/>
      <name val="Arial"/>
      <family val="2"/>
    </font>
    <font>
      <u/>
      <sz val="8"/>
      <color indexed="12"/>
      <name val="Arial"/>
      <family val="2"/>
    </font>
    <font>
      <sz val="11"/>
      <color indexed="8"/>
      <name val="Arial"/>
      <family val="2"/>
    </font>
    <font>
      <b/>
      <sz val="8"/>
      <color indexed="8"/>
      <name val="Arial"/>
      <family val="2"/>
    </font>
    <font>
      <b/>
      <sz val="9"/>
      <color indexed="8"/>
      <name val="Arial"/>
      <family val="2"/>
    </font>
    <font>
      <b/>
      <sz val="8"/>
      <color indexed="8"/>
      <name val="Arial"/>
      <family val="2"/>
    </font>
    <font>
      <b/>
      <sz val="9"/>
      <color indexed="30"/>
      <name val="Arial"/>
      <family val="2"/>
    </font>
    <font>
      <sz val="10"/>
      <color indexed="30"/>
      <name val="Arial"/>
      <family val="2"/>
    </font>
    <font>
      <b/>
      <sz val="10"/>
      <color indexed="23"/>
      <name val="Arial"/>
      <family val="2"/>
    </font>
    <font>
      <b/>
      <sz val="10"/>
      <color indexed="10"/>
      <name val="Arial"/>
      <family val="2"/>
    </font>
    <font>
      <sz val="10"/>
      <color indexed="10"/>
      <name val="Arial"/>
      <family val="2"/>
    </font>
    <font>
      <b/>
      <sz val="10"/>
      <color indexed="56"/>
      <name val="Arial"/>
      <family val="2"/>
    </font>
    <font>
      <sz val="10"/>
      <color indexed="56"/>
      <name val="Arial"/>
      <family val="2"/>
    </font>
    <font>
      <b/>
      <sz val="10"/>
      <color indexed="29"/>
      <name val="Arial"/>
      <family val="2"/>
    </font>
    <font>
      <sz val="6"/>
      <color indexed="8"/>
      <name val="Arial"/>
      <family val="2"/>
    </font>
    <font>
      <b/>
      <sz val="6"/>
      <color indexed="8"/>
      <name val="Arial"/>
      <family val="2"/>
    </font>
    <font>
      <sz val="6"/>
      <color indexed="8"/>
      <name val="Arial"/>
      <family val="2"/>
    </font>
    <font>
      <b/>
      <vertAlign val="superscript"/>
      <sz val="6"/>
      <color indexed="8"/>
      <name val="Arial"/>
      <family val="2"/>
    </font>
    <font>
      <b/>
      <sz val="16"/>
      <color indexed="8"/>
      <name val="Arial"/>
      <family val="2"/>
    </font>
    <font>
      <sz val="10"/>
      <name val="Arial"/>
      <family val="2"/>
    </font>
    <font>
      <sz val="10"/>
      <color indexed="63"/>
      <name val="Arial"/>
      <family val="2"/>
    </font>
    <font>
      <b/>
      <u/>
      <sz val="10"/>
      <color indexed="30"/>
      <name val="Arial"/>
      <family val="2"/>
    </font>
    <font>
      <b/>
      <u/>
      <sz val="10"/>
      <color indexed="8"/>
      <name val="Arial"/>
      <family val="2"/>
    </font>
    <font>
      <u/>
      <sz val="10"/>
      <color indexed="12"/>
      <name val="Arial"/>
      <family val="2"/>
    </font>
    <font>
      <sz val="10"/>
      <color indexed="12"/>
      <name val="Arial"/>
      <family val="2"/>
    </font>
    <font>
      <vertAlign val="superscript"/>
      <sz val="10"/>
      <color indexed="8"/>
      <name val="Arial"/>
      <family val="2"/>
    </font>
    <font>
      <b/>
      <vertAlign val="superscript"/>
      <sz val="10"/>
      <color indexed="8"/>
      <name val="Arial"/>
      <family val="2"/>
    </font>
    <font>
      <sz val="7"/>
      <color indexed="8"/>
      <name val="Arial"/>
      <family val="2"/>
    </font>
    <font>
      <u/>
      <sz val="10"/>
      <color indexed="12"/>
      <name val="Arial"/>
      <family val="2"/>
    </font>
    <font>
      <sz val="10"/>
      <color indexed="8"/>
      <name val="Arial"/>
      <family val="2"/>
    </font>
    <font>
      <b/>
      <sz val="10"/>
      <color indexed="8"/>
      <name val="Arial"/>
      <family val="2"/>
    </font>
    <font>
      <sz val="10"/>
      <color indexed="8"/>
      <name val="Calibri"/>
      <family val="2"/>
    </font>
    <font>
      <b/>
      <sz val="10"/>
      <color indexed="30"/>
      <name val="Arial"/>
      <family val="2"/>
    </font>
    <font>
      <sz val="10"/>
      <color indexed="10"/>
      <name val="Arial"/>
      <family val="2"/>
    </font>
    <font>
      <sz val="10"/>
      <color indexed="30"/>
      <name val="Arial"/>
      <family val="2"/>
    </font>
    <font>
      <sz val="10"/>
      <color indexed="23"/>
      <name val="Arial"/>
      <family val="2"/>
    </font>
    <font>
      <b/>
      <sz val="10"/>
      <color indexed="30"/>
      <name val="Arial"/>
      <family val="2"/>
    </font>
    <font>
      <b/>
      <sz val="10"/>
      <color indexed="10"/>
      <name val="Arial"/>
      <family val="2"/>
    </font>
    <font>
      <b/>
      <sz val="10"/>
      <color indexed="23"/>
      <name val="Arial"/>
      <family val="2"/>
    </font>
    <font>
      <sz val="8"/>
      <name val="Calibri"/>
      <family val="2"/>
    </font>
    <font>
      <i/>
      <sz val="10"/>
      <color indexed="8"/>
      <name val="Arial"/>
      <family val="2"/>
    </font>
    <font>
      <sz val="11"/>
      <color theme="0"/>
      <name val="Calibri"/>
      <family val="2"/>
      <scheme val="minor"/>
    </font>
    <font>
      <u/>
      <sz val="11"/>
      <color theme="10"/>
      <name val="Calibri"/>
      <family val="2"/>
      <scheme val="minor"/>
    </font>
    <font>
      <sz val="11"/>
      <color rgb="FFFF0000"/>
      <name val="Calibri"/>
      <family val="2"/>
      <scheme val="minor"/>
    </font>
    <font>
      <sz val="10"/>
      <color rgb="FFFF0000"/>
      <name val="Arial"/>
      <family val="2"/>
    </font>
    <font>
      <u/>
      <sz val="10"/>
      <color theme="10"/>
      <name val="Arial"/>
      <family val="2"/>
    </font>
    <font>
      <sz val="10"/>
      <color theme="0" tint="-0.499984740745262"/>
      <name val="Arial"/>
      <family val="2"/>
    </font>
    <font>
      <sz val="10"/>
      <color theme="1"/>
      <name val="Arial"/>
      <family val="2"/>
    </font>
    <font>
      <sz val="10"/>
      <color rgb="FFFF0000"/>
      <name val="Calibri"/>
      <family val="2"/>
    </font>
    <font>
      <sz val="10"/>
      <color theme="0"/>
      <name val="Arial"/>
      <family val="2"/>
    </font>
    <font>
      <sz val="10"/>
      <color theme="0"/>
      <name val="Calibri"/>
      <family val="2"/>
    </font>
    <font>
      <b/>
      <sz val="10"/>
      <color rgb="FF0070C0"/>
      <name val="Arial"/>
      <family val="2"/>
    </font>
    <font>
      <b/>
      <sz val="10"/>
      <color rgb="FFFFB2B2"/>
      <name val="Arial"/>
      <family val="2"/>
    </font>
    <font>
      <sz val="10"/>
      <color rgb="FFFFB2B2"/>
      <name val="Arial"/>
      <family val="2"/>
    </font>
    <font>
      <sz val="10"/>
      <color rgb="FFFF8080"/>
      <name val="Arial"/>
      <family val="2"/>
    </font>
    <font>
      <b/>
      <sz val="10"/>
      <color theme="1"/>
      <name val="Arial"/>
      <family val="2"/>
    </font>
    <font>
      <b/>
      <sz val="11"/>
      <color indexed="8"/>
      <name val="Arial"/>
      <family val="2"/>
    </font>
    <font>
      <sz val="10"/>
      <color rgb="FF003366"/>
      <name val="Arial"/>
      <family val="2"/>
    </font>
    <font>
      <b/>
      <sz val="10"/>
      <color rgb="FF003366"/>
      <name val="Arial"/>
      <family val="2"/>
    </font>
    <font>
      <b/>
      <sz val="10"/>
      <color rgb="FFFF0000"/>
      <name val="Arial"/>
      <family val="2"/>
    </font>
    <font>
      <b/>
      <sz val="9"/>
      <color rgb="FF0070C0"/>
      <name val="Arial"/>
      <family val="2"/>
    </font>
    <font>
      <sz val="10"/>
      <color rgb="FF0070C0"/>
      <name val="Arial"/>
      <family val="2"/>
    </font>
    <font>
      <b/>
      <sz val="10"/>
      <color rgb="FF0066CC"/>
      <name val="Arial"/>
      <family val="2"/>
    </font>
    <font>
      <sz val="10"/>
      <color rgb="FF000000"/>
      <name val="Arial"/>
      <family val="2"/>
    </font>
    <font>
      <sz val="10"/>
      <color rgb="FF0066CC"/>
      <name val="Arial"/>
      <family val="2"/>
    </font>
    <font>
      <b/>
      <sz val="8"/>
      <color theme="1"/>
      <name val="Arial"/>
      <family val="2"/>
    </font>
    <font>
      <u/>
      <sz val="8"/>
      <color theme="10"/>
      <name val="Arial"/>
      <family val="2"/>
    </font>
    <font>
      <b/>
      <sz val="10"/>
      <color rgb="FF000000"/>
      <name val="Arial"/>
      <family val="2"/>
    </font>
    <font>
      <b/>
      <sz val="12"/>
      <color theme="1"/>
      <name val="Arial"/>
      <family val="2"/>
    </font>
    <font>
      <b/>
      <sz val="12"/>
      <name val="Arial"/>
      <family val="2"/>
    </font>
    <font>
      <sz val="10"/>
      <color rgb="FF808080"/>
      <name val="Arial"/>
      <family val="2"/>
    </font>
    <font>
      <b/>
      <sz val="11"/>
      <name val="Arial"/>
      <family val="2"/>
    </font>
    <font>
      <b/>
      <u/>
      <sz val="10"/>
      <color rgb="FF000000"/>
      <name val="Arial"/>
      <family val="2"/>
    </font>
    <font>
      <b/>
      <vertAlign val="superscript"/>
      <sz val="10"/>
      <color rgb="FF000000"/>
      <name val="Arial"/>
      <family val="2"/>
    </font>
    <font>
      <sz val="10"/>
      <color rgb="FF000000"/>
      <name val="Times New Roman"/>
      <family val="1"/>
    </font>
    <font>
      <b/>
      <sz val="10"/>
      <color rgb="FF333333"/>
      <name val="Arial"/>
      <family val="2"/>
    </font>
    <font>
      <sz val="9"/>
      <color rgb="FF333333"/>
      <name val="Arial"/>
      <family val="2"/>
    </font>
    <font>
      <b/>
      <vertAlign val="superscript"/>
      <sz val="10"/>
      <color theme="1"/>
      <name val="Arial"/>
      <family val="2"/>
    </font>
    <font>
      <vertAlign val="superscript"/>
      <sz val="10"/>
      <color theme="1"/>
      <name val="Arial"/>
      <family val="2"/>
    </font>
    <font>
      <sz val="10"/>
      <color rgb="FF00B050"/>
      <name val="Arial"/>
      <family val="2"/>
    </font>
    <font>
      <b/>
      <sz val="10"/>
      <color theme="0"/>
      <name val="Arial"/>
      <family val="2"/>
    </font>
    <font>
      <b/>
      <sz val="11"/>
      <color theme="0"/>
      <name val="Arial"/>
      <family val="2"/>
    </font>
    <font>
      <b/>
      <i/>
      <sz val="8"/>
      <color theme="0"/>
      <name val="Arial"/>
      <family val="2"/>
    </font>
  </fonts>
  <fills count="15">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indexed="50"/>
        <bgColor indexed="64"/>
      </patternFill>
    </fill>
    <fill>
      <patternFill patternType="solid">
        <fgColor indexed="13"/>
        <bgColor indexed="64"/>
      </patternFill>
    </fill>
    <fill>
      <patternFill patternType="solid">
        <fgColor indexed="31"/>
        <bgColor indexed="64"/>
      </patternFill>
    </fill>
    <fill>
      <patternFill patternType="solid">
        <fgColor indexed="10"/>
        <bgColor indexed="64"/>
      </patternFill>
    </fill>
    <fill>
      <patternFill patternType="solid">
        <fgColor indexed="9"/>
        <bgColor indexed="9"/>
      </patternFill>
    </fill>
    <fill>
      <patternFill patternType="solid">
        <fgColor indexed="22"/>
        <bgColor indexed="64"/>
      </patternFill>
    </fill>
    <fill>
      <patternFill patternType="solid">
        <fgColor indexed="27"/>
        <bgColor indexed="64"/>
      </patternFill>
    </fill>
    <fill>
      <patternFill patternType="solid">
        <fgColor rgb="FFFFFFB9"/>
        <bgColor indexed="64"/>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top/>
      <bottom style="thin">
        <color indexed="64"/>
      </bottom>
      <diagonal/>
    </border>
  </borders>
  <cellStyleXfs count="18">
    <xf numFmtId="0" fontId="0" fillId="0" borderId="0"/>
    <xf numFmtId="43" fontId="18" fillId="0" borderId="0" applyFont="0" applyFill="0" applyBorder="0" applyAlignment="0" applyProtection="0"/>
    <xf numFmtId="0" fontId="63" fillId="0" borderId="0" applyNumberFormat="0" applyFill="0" applyBorder="0" applyAlignment="0" applyProtection="0"/>
    <xf numFmtId="0" fontId="5" fillId="0" borderId="0"/>
    <xf numFmtId="0" fontId="9" fillId="0" borderId="0"/>
    <xf numFmtId="0" fontId="11" fillId="0" borderId="0"/>
    <xf numFmtId="0" fontId="14" fillId="0" borderId="0"/>
    <xf numFmtId="0" fontId="40" fillId="0" borderId="0"/>
    <xf numFmtId="0" fontId="2" fillId="0" borderId="0"/>
    <xf numFmtId="0" fontId="5" fillId="0" borderId="0"/>
    <xf numFmtId="9" fontId="18" fillId="0" borderId="0" applyFont="0" applyFill="0" applyBorder="0" applyAlignment="0" applyProtection="0"/>
    <xf numFmtId="0" fontId="5" fillId="0" borderId="0"/>
    <xf numFmtId="0" fontId="5" fillId="0" borderId="0"/>
    <xf numFmtId="0" fontId="5" fillId="0" borderId="0"/>
    <xf numFmtId="0" fontId="18" fillId="0" borderId="0"/>
    <xf numFmtId="0" fontId="5" fillId="0" borderId="0"/>
    <xf numFmtId="0" fontId="5" fillId="0" borderId="0"/>
    <xf numFmtId="0" fontId="5" fillId="0" borderId="0"/>
  </cellStyleXfs>
  <cellXfs count="988">
    <xf numFmtId="0" fontId="0" fillId="0" borderId="0" xfId="0"/>
    <xf numFmtId="15" fontId="3" fillId="0" borderId="1" xfId="0" applyNumberFormat="1" applyFont="1" applyFill="1" applyBorder="1" applyAlignment="1" applyProtection="1">
      <alignment horizontal="center"/>
      <protection locked="0"/>
    </xf>
    <xf numFmtId="15" fontId="4" fillId="0" borderId="1" xfId="0" applyNumberFormat="1" applyFont="1" applyFill="1" applyBorder="1" applyAlignment="1" applyProtection="1">
      <alignment horizontal="center"/>
      <protection locked="0"/>
    </xf>
    <xf numFmtId="15" fontId="4" fillId="0" borderId="1" xfId="0" applyNumberFormat="1" applyFont="1" applyFill="1" applyBorder="1" applyAlignment="1" applyProtection="1">
      <alignment horizontal="center" wrapText="1"/>
      <protection locked="0"/>
    </xf>
    <xf numFmtId="0" fontId="5" fillId="2" borderId="1" xfId="0" applyNumberFormat="1"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20" fillId="4" borderId="2" xfId="0" applyFont="1" applyFill="1" applyBorder="1" applyAlignment="1">
      <alignment horizontal="center" vertical="center" wrapText="1"/>
    </xf>
    <xf numFmtId="0" fontId="22" fillId="3" borderId="0" xfId="2" applyFont="1" applyFill="1" applyAlignment="1">
      <alignment vertical="center"/>
    </xf>
    <xf numFmtId="0" fontId="20" fillId="4" borderId="3" xfId="0" applyFont="1" applyFill="1" applyBorder="1" applyAlignment="1">
      <alignment horizontal="center" vertical="center"/>
    </xf>
    <xf numFmtId="0" fontId="20" fillId="3" borderId="4" xfId="0" applyFont="1" applyFill="1" applyBorder="1" applyAlignment="1">
      <alignment horizontal="left" vertical="center" wrapText="1"/>
    </xf>
    <xf numFmtId="0" fontId="20" fillId="3" borderId="4" xfId="0" applyFont="1" applyFill="1" applyBorder="1" applyAlignment="1">
      <alignment horizontal="left" vertical="center"/>
    </xf>
    <xf numFmtId="164" fontId="20" fillId="3" borderId="4" xfId="0" applyNumberFormat="1" applyFont="1" applyFill="1" applyBorder="1" applyAlignment="1">
      <alignment horizontal="left" vertical="center"/>
    </xf>
    <xf numFmtId="2" fontId="20" fillId="0" borderId="5" xfId="0" applyNumberFormat="1" applyFont="1" applyBorder="1" applyAlignment="1">
      <alignment horizontal="center" vertical="center"/>
    </xf>
    <xf numFmtId="164" fontId="20" fillId="3" borderId="3" xfId="0" applyNumberFormat="1" applyFont="1" applyFill="1" applyBorder="1" applyAlignment="1">
      <alignment horizontal="center" vertical="center"/>
    </xf>
    <xf numFmtId="0" fontId="23" fillId="0" borderId="0" xfId="0" applyFont="1"/>
    <xf numFmtId="0" fontId="23" fillId="0" borderId="0" xfId="0" applyFont="1" applyAlignment="1">
      <alignment horizontal="center"/>
    </xf>
    <xf numFmtId="164" fontId="21" fillId="3" borderId="5"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vertical="center"/>
    </xf>
    <xf numFmtId="0" fontId="23" fillId="3" borderId="0" xfId="0" applyFont="1" applyFill="1" applyAlignment="1">
      <alignment horizontal="center" vertical="center"/>
    </xf>
    <xf numFmtId="0" fontId="23" fillId="3" borderId="0" xfId="0" applyFont="1" applyFill="1" applyAlignment="1"/>
    <xf numFmtId="0" fontId="2" fillId="0" borderId="1" xfId="8" applyFont="1" applyFill="1" applyBorder="1" applyAlignment="1">
      <alignment horizontal="center" wrapText="1"/>
    </xf>
    <xf numFmtId="2" fontId="21" fillId="3" borderId="3" xfId="0" applyNumberFormat="1" applyFont="1" applyFill="1" applyBorder="1" applyAlignment="1">
      <alignment horizontal="center" vertical="center"/>
    </xf>
    <xf numFmtId="2" fontId="20" fillId="3" borderId="3" xfId="0" applyNumberFormat="1" applyFont="1" applyFill="1" applyBorder="1" applyAlignment="1">
      <alignment horizontal="center" vertical="center"/>
    </xf>
    <xf numFmtId="2" fontId="20" fillId="3" borderId="5" xfId="0" applyNumberFormat="1" applyFont="1" applyFill="1" applyBorder="1" applyAlignment="1">
      <alignment horizontal="center" vertical="center"/>
    </xf>
    <xf numFmtId="0" fontId="20" fillId="3" borderId="5" xfId="0" applyFont="1" applyFill="1" applyBorder="1" applyAlignment="1">
      <alignment horizontal="center" vertical="center"/>
    </xf>
    <xf numFmtId="0" fontId="20" fillId="3" borderId="5" xfId="0" applyFont="1" applyFill="1" applyBorder="1" applyAlignment="1">
      <alignment horizontal="left" vertical="center"/>
    </xf>
    <xf numFmtId="1" fontId="21" fillId="3" borderId="5" xfId="0" applyNumberFormat="1" applyFont="1" applyFill="1" applyBorder="1" applyAlignment="1">
      <alignment horizontal="center" vertical="center"/>
    </xf>
    <xf numFmtId="2" fontId="20" fillId="3" borderId="6" xfId="0" applyNumberFormat="1" applyFont="1" applyFill="1" applyBorder="1" applyAlignment="1">
      <alignment horizontal="center" vertical="center"/>
    </xf>
    <xf numFmtId="2" fontId="21" fillId="3" borderId="7" xfId="0" applyNumberFormat="1" applyFont="1" applyFill="1" applyBorder="1" applyAlignment="1">
      <alignment horizontal="center" vertical="center"/>
    </xf>
    <xf numFmtId="1" fontId="21" fillId="3" borderId="7" xfId="0" applyNumberFormat="1" applyFont="1" applyFill="1" applyBorder="1" applyAlignment="1">
      <alignment horizontal="center" vertical="center"/>
    </xf>
    <xf numFmtId="2" fontId="20" fillId="0" borderId="2" xfId="0" applyNumberFormat="1" applyFont="1" applyBorder="1" applyAlignment="1">
      <alignment horizontal="center" vertical="center" wrapText="1"/>
    </xf>
    <xf numFmtId="2" fontId="20" fillId="3" borderId="5" xfId="0" applyNumberFormat="1" applyFont="1" applyFill="1" applyBorder="1" applyAlignment="1">
      <alignment horizontal="left" vertical="center"/>
    </xf>
    <xf numFmtId="17" fontId="20" fillId="0" borderId="4" xfId="0" applyNumberFormat="1" applyFont="1" applyBorder="1" applyAlignment="1">
      <alignment horizontal="center" vertical="center" wrapText="1"/>
    </xf>
    <xf numFmtId="0" fontId="25" fillId="3" borderId="1" xfId="0" applyFont="1" applyFill="1" applyBorder="1" applyAlignment="1">
      <alignment vertical="center" wrapText="1"/>
    </xf>
    <xf numFmtId="166" fontId="25" fillId="3"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right"/>
    </xf>
    <xf numFmtId="164" fontId="10" fillId="0" borderId="1" xfId="0" applyNumberFormat="1" applyFont="1" applyFill="1" applyBorder="1" applyAlignment="1">
      <alignment horizontal="right" wrapText="1"/>
    </xf>
    <xf numFmtId="0" fontId="20" fillId="5" borderId="3" xfId="0" applyFont="1" applyFill="1" applyBorder="1" applyAlignment="1">
      <alignment horizontal="center" vertical="center"/>
    </xf>
    <xf numFmtId="0" fontId="20" fillId="0" borderId="2" xfId="0" applyFont="1" applyFill="1" applyBorder="1" applyAlignment="1">
      <alignment horizontal="center" vertical="center" wrapText="1"/>
    </xf>
    <xf numFmtId="17" fontId="8" fillId="0" borderId="5" xfId="0" applyNumberFormat="1" applyFont="1" applyFill="1" applyBorder="1" applyAlignment="1">
      <alignment horizontal="center" vertical="center" wrapText="1"/>
    </xf>
    <xf numFmtId="166" fontId="8" fillId="3" borderId="3" xfId="0" applyNumberFormat="1" applyFont="1" applyFill="1" applyBorder="1" applyAlignment="1">
      <alignment horizontal="center" vertical="center" wrapText="1"/>
    </xf>
    <xf numFmtId="17" fontId="8" fillId="3" borderId="5" xfId="0" applyNumberFormat="1" applyFont="1" applyFill="1" applyBorder="1" applyAlignment="1">
      <alignment horizontal="center" vertical="center" wrapText="1"/>
    </xf>
    <xf numFmtId="166" fontId="8" fillId="3" borderId="3" xfId="0" applyNumberFormat="1" applyFont="1" applyFill="1" applyBorder="1" applyAlignment="1">
      <alignment horizontal="center" wrapText="1"/>
    </xf>
    <xf numFmtId="17" fontId="8" fillId="3" borderId="3" xfId="0" applyNumberFormat="1" applyFont="1" applyFill="1" applyBorder="1" applyAlignment="1">
      <alignment horizontal="center" vertical="center" wrapText="1"/>
    </xf>
    <xf numFmtId="17" fontId="8" fillId="3" borderId="4" xfId="0" applyNumberFormat="1" applyFont="1" applyFill="1" applyBorder="1" applyAlignment="1">
      <alignment horizontal="center" vertical="center" wrapText="1"/>
    </xf>
    <xf numFmtId="0" fontId="20" fillId="3" borderId="3" xfId="0" applyFont="1" applyFill="1" applyBorder="1" applyAlignment="1">
      <alignment horizontal="center" vertical="center"/>
    </xf>
    <xf numFmtId="0" fontId="20" fillId="6" borderId="3" xfId="0" applyFont="1" applyFill="1" applyBorder="1" applyAlignment="1">
      <alignment horizontal="center" vertical="center"/>
    </xf>
    <xf numFmtId="166" fontId="20" fillId="3" borderId="3" xfId="0" applyNumberFormat="1"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7" borderId="2" xfId="0" applyFont="1" applyFill="1" applyBorder="1" applyAlignment="1">
      <alignment horizontal="center" vertical="center" wrapText="1"/>
    </xf>
    <xf numFmtId="0" fontId="20" fillId="7" borderId="3" xfId="0" applyFont="1" applyFill="1" applyBorder="1" applyAlignment="1">
      <alignment horizontal="center" vertical="center"/>
    </xf>
    <xf numFmtId="164" fontId="20" fillId="0" borderId="5" xfId="0" applyNumberFormat="1" applyFont="1" applyBorder="1" applyAlignment="1">
      <alignment horizontal="center" vertical="center"/>
    </xf>
    <xf numFmtId="0" fontId="20" fillId="0" borderId="2" xfId="0" applyFont="1" applyBorder="1" applyAlignment="1">
      <alignment horizontal="center" vertical="center" wrapText="1"/>
    </xf>
    <xf numFmtId="0" fontId="21" fillId="0" borderId="4" xfId="0" applyFont="1" applyBorder="1"/>
    <xf numFmtId="0" fontId="21" fillId="0" borderId="8" xfId="0" applyFont="1" applyBorder="1"/>
    <xf numFmtId="166" fontId="8" fillId="0" borderId="3" xfId="0" applyNumberFormat="1" applyFont="1" applyBorder="1" applyAlignment="1">
      <alignment horizontal="center" vertical="center" wrapText="1"/>
    </xf>
    <xf numFmtId="164" fontId="20" fillId="3" borderId="3" xfId="0" applyNumberFormat="1" applyFont="1" applyFill="1" applyBorder="1" applyAlignment="1">
      <alignment vertical="center"/>
    </xf>
    <xf numFmtId="1" fontId="28" fillId="0" borderId="1" xfId="0" applyNumberFormat="1" applyFont="1" applyBorder="1" applyAlignment="1">
      <alignment horizontal="right"/>
    </xf>
    <xf numFmtId="164" fontId="28" fillId="0" borderId="1" xfId="0" applyNumberFormat="1" applyFont="1" applyBorder="1" applyAlignment="1">
      <alignment horizontal="center"/>
    </xf>
    <xf numFmtId="169" fontId="15" fillId="8" borderId="10" xfId="0" applyNumberFormat="1" applyFont="1" applyFill="1" applyBorder="1" applyAlignment="1">
      <alignment horizontal="right"/>
    </xf>
    <xf numFmtId="164" fontId="28" fillId="0" borderId="1" xfId="0" applyNumberFormat="1" applyFont="1" applyBorder="1" applyAlignment="1">
      <alignment horizontal="right"/>
    </xf>
    <xf numFmtId="0" fontId="30" fillId="0" borderId="1" xfId="0" applyFont="1" applyFill="1" applyBorder="1" applyAlignment="1" applyProtection="1">
      <alignment horizontal="center" wrapText="1"/>
      <protection locked="0"/>
    </xf>
    <xf numFmtId="2" fontId="31" fillId="0" borderId="1" xfId="0" applyNumberFormat="1" applyFont="1" applyFill="1" applyBorder="1" applyAlignment="1" applyProtection="1">
      <alignment horizontal="center"/>
      <protection locked="0"/>
    </xf>
    <xf numFmtId="0" fontId="29" fillId="0" borderId="1" xfId="0" applyFont="1" applyFill="1" applyBorder="1" applyAlignment="1">
      <alignment horizontal="left"/>
    </xf>
    <xf numFmtId="0" fontId="29" fillId="0" borderId="1" xfId="0" applyFont="1" applyFill="1" applyBorder="1"/>
    <xf numFmtId="164" fontId="27" fillId="0" borderId="1" xfId="0" applyNumberFormat="1" applyFont="1" applyFill="1" applyBorder="1" applyAlignment="1">
      <alignment horizontal="right" wrapText="1"/>
    </xf>
    <xf numFmtId="169" fontId="27" fillId="8" borderId="10" xfId="0" applyNumberFormat="1" applyFont="1" applyFill="1" applyBorder="1" applyAlignment="1">
      <alignment horizontal="right" vertical="center" wrapText="1"/>
    </xf>
    <xf numFmtId="0" fontId="27" fillId="3" borderId="1" xfId="0" applyFont="1" applyFill="1" applyBorder="1" applyAlignment="1">
      <alignment vertical="center" wrapText="1"/>
    </xf>
    <xf numFmtId="0" fontId="20" fillId="0" borderId="3" xfId="0" applyFont="1" applyFill="1" applyBorder="1" applyAlignment="1">
      <alignment horizontal="center" vertical="center"/>
    </xf>
    <xf numFmtId="169" fontId="27" fillId="0" borderId="10" xfId="0" applyNumberFormat="1" applyFont="1" applyFill="1" applyBorder="1" applyAlignment="1">
      <alignment horizontal="right" vertical="center" wrapText="1"/>
    </xf>
    <xf numFmtId="164" fontId="29" fillId="0" borderId="1" xfId="0" applyNumberFormat="1" applyFont="1" applyBorder="1" applyAlignment="1">
      <alignment horizontal="right"/>
    </xf>
    <xf numFmtId="164" fontId="28" fillId="0" borderId="1" xfId="0" applyNumberFormat="1" applyFont="1" applyFill="1" applyBorder="1" applyAlignment="1">
      <alignment horizontal="center"/>
    </xf>
    <xf numFmtId="2" fontId="20" fillId="3" borderId="3" xfId="0" applyNumberFormat="1" applyFont="1" applyFill="1" applyBorder="1" applyAlignment="1">
      <alignment horizontal="center" vertical="center" wrapText="1"/>
    </xf>
    <xf numFmtId="1" fontId="32" fillId="0" borderId="1" xfId="0" applyNumberFormat="1" applyFont="1" applyBorder="1" applyAlignment="1">
      <alignment horizontal="right"/>
    </xf>
    <xf numFmtId="1" fontId="33" fillId="0" borderId="1" xfId="0" applyNumberFormat="1" applyFont="1" applyBorder="1" applyAlignment="1">
      <alignment horizontal="right"/>
    </xf>
    <xf numFmtId="1" fontId="33" fillId="0" borderId="1" xfId="0" applyNumberFormat="1" applyFont="1" applyBorder="1"/>
    <xf numFmtId="1" fontId="32" fillId="0" borderId="1" xfId="0" applyNumberFormat="1" applyFont="1" applyBorder="1"/>
    <xf numFmtId="0" fontId="20" fillId="0" borderId="6" xfId="0" applyFont="1" applyBorder="1" applyAlignment="1">
      <alignment horizontal="center" vertical="center" wrapText="1"/>
    </xf>
    <xf numFmtId="0" fontId="20" fillId="4" borderId="6" xfId="0" applyFont="1" applyFill="1" applyBorder="1" applyAlignment="1">
      <alignment horizontal="center" vertical="center" wrapText="1"/>
    </xf>
    <xf numFmtId="0" fontId="20" fillId="3" borderId="8" xfId="0" applyFont="1" applyFill="1" applyBorder="1" applyAlignment="1">
      <alignment horizontal="center" vertical="center"/>
    </xf>
    <xf numFmtId="17" fontId="20" fillId="0" borderId="8" xfId="0" applyNumberFormat="1" applyFont="1" applyBorder="1" applyAlignment="1">
      <alignment horizontal="center" vertical="center" wrapText="1"/>
    </xf>
    <xf numFmtId="166" fontId="20" fillId="3" borderId="15" xfId="0" applyNumberFormat="1" applyFont="1" applyFill="1" applyBorder="1" applyAlignment="1">
      <alignment horizontal="center" vertical="center" wrapText="1"/>
    </xf>
    <xf numFmtId="0" fontId="20" fillId="4" borderId="15" xfId="0" applyFont="1" applyFill="1" applyBorder="1" applyAlignment="1">
      <alignment horizontal="center" vertical="center"/>
    </xf>
    <xf numFmtId="0" fontId="29" fillId="0" borderId="1" xfId="0" applyFont="1" applyFill="1" applyBorder="1" applyAlignment="1">
      <alignment wrapText="1"/>
    </xf>
    <xf numFmtId="0" fontId="29" fillId="0" borderId="0" xfId="0" applyFont="1" applyFill="1" applyBorder="1" applyAlignment="1">
      <alignment wrapText="1"/>
    </xf>
    <xf numFmtId="164" fontId="29" fillId="0" borderId="0" xfId="0" applyNumberFormat="1" applyFont="1" applyBorder="1" applyAlignment="1">
      <alignment horizontal="right"/>
    </xf>
    <xf numFmtId="0" fontId="34" fillId="0" borderId="1" xfId="0" applyFont="1" applyBorder="1" applyAlignment="1">
      <alignment horizontal="right"/>
    </xf>
    <xf numFmtId="0" fontId="30" fillId="0" borderId="1" xfId="0" applyFont="1" applyBorder="1" applyAlignment="1">
      <alignment horizontal="right"/>
    </xf>
    <xf numFmtId="17" fontId="20" fillId="3" borderId="15" xfId="0" applyNumberFormat="1" applyFont="1" applyFill="1" applyBorder="1" applyAlignment="1">
      <alignment horizontal="center" vertical="center"/>
    </xf>
    <xf numFmtId="9" fontId="20" fillId="3" borderId="16" xfId="0" applyNumberFormat="1" applyFont="1" applyFill="1" applyBorder="1" applyAlignment="1">
      <alignment horizontal="center" vertical="center"/>
    </xf>
    <xf numFmtId="0" fontId="21" fillId="3" borderId="4" xfId="0" applyFont="1" applyFill="1" applyBorder="1" applyAlignment="1">
      <alignment horizontal="left" vertical="center"/>
    </xf>
    <xf numFmtId="2" fontId="20" fillId="0" borderId="3" xfId="0" applyNumberFormat="1" applyFont="1" applyFill="1" applyBorder="1" applyAlignment="1">
      <alignment horizontal="center" vertical="center"/>
    </xf>
    <xf numFmtId="0" fontId="35" fillId="0" borderId="2" xfId="0" applyFont="1" applyBorder="1" applyAlignment="1">
      <alignment horizontal="center" vertical="center" wrapText="1"/>
    </xf>
    <xf numFmtId="0" fontId="37" fillId="0" borderId="2" xfId="0" applyFont="1" applyBorder="1" applyAlignment="1">
      <alignment horizontal="center" vertical="center" wrapText="1"/>
    </xf>
    <xf numFmtId="0" fontId="37" fillId="3" borderId="2" xfId="0" applyFont="1" applyFill="1" applyBorder="1" applyAlignment="1">
      <alignment horizontal="center" vertical="center" wrapText="1"/>
    </xf>
    <xf numFmtId="164" fontId="2" fillId="0" borderId="1" xfId="0" applyNumberFormat="1" applyFont="1" applyBorder="1" applyAlignment="1">
      <alignment horizontal="center"/>
    </xf>
    <xf numFmtId="164" fontId="2" fillId="0" borderId="1" xfId="0" applyNumberFormat="1" applyFont="1" applyFill="1" applyBorder="1" applyAlignment="1">
      <alignment horizontal="center"/>
    </xf>
    <xf numFmtId="0" fontId="2" fillId="0" borderId="0" xfId="0" applyFont="1" applyBorder="1"/>
    <xf numFmtId="0" fontId="2" fillId="0" borderId="1" xfId="0" applyFont="1" applyBorder="1" applyAlignment="1">
      <alignment horizontal="center" wrapText="1"/>
    </xf>
    <xf numFmtId="1" fontId="12" fillId="0" borderId="1" xfId="0" applyNumberFormat="1" applyFont="1" applyBorder="1" applyAlignment="1">
      <alignment horizontal="right"/>
    </xf>
    <xf numFmtId="0" fontId="37" fillId="0" borderId="2" xfId="0" applyFont="1" applyFill="1" applyBorder="1" applyAlignment="1">
      <alignment horizontal="center" vertical="center" wrapText="1"/>
    </xf>
    <xf numFmtId="0" fontId="23" fillId="0" borderId="0" xfId="0" applyFont="1" applyFill="1"/>
    <xf numFmtId="3" fontId="12" fillId="0" borderId="1" xfId="0" applyNumberFormat="1" applyFont="1" applyBorder="1" applyAlignment="1">
      <alignment horizontal="right"/>
    </xf>
    <xf numFmtId="1" fontId="2" fillId="0" borderId="1" xfId="0" applyNumberFormat="1" applyFont="1" applyBorder="1" applyAlignment="1">
      <alignment horizontal="right"/>
    </xf>
    <xf numFmtId="1" fontId="2" fillId="0" borderId="1" xfId="0" applyNumberFormat="1" applyFont="1" applyBorder="1" applyAlignment="1">
      <alignment horizontal="right" wrapText="1"/>
    </xf>
    <xf numFmtId="0" fontId="2" fillId="3" borderId="1" xfId="0" applyFont="1" applyFill="1" applyBorder="1" applyAlignment="1">
      <alignment horizontal="center" wrapText="1"/>
    </xf>
    <xf numFmtId="1" fontId="2" fillId="0" borderId="1" xfId="0" applyNumberFormat="1" applyFont="1" applyFill="1" applyBorder="1" applyAlignment="1" applyProtection="1">
      <alignment horizontal="center"/>
      <protection locked="0"/>
    </xf>
    <xf numFmtId="166" fontId="1" fillId="0" borderId="1" xfId="0" applyNumberFormat="1" applyFont="1" applyFill="1" applyBorder="1" applyAlignment="1">
      <alignment horizontal="center" vertical="center" wrapText="1"/>
    </xf>
    <xf numFmtId="0" fontId="2" fillId="0" borderId="0" xfId="0" applyFont="1" applyBorder="1" applyAlignment="1">
      <alignment wrapText="1"/>
    </xf>
    <xf numFmtId="3" fontId="2" fillId="0" borderId="0" xfId="0" applyNumberFormat="1" applyFont="1" applyBorder="1" applyAlignment="1">
      <alignment horizontal="center"/>
    </xf>
    <xf numFmtId="164" fontId="1" fillId="0" borderId="0" xfId="0" applyNumberFormat="1" applyFont="1" applyBorder="1"/>
    <xf numFmtId="0" fontId="2" fillId="0" borderId="0" xfId="0" applyFont="1" applyAlignment="1">
      <alignment horizontal="center"/>
    </xf>
    <xf numFmtId="164" fontId="2" fillId="0" borderId="0" xfId="0" applyNumberFormat="1" applyFont="1" applyBorder="1"/>
    <xf numFmtId="164" fontId="2" fillId="0" borderId="0" xfId="0" applyNumberFormat="1" applyFont="1" applyAlignment="1">
      <alignment horizontal="center"/>
    </xf>
    <xf numFmtId="0" fontId="49" fillId="0" borderId="0" xfId="2" applyFont="1"/>
    <xf numFmtId="0" fontId="50" fillId="0" borderId="0" xfId="0" applyFont="1"/>
    <xf numFmtId="0" fontId="4" fillId="0" borderId="0" xfId="2" applyFont="1"/>
    <xf numFmtId="0" fontId="50" fillId="0" borderId="0" xfId="0" applyFont="1" applyAlignment="1">
      <alignment wrapText="1"/>
    </xf>
    <xf numFmtId="164" fontId="50" fillId="0" borderId="0" xfId="0" applyNumberFormat="1" applyFont="1" applyBorder="1" applyAlignment="1">
      <alignment horizontal="left"/>
    </xf>
    <xf numFmtId="166" fontId="50" fillId="0" borderId="0" xfId="0" applyNumberFormat="1" applyFont="1" applyAlignment="1">
      <alignment horizontal="left"/>
    </xf>
    <xf numFmtId="0" fontId="50" fillId="0" borderId="0" xfId="0" applyFont="1" applyAlignment="1">
      <alignment horizontal="left"/>
    </xf>
    <xf numFmtId="0" fontId="2" fillId="0" borderId="1" xfId="0" applyFont="1" applyBorder="1" applyAlignment="1">
      <alignment wrapText="1"/>
    </xf>
    <xf numFmtId="166" fontId="1" fillId="0" borderId="1" xfId="0" applyNumberFormat="1" applyFont="1" applyBorder="1" applyAlignment="1">
      <alignment horizontal="center"/>
    </xf>
    <xf numFmtId="0" fontId="12" fillId="0" borderId="1" xfId="0" applyFont="1" applyBorder="1" applyAlignment="1">
      <alignment wrapText="1"/>
    </xf>
    <xf numFmtId="164" fontId="12" fillId="0" borderId="1" xfId="0" applyNumberFormat="1" applyFont="1" applyBorder="1" applyAlignment="1">
      <alignment horizontal="right"/>
    </xf>
    <xf numFmtId="0" fontId="1" fillId="0" borderId="1" xfId="0" applyFont="1" applyBorder="1" applyAlignment="1">
      <alignment wrapText="1"/>
    </xf>
    <xf numFmtId="164" fontId="2" fillId="9" borderId="1" xfId="0" applyNumberFormat="1" applyFont="1" applyFill="1" applyBorder="1" applyAlignment="1">
      <alignment horizontal="right"/>
    </xf>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164" fontId="2" fillId="0" borderId="0" xfId="0" applyNumberFormat="1" applyFont="1" applyBorder="1" applyAlignment="1">
      <alignment horizontal="right"/>
    </xf>
    <xf numFmtId="164" fontId="12" fillId="0" borderId="1" xfId="0" applyNumberFormat="1" applyFont="1" applyFill="1" applyBorder="1" applyAlignment="1">
      <alignment horizontal="right"/>
    </xf>
    <xf numFmtId="0" fontId="2" fillId="0" borderId="12" xfId="0" applyFont="1" applyBorder="1" applyAlignment="1">
      <alignment wrapText="1"/>
    </xf>
    <xf numFmtId="0" fontId="50" fillId="0" borderId="0" xfId="0" applyFont="1" applyBorder="1"/>
    <xf numFmtId="0" fontId="1" fillId="0" borderId="1" xfId="0" applyFont="1" applyBorder="1" applyAlignment="1">
      <alignment horizontal="center"/>
    </xf>
    <xf numFmtId="164" fontId="50" fillId="0" borderId="0" xfId="0" applyNumberFormat="1" applyFont="1" applyAlignment="1">
      <alignment horizontal="left"/>
    </xf>
    <xf numFmtId="0" fontId="1" fillId="0" borderId="0" xfId="0" applyFont="1"/>
    <xf numFmtId="17" fontId="50" fillId="0" borderId="0" xfId="0" applyNumberFormat="1" applyFont="1" applyAlignment="1">
      <alignment horizontal="left"/>
    </xf>
    <xf numFmtId="0" fontId="50" fillId="0" borderId="0" xfId="0" applyNumberFormat="1" applyFont="1" applyAlignment="1">
      <alignment horizontal="left"/>
    </xf>
    <xf numFmtId="17" fontId="50" fillId="0" borderId="1" xfId="0" applyNumberFormat="1" applyFont="1" applyBorder="1"/>
    <xf numFmtId="166" fontId="1" fillId="0" borderId="1" xfId="0" applyNumberFormat="1" applyFont="1" applyBorder="1"/>
    <xf numFmtId="166" fontId="1" fillId="0" borderId="1" xfId="0" applyNumberFormat="1" applyFont="1" applyFill="1" applyBorder="1"/>
    <xf numFmtId="17" fontId="1" fillId="0" borderId="1" xfId="0" applyNumberFormat="1" applyFont="1" applyBorder="1"/>
    <xf numFmtId="0" fontId="1" fillId="0" borderId="1" xfId="0" applyFont="1" applyBorder="1"/>
    <xf numFmtId="164" fontId="50" fillId="0" borderId="1" xfId="0" applyNumberFormat="1" applyFont="1" applyBorder="1" applyAlignment="1">
      <alignment horizontal="right"/>
    </xf>
    <xf numFmtId="0" fontId="50" fillId="0" borderId="1" xfId="0" applyFont="1" applyBorder="1"/>
    <xf numFmtId="17" fontId="1" fillId="0" borderId="1" xfId="0" applyNumberFormat="1" applyFont="1" applyBorder="1" applyAlignment="1">
      <alignment horizontal="center"/>
    </xf>
    <xf numFmtId="3" fontId="2" fillId="0" borderId="1" xfId="0" applyNumberFormat="1" applyFont="1" applyBorder="1" applyAlignment="1">
      <alignment horizontal="center"/>
    </xf>
    <xf numFmtId="3" fontId="50" fillId="0" borderId="0" xfId="0" applyNumberFormat="1" applyFont="1" applyAlignment="1">
      <alignment horizontal="left"/>
    </xf>
    <xf numFmtId="0" fontId="50" fillId="5" borderId="0" xfId="0" applyFont="1" applyFill="1"/>
    <xf numFmtId="0" fontId="52" fillId="0" borderId="0" xfId="0" applyFont="1"/>
    <xf numFmtId="166" fontId="1" fillId="0" borderId="1" xfId="0" applyNumberFormat="1" applyFont="1" applyFill="1" applyBorder="1" applyAlignment="1">
      <alignment horizontal="center"/>
    </xf>
    <xf numFmtId="1" fontId="2" fillId="0" borderId="1" xfId="0" applyNumberFormat="1" applyFont="1" applyBorder="1" applyAlignment="1">
      <alignment horizontal="center"/>
    </xf>
    <xf numFmtId="0" fontId="2" fillId="0" borderId="1" xfId="0" applyFont="1" applyBorder="1" applyAlignment="1">
      <alignment horizontal="center"/>
    </xf>
    <xf numFmtId="0" fontId="2" fillId="0" borderId="0" xfId="0" applyFont="1"/>
    <xf numFmtId="3" fontId="50" fillId="0" borderId="1" xfId="0" applyNumberFormat="1" applyFont="1" applyBorder="1"/>
    <xf numFmtId="3" fontId="50" fillId="0" borderId="0" xfId="0" applyNumberFormat="1" applyFont="1"/>
    <xf numFmtId="17" fontId="52" fillId="0" borderId="0" xfId="0" applyNumberFormat="1" applyFont="1"/>
    <xf numFmtId="0" fontId="52" fillId="0" borderId="0" xfId="0" applyFont="1" applyBorder="1"/>
    <xf numFmtId="168" fontId="1" fillId="0" borderId="1" xfId="0" applyNumberFormat="1" applyFont="1" applyBorder="1" applyAlignment="1">
      <alignment horizontal="center"/>
    </xf>
    <xf numFmtId="3" fontId="50" fillId="0" borderId="1" xfId="0" applyNumberFormat="1" applyFont="1" applyBorder="1" applyAlignment="1">
      <alignment horizontal="right"/>
    </xf>
    <xf numFmtId="3" fontId="50" fillId="5" borderId="1" xfId="0" applyNumberFormat="1" applyFont="1" applyFill="1" applyBorder="1" applyAlignment="1">
      <alignment horizontal="right"/>
    </xf>
    <xf numFmtId="168" fontId="52" fillId="0" borderId="0" xfId="0" applyNumberFormat="1" applyFont="1"/>
    <xf numFmtId="164" fontId="16" fillId="0" borderId="1" xfId="0" applyNumberFormat="1" applyFont="1" applyBorder="1" applyAlignment="1">
      <alignment horizontal="center"/>
    </xf>
    <xf numFmtId="164" fontId="50" fillId="0" borderId="0" xfId="0" applyNumberFormat="1" applyFont="1"/>
    <xf numFmtId="168" fontId="50" fillId="0" borderId="0" xfId="0" applyNumberFormat="1" applyFont="1"/>
    <xf numFmtId="166" fontId="1" fillId="3" borderId="1" xfId="0" applyNumberFormat="1" applyFont="1" applyFill="1" applyBorder="1" applyAlignment="1">
      <alignment horizontal="center" vertical="center" wrapText="1"/>
    </xf>
    <xf numFmtId="0" fontId="1" fillId="3" borderId="1" xfId="0" applyFont="1" applyFill="1" applyBorder="1" applyAlignment="1">
      <alignment vertical="center" wrapText="1"/>
    </xf>
    <xf numFmtId="164" fontId="5" fillId="0" borderId="1" xfId="0" applyNumberFormat="1" applyFont="1" applyFill="1" applyBorder="1" applyAlignment="1">
      <alignment horizontal="right" wrapText="1"/>
    </xf>
    <xf numFmtId="164" fontId="50" fillId="0" borderId="1" xfId="0" applyNumberFormat="1" applyFont="1" applyBorder="1"/>
    <xf numFmtId="0" fontId="15" fillId="3" borderId="1" xfId="0" applyFont="1" applyFill="1" applyBorder="1" applyAlignment="1">
      <alignment vertical="center" wrapText="1"/>
    </xf>
    <xf numFmtId="164" fontId="5" fillId="0" borderId="0" xfId="0" applyNumberFormat="1" applyFont="1" applyFill="1" applyBorder="1" applyAlignment="1">
      <alignment horizontal="left" vertical="center" wrapText="1"/>
    </xf>
    <xf numFmtId="15" fontId="50" fillId="0" borderId="0" xfId="0" applyNumberFormat="1" applyFont="1" applyAlignment="1">
      <alignment horizontal="left"/>
    </xf>
    <xf numFmtId="166" fontId="1" fillId="0" borderId="1" xfId="0" applyNumberFormat="1" applyFont="1" applyBorder="1" applyAlignment="1">
      <alignment horizontal="center" vertical="center"/>
    </xf>
    <xf numFmtId="166" fontId="1" fillId="0" borderId="1" xfId="0" applyNumberFormat="1" applyFont="1" applyBorder="1" applyAlignment="1">
      <alignment horizontal="center" vertical="center" wrapText="1"/>
    </xf>
    <xf numFmtId="0" fontId="12" fillId="3" borderId="1" xfId="0" applyFont="1" applyFill="1" applyBorder="1" applyAlignment="1">
      <alignment vertical="center" wrapText="1"/>
    </xf>
    <xf numFmtId="164" fontId="12" fillId="0" borderId="1" xfId="0" applyNumberFormat="1" applyFont="1" applyFill="1" applyBorder="1" applyAlignment="1">
      <alignment horizontal="right" wrapText="1"/>
    </xf>
    <xf numFmtId="169" fontId="12" fillId="8" borderId="10" xfId="0" applyNumberFormat="1" applyFont="1" applyFill="1" applyBorder="1" applyAlignment="1">
      <alignment horizontal="right" wrapText="1"/>
    </xf>
    <xf numFmtId="0" fontId="2" fillId="3" borderId="1" xfId="0" applyFont="1" applyFill="1" applyBorder="1" applyAlignment="1">
      <alignment vertical="center" wrapText="1"/>
    </xf>
    <xf numFmtId="164" fontId="5" fillId="0" borderId="1" xfId="0" applyNumberFormat="1" applyFont="1" applyFill="1" applyBorder="1" applyAlignment="1">
      <alignment horizontal="right"/>
    </xf>
    <xf numFmtId="169" fontId="2" fillId="8" borderId="10" xfId="0" applyNumberFormat="1" applyFont="1" applyFill="1" applyBorder="1" applyAlignment="1">
      <alignment horizontal="right"/>
    </xf>
    <xf numFmtId="0" fontId="50" fillId="10" borderId="1" xfId="0" applyFont="1" applyFill="1" applyBorder="1"/>
    <xf numFmtId="164" fontId="50" fillId="10" borderId="1" xfId="0" applyNumberFormat="1" applyFont="1" applyFill="1" applyBorder="1" applyAlignment="1">
      <alignment horizontal="right"/>
    </xf>
    <xf numFmtId="17" fontId="1" fillId="3" borderId="1" xfId="0" applyNumberFormat="1" applyFont="1" applyFill="1" applyBorder="1" applyAlignment="1">
      <alignment horizontal="center" vertical="center" wrapText="1"/>
    </xf>
    <xf numFmtId="0" fontId="1" fillId="0" borderId="1" xfId="0" applyFont="1" applyBorder="1" applyAlignment="1">
      <alignment horizontal="center" wrapText="1"/>
    </xf>
    <xf numFmtId="166" fontId="1" fillId="0" borderId="1" xfId="0" applyNumberFormat="1" applyFont="1" applyFill="1" applyBorder="1" applyAlignment="1" applyProtection="1">
      <alignment horizontal="center"/>
      <protection locked="0"/>
    </xf>
    <xf numFmtId="2" fontId="50" fillId="0" borderId="0" xfId="0" applyNumberFormat="1" applyFont="1" applyAlignment="1">
      <alignment horizontal="left"/>
    </xf>
    <xf numFmtId="0" fontId="1" fillId="0" borderId="0" xfId="0" applyFont="1" applyAlignment="1">
      <alignment horizontal="center" readingOrder="1"/>
    </xf>
    <xf numFmtId="2" fontId="50" fillId="0" borderId="1" xfId="0" applyNumberFormat="1" applyFont="1" applyFill="1" applyBorder="1" applyAlignment="1" applyProtection="1">
      <alignment horizontal="center"/>
      <protection hidden="1"/>
    </xf>
    <xf numFmtId="2" fontId="50" fillId="0" borderId="1" xfId="0" applyNumberFormat="1" applyFont="1" applyFill="1" applyBorder="1" applyAlignment="1" applyProtection="1">
      <alignment horizontal="center"/>
      <protection locked="0"/>
    </xf>
    <xf numFmtId="2" fontId="50" fillId="0" borderId="0" xfId="0" applyNumberFormat="1" applyFont="1" applyFill="1" applyProtection="1">
      <protection hidden="1"/>
    </xf>
    <xf numFmtId="2" fontId="50" fillId="0" borderId="0" xfId="0" applyNumberFormat="1" applyFont="1" applyFill="1" applyProtection="1">
      <protection locked="0"/>
    </xf>
    <xf numFmtId="0" fontId="50" fillId="0" borderId="0" xfId="0" applyFont="1" applyFill="1" applyProtection="1">
      <protection locked="0"/>
    </xf>
    <xf numFmtId="0" fontId="50" fillId="0" borderId="1" xfId="0" applyFont="1" applyBorder="1" applyAlignment="1">
      <alignment horizontal="center"/>
    </xf>
    <xf numFmtId="2" fontId="50" fillId="0" borderId="0" xfId="0" applyNumberFormat="1" applyFont="1"/>
    <xf numFmtId="0" fontId="50" fillId="0" borderId="1" xfId="0" applyFont="1" applyFill="1" applyBorder="1" applyAlignment="1" applyProtection="1">
      <alignment horizontal="center"/>
      <protection locked="0"/>
    </xf>
    <xf numFmtId="2" fontId="50" fillId="0" borderId="1" xfId="0" applyNumberFormat="1" applyFont="1" applyBorder="1" applyAlignment="1">
      <alignment horizontal="center"/>
    </xf>
    <xf numFmtId="0" fontId="1" fillId="0" borderId="1" xfId="0" applyFont="1" applyBorder="1" applyAlignment="1">
      <alignment horizontal="center" vertical="center" wrapText="1"/>
    </xf>
    <xf numFmtId="0" fontId="50" fillId="0" borderId="0" xfId="0" applyFont="1" applyFill="1"/>
    <xf numFmtId="0" fontId="1" fillId="0" borderId="0" xfId="0" applyFont="1" applyBorder="1"/>
    <xf numFmtId="1" fontId="1" fillId="0" borderId="1" xfId="0" applyNumberFormat="1" applyFont="1" applyBorder="1" applyAlignment="1">
      <alignment horizontal="right"/>
    </xf>
    <xf numFmtId="0" fontId="2" fillId="0" borderId="1" xfId="0" applyFont="1" applyFill="1" applyBorder="1"/>
    <xf numFmtId="0" fontId="2" fillId="0" borderId="1" xfId="0" applyFont="1" applyBorder="1"/>
    <xf numFmtId="0" fontId="12" fillId="0" borderId="1" xfId="0" applyFont="1" applyBorder="1"/>
    <xf numFmtId="0" fontId="16" fillId="0" borderId="1" xfId="0" applyFont="1" applyBorder="1"/>
    <xf numFmtId="1" fontId="16" fillId="0" borderId="1" xfId="0" applyNumberFormat="1" applyFont="1" applyBorder="1" applyAlignment="1">
      <alignment horizontal="right"/>
    </xf>
    <xf numFmtId="0" fontId="16" fillId="0" borderId="0" xfId="0" applyFont="1"/>
    <xf numFmtId="0" fontId="29" fillId="0" borderId="0" xfId="0" applyFont="1" applyFill="1"/>
    <xf numFmtId="0" fontId="1" fillId="0" borderId="1" xfId="0" applyFont="1" applyFill="1" applyBorder="1"/>
    <xf numFmtId="1" fontId="2" fillId="0" borderId="0" xfId="0" applyNumberFormat="1" applyFont="1" applyBorder="1" applyAlignment="1">
      <alignment horizontal="left"/>
    </xf>
    <xf numFmtId="1" fontId="50" fillId="0" borderId="0" xfId="0" applyNumberFormat="1" applyFont="1" applyBorder="1" applyAlignment="1">
      <alignment horizontal="left"/>
    </xf>
    <xf numFmtId="0" fontId="29" fillId="0" borderId="0" xfId="0" applyFont="1"/>
    <xf numFmtId="1" fontId="50" fillId="0" borderId="1" xfId="0" applyNumberFormat="1" applyFont="1" applyBorder="1"/>
    <xf numFmtId="1" fontId="50" fillId="0" borderId="1" xfId="0" applyNumberFormat="1" applyFont="1" applyFill="1" applyBorder="1"/>
    <xf numFmtId="0" fontId="16" fillId="0" borderId="0" xfId="0" applyFont="1" applyFill="1" applyBorder="1" applyAlignment="1">
      <alignment wrapText="1"/>
    </xf>
    <xf numFmtId="1" fontId="50" fillId="5" borderId="1" xfId="0" applyNumberFormat="1" applyFont="1" applyFill="1" applyBorder="1" applyAlignment="1">
      <alignment horizontal="right"/>
    </xf>
    <xf numFmtId="1" fontId="50" fillId="0" borderId="1" xfId="0" applyNumberFormat="1" applyFont="1" applyBorder="1" applyAlignment="1">
      <alignment horizontal="right"/>
    </xf>
    <xf numFmtId="0" fontId="2" fillId="0" borderId="1" xfId="0" applyFont="1" applyFill="1" applyBorder="1" applyAlignment="1">
      <alignment horizontal="left" vertical="center" wrapText="1"/>
    </xf>
    <xf numFmtId="166" fontId="1" fillId="0" borderId="1" xfId="0" applyNumberFormat="1" applyFont="1" applyFill="1" applyBorder="1" applyAlignment="1">
      <alignment horizontal="center" vertical="center"/>
    </xf>
    <xf numFmtId="0" fontId="1" fillId="3" borderId="1" xfId="0" applyFont="1" applyFill="1" applyBorder="1" applyAlignment="1">
      <alignment horizontal="left" vertical="center"/>
    </xf>
    <xf numFmtId="165" fontId="2" fillId="0" borderId="1" xfId="0" applyNumberFormat="1" applyFont="1" applyFill="1" applyBorder="1" applyAlignment="1">
      <alignment horizontal="right"/>
    </xf>
    <xf numFmtId="165" fontId="2" fillId="0" borderId="1" xfId="0" applyNumberFormat="1" applyFont="1" applyFill="1" applyBorder="1" applyAlignment="1">
      <alignment horizontal="right" wrapText="1"/>
    </xf>
    <xf numFmtId="165" fontId="2" fillId="3" borderId="1" xfId="0" applyNumberFormat="1" applyFont="1" applyFill="1" applyBorder="1" applyAlignment="1">
      <alignment horizontal="right" wrapText="1"/>
    </xf>
    <xf numFmtId="0" fontId="30" fillId="0" borderId="0" xfId="0" applyFont="1"/>
    <xf numFmtId="165" fontId="50" fillId="0" borderId="0" xfId="0" applyNumberFormat="1" applyFont="1" applyAlignment="1">
      <alignment horizontal="left"/>
    </xf>
    <xf numFmtId="0" fontId="50" fillId="0" borderId="0" xfId="0" applyFont="1" applyFill="1" applyBorder="1"/>
    <xf numFmtId="165" fontId="50" fillId="0" borderId="1" xfId="0" applyNumberFormat="1" applyFont="1" applyFill="1" applyBorder="1" applyAlignment="1">
      <alignment horizontal="right"/>
    </xf>
    <xf numFmtId="0" fontId="1" fillId="0" borderId="1" xfId="0" applyFont="1" applyBorder="1" applyAlignment="1">
      <alignment vertical="center" wrapText="1"/>
    </xf>
    <xf numFmtId="164" fontId="2" fillId="0" borderId="1" xfId="0" applyNumberFormat="1" applyFont="1" applyBorder="1" applyAlignment="1">
      <alignment horizontal="center" vertical="center" wrapText="1"/>
    </xf>
    <xf numFmtId="164" fontId="12" fillId="0" borderId="1" xfId="0" applyNumberFormat="1" applyFont="1" applyBorder="1" applyAlignment="1">
      <alignment horizontal="center" vertical="center" wrapText="1"/>
    </xf>
    <xf numFmtId="164" fontId="50" fillId="0" borderId="0" xfId="0" applyNumberFormat="1" applyFont="1" applyAlignment="1">
      <alignment horizontal="left" wrapText="1"/>
    </xf>
    <xf numFmtId="0" fontId="1" fillId="0" borderId="0" xfId="0" applyFont="1" applyBorder="1" applyAlignment="1">
      <alignment vertical="center" wrapText="1"/>
    </xf>
    <xf numFmtId="164" fontId="50" fillId="0" borderId="0"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horizontal="right"/>
    </xf>
    <xf numFmtId="0" fontId="2" fillId="0" borderId="1" xfId="0" applyFont="1" applyBorder="1" applyAlignment="1">
      <alignment horizontal="right" wrapText="1"/>
    </xf>
    <xf numFmtId="3" fontId="28" fillId="0" borderId="1" xfId="0" applyNumberFormat="1" applyFont="1" applyBorder="1" applyAlignment="1">
      <alignment horizontal="right" wrapText="1"/>
    </xf>
    <xf numFmtId="0" fontId="2" fillId="0" borderId="1" xfId="0" applyFont="1" applyBorder="1" applyAlignment="1">
      <alignment vertical="center"/>
    </xf>
    <xf numFmtId="0" fontId="2" fillId="0" borderId="1" xfId="0" applyFont="1" applyFill="1" applyBorder="1" applyAlignment="1">
      <alignment horizontal="right" wrapText="1"/>
    </xf>
    <xf numFmtId="0" fontId="2" fillId="0" borderId="1" xfId="0" applyFont="1" applyFill="1" applyBorder="1" applyAlignment="1">
      <alignment vertical="center"/>
    </xf>
    <xf numFmtId="3" fontId="50" fillId="0" borderId="0" xfId="0" applyNumberFormat="1" applyFont="1" applyAlignment="1">
      <alignment horizontal="left" wrapText="1"/>
    </xf>
    <xf numFmtId="0" fontId="2" fillId="0" borderId="1" xfId="0" applyFont="1" applyBorder="1" applyAlignment="1">
      <alignment horizontal="left" vertical="center"/>
    </xf>
    <xf numFmtId="164" fontId="12" fillId="0" borderId="1" xfId="0" applyNumberFormat="1" applyFont="1" applyBorder="1" applyAlignment="1">
      <alignment horizontal="right" wrapText="1"/>
    </xf>
    <xf numFmtId="0" fontId="2" fillId="0" borderId="1" xfId="0" applyFont="1" applyBorder="1" applyAlignment="1">
      <alignment horizontal="left" vertical="center" wrapText="1"/>
    </xf>
    <xf numFmtId="164" fontId="2" fillId="0" borderId="1" xfId="0" applyNumberFormat="1" applyFont="1" applyBorder="1" applyAlignment="1">
      <alignment horizontal="right" wrapText="1"/>
    </xf>
    <xf numFmtId="165" fontId="50" fillId="0" borderId="0" xfId="0" applyNumberFormat="1" applyFont="1"/>
    <xf numFmtId="0" fontId="1" fillId="0" borderId="1" xfId="0" applyFont="1" applyFill="1" applyBorder="1" applyAlignment="1" applyProtection="1">
      <alignment horizontal="center" wrapText="1"/>
      <protection hidden="1"/>
    </xf>
    <xf numFmtId="0" fontId="1" fillId="0" borderId="1" xfId="0" applyFont="1" applyFill="1" applyBorder="1" applyAlignment="1" applyProtection="1">
      <alignment horizontal="center" wrapText="1"/>
      <protection locked="0"/>
    </xf>
    <xf numFmtId="2" fontId="2" fillId="0" borderId="1" xfId="0" applyNumberFormat="1" applyFont="1" applyFill="1" applyBorder="1" applyAlignment="1" applyProtection="1">
      <alignment horizontal="center"/>
      <protection hidden="1"/>
    </xf>
    <xf numFmtId="2" fontId="2" fillId="0" borderId="1" xfId="0" applyNumberFormat="1" applyFont="1" applyFill="1" applyBorder="1" applyAlignment="1" applyProtection="1">
      <alignment horizontal="center"/>
      <protection locked="0"/>
    </xf>
    <xf numFmtId="2" fontId="2" fillId="0" borderId="1" xfId="0" applyNumberFormat="1" applyFont="1" applyBorder="1" applyAlignment="1">
      <alignment horizontal="center"/>
    </xf>
    <xf numFmtId="0" fontId="31" fillId="0" borderId="0" xfId="0" applyFont="1"/>
    <xf numFmtId="0" fontId="1" fillId="0" borderId="1" xfId="0" applyFont="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center"/>
    </xf>
    <xf numFmtId="164" fontId="2" fillId="0" borderId="1" xfId="0" applyNumberFormat="1" applyFont="1" applyFill="1" applyBorder="1" applyAlignment="1">
      <alignment horizontal="right"/>
    </xf>
    <xf numFmtId="164" fontId="2" fillId="0" borderId="1" xfId="0" quotePrefix="1" applyNumberFormat="1" applyFont="1" applyFill="1" applyBorder="1" applyAlignment="1">
      <alignment horizontal="right"/>
    </xf>
    <xf numFmtId="0" fontId="4" fillId="0" borderId="0" xfId="2" applyFont="1" applyAlignment="1">
      <alignment wrapText="1"/>
    </xf>
    <xf numFmtId="0" fontId="1" fillId="0" borderId="0" xfId="0" applyFont="1" applyAlignment="1">
      <alignment wrapText="1"/>
    </xf>
    <xf numFmtId="164" fontId="16" fillId="0" borderId="1" xfId="0" applyNumberFormat="1" applyFont="1" applyBorder="1" applyAlignment="1">
      <alignment horizontal="right"/>
    </xf>
    <xf numFmtId="0" fontId="16" fillId="0" borderId="1" xfId="0" applyFont="1" applyFill="1" applyBorder="1"/>
    <xf numFmtId="164" fontId="16" fillId="0" borderId="1" xfId="0" applyNumberFormat="1" applyFont="1" applyFill="1" applyBorder="1" applyAlignment="1">
      <alignment horizontal="right"/>
    </xf>
    <xf numFmtId="0" fontId="1" fillId="0" borderId="1" xfId="0" applyFont="1" applyBorder="1" applyAlignment="1">
      <alignment horizontal="center" vertical="center"/>
    </xf>
    <xf numFmtId="166" fontId="2" fillId="2" borderId="1" xfId="0" applyNumberFormat="1" applyFont="1" applyFill="1" applyBorder="1" applyAlignment="1">
      <alignment horizontal="center"/>
    </xf>
    <xf numFmtId="0" fontId="2" fillId="2" borderId="1" xfId="0" applyNumberFormat="1" applyFont="1" applyFill="1" applyBorder="1" applyAlignment="1">
      <alignment horizontal="center"/>
    </xf>
    <xf numFmtId="0" fontId="2" fillId="2" borderId="1" xfId="0" applyFont="1" applyFill="1" applyBorder="1" applyAlignment="1">
      <alignment horizontal="center"/>
    </xf>
    <xf numFmtId="2" fontId="2" fillId="2" borderId="1" xfId="0" applyNumberFormat="1" applyFont="1" applyFill="1" applyBorder="1" applyAlignment="1">
      <alignment horizontal="center"/>
    </xf>
    <xf numFmtId="0" fontId="2" fillId="0" borderId="0" xfId="0" applyFont="1" applyFill="1" applyBorder="1"/>
    <xf numFmtId="1" fontId="2" fillId="2" borderId="1" xfId="0" applyNumberFormat="1" applyFont="1" applyFill="1" applyBorder="1" applyAlignment="1">
      <alignment horizontal="center"/>
    </xf>
    <xf numFmtId="0" fontId="50" fillId="0" borderId="0" xfId="0" applyFont="1" applyAlignment="1">
      <alignment horizontal="center"/>
    </xf>
    <xf numFmtId="0" fontId="2" fillId="0" borderId="1" xfId="0" applyFont="1" applyFill="1" applyBorder="1" applyAlignment="1">
      <alignment horizontal="center"/>
    </xf>
    <xf numFmtId="1" fontId="50" fillId="0" borderId="0" xfId="0" applyNumberFormat="1" applyFont="1" applyAlignment="1">
      <alignment horizontal="left"/>
    </xf>
    <xf numFmtId="2" fontId="5" fillId="0" borderId="1" xfId="0" applyNumberFormat="1" applyFont="1" applyFill="1" applyBorder="1" applyAlignment="1">
      <alignment horizontal="right" wrapText="1"/>
    </xf>
    <xf numFmtId="2" fontId="50" fillId="0" borderId="1" xfId="0" applyNumberFormat="1" applyFont="1" applyBorder="1"/>
    <xf numFmtId="2" fontId="1" fillId="0" borderId="1" xfId="0" applyNumberFormat="1" applyFont="1" applyBorder="1" applyAlignment="1">
      <alignment horizontal="center"/>
    </xf>
    <xf numFmtId="0" fontId="5" fillId="0" borderId="0" xfId="2" applyFont="1"/>
    <xf numFmtId="17" fontId="5" fillId="0" borderId="0" xfId="2" applyNumberFormat="1" applyFont="1" applyAlignment="1">
      <alignment horizontal="left"/>
    </xf>
    <xf numFmtId="0" fontId="2" fillId="0" borderId="0" xfId="0" applyFont="1" applyBorder="1" applyAlignment="1">
      <alignment horizontal="center" wrapText="1"/>
    </xf>
    <xf numFmtId="17" fontId="2" fillId="0" borderId="1" xfId="0" applyNumberFormat="1" applyFont="1" applyBorder="1" applyAlignment="1">
      <alignment horizontal="center"/>
    </xf>
    <xf numFmtId="0" fontId="50" fillId="0" borderId="0" xfId="0" applyFont="1" applyAlignment="1">
      <alignment horizontal="left" indent="1"/>
    </xf>
    <xf numFmtId="0" fontId="50" fillId="0" borderId="0" xfId="0" applyFont="1" applyAlignment="1">
      <alignment horizontal="left" indent="2"/>
    </xf>
    <xf numFmtId="166" fontId="1" fillId="3" borderId="1" xfId="0" applyNumberFormat="1" applyFont="1" applyFill="1" applyBorder="1" applyAlignment="1">
      <alignment horizontal="center" vertical="center"/>
    </xf>
    <xf numFmtId="3" fontId="2" fillId="0" borderId="1" xfId="0" applyNumberFormat="1" applyFont="1" applyBorder="1" applyAlignment="1">
      <alignment horizontal="right" wrapText="1"/>
    </xf>
    <xf numFmtId="0" fontId="50" fillId="0" borderId="9" xfId="0" applyFont="1" applyBorder="1"/>
    <xf numFmtId="0" fontId="12" fillId="0" borderId="1" xfId="0" applyFont="1" applyBorder="1" applyAlignment="1">
      <alignment vertical="center"/>
    </xf>
    <xf numFmtId="3" fontId="12" fillId="0" borderId="1" xfId="0" applyNumberFormat="1" applyFont="1" applyBorder="1" applyAlignment="1">
      <alignment horizontal="right" wrapText="1"/>
    </xf>
    <xf numFmtId="0" fontId="2" fillId="0" borderId="1" xfId="0" applyFont="1" applyBorder="1" applyAlignment="1">
      <alignment horizontal="center" vertical="center" wrapText="1"/>
    </xf>
    <xf numFmtId="0" fontId="2" fillId="0" borderId="17" xfId="0" applyFont="1" applyBorder="1"/>
    <xf numFmtId="164" fontId="2" fillId="0" borderId="1" xfId="10" applyNumberFormat="1" applyFont="1" applyBorder="1" applyAlignment="1">
      <alignment horizontal="right" wrapText="1"/>
    </xf>
    <xf numFmtId="0" fontId="2" fillId="0" borderId="0" xfId="0" applyFont="1" applyBorder="1" applyAlignment="1">
      <alignment vertical="center"/>
    </xf>
    <xf numFmtId="3" fontId="2" fillId="0" borderId="0" xfId="0" applyNumberFormat="1" applyFont="1" applyBorder="1" applyAlignment="1">
      <alignment horizontal="right"/>
    </xf>
    <xf numFmtId="3" fontId="2" fillId="0" borderId="0" xfId="0" applyNumberFormat="1" applyFont="1" applyBorder="1" applyAlignment="1">
      <alignment horizontal="right" wrapText="1"/>
    </xf>
    <xf numFmtId="0" fontId="2" fillId="0" borderId="0" xfId="0" applyFont="1" applyBorder="1" applyAlignment="1">
      <alignment horizontal="right" wrapText="1"/>
    </xf>
    <xf numFmtId="164" fontId="2" fillId="0" borderId="1" xfId="0" applyNumberFormat="1" applyFont="1" applyBorder="1" applyAlignment="1">
      <alignment horizontal="center" vertical="center"/>
    </xf>
    <xf numFmtId="0" fontId="29" fillId="0" borderId="0" xfId="2" applyFont="1"/>
    <xf numFmtId="164" fontId="2" fillId="0" borderId="0" xfId="0" applyNumberFormat="1" applyFont="1"/>
    <xf numFmtId="0" fontId="44" fillId="0" borderId="0" xfId="2" applyFont="1"/>
    <xf numFmtId="3" fontId="2" fillId="0" borderId="1" xfId="0" applyNumberFormat="1" applyFont="1" applyFill="1" applyBorder="1" applyAlignment="1">
      <alignment horizontal="left"/>
    </xf>
    <xf numFmtId="3" fontId="2" fillId="3" borderId="1" xfId="0" applyNumberFormat="1" applyFont="1" applyFill="1" applyBorder="1" applyAlignment="1">
      <alignment horizontal="right" wrapText="1"/>
    </xf>
    <xf numFmtId="3" fontId="2" fillId="0" borderId="1" xfId="0" applyNumberFormat="1" applyFont="1" applyFill="1" applyBorder="1" applyAlignment="1">
      <alignment horizontal="right"/>
    </xf>
    <xf numFmtId="3" fontId="2" fillId="0" borderId="1" xfId="0" applyNumberFormat="1" applyFont="1" applyFill="1" applyBorder="1" applyAlignment="1">
      <alignment horizontal="right" wrapText="1"/>
    </xf>
    <xf numFmtId="3" fontId="12" fillId="3" borderId="1" xfId="0" applyNumberFormat="1" applyFont="1" applyFill="1" applyBorder="1" applyAlignment="1">
      <alignment horizontal="right"/>
    </xf>
    <xf numFmtId="3" fontId="12" fillId="3" borderId="1" xfId="0" applyNumberFormat="1" applyFont="1" applyFill="1" applyBorder="1" applyAlignment="1">
      <alignment horizontal="right" wrapText="1"/>
    </xf>
    <xf numFmtId="165" fontId="2" fillId="0" borderId="1" xfId="0" applyNumberFormat="1" applyFont="1" applyFill="1" applyBorder="1" applyAlignment="1">
      <alignment horizontal="center"/>
    </xf>
    <xf numFmtId="0" fontId="1" fillId="0" borderId="0" xfId="0" applyFont="1" applyAlignment="1">
      <alignment horizontal="left" readingOrder="1"/>
    </xf>
    <xf numFmtId="0" fontId="19" fillId="0" borderId="0" xfId="0" applyFont="1"/>
    <xf numFmtId="0" fontId="1" fillId="0" borderId="0" xfId="0" applyFont="1" applyFill="1" applyBorder="1" applyAlignment="1">
      <alignment wrapText="1"/>
    </xf>
    <xf numFmtId="164" fontId="2" fillId="0" borderId="0" xfId="0" applyNumberFormat="1" applyFont="1" applyFill="1" applyBorder="1" applyAlignment="1">
      <alignment horizontal="right"/>
    </xf>
    <xf numFmtId="0" fontId="1" fillId="0" borderId="0" xfId="0" applyFont="1" applyAlignment="1">
      <alignment horizontal="right" vertical="center" readingOrder="1"/>
    </xf>
    <xf numFmtId="0" fontId="2" fillId="0" borderId="0" xfId="0" applyFont="1" applyAlignment="1">
      <alignment horizontal="left" wrapText="1"/>
    </xf>
    <xf numFmtId="0" fontId="5" fillId="0" borderId="0" xfId="2" applyFont="1" applyFill="1"/>
    <xf numFmtId="0" fontId="1" fillId="0" borderId="1" xfId="0" applyFont="1" applyFill="1" applyBorder="1" applyAlignment="1">
      <alignment wrapText="1"/>
    </xf>
    <xf numFmtId="9" fontId="50" fillId="0" borderId="0" xfId="0" applyNumberFormat="1" applyFont="1" applyBorder="1"/>
    <xf numFmtId="9" fontId="50" fillId="0" borderId="0" xfId="0" applyNumberFormat="1" applyFont="1"/>
    <xf numFmtId="2" fontId="12" fillId="0" borderId="1" xfId="0" applyNumberFormat="1" applyFont="1" applyBorder="1" applyAlignment="1">
      <alignment wrapText="1"/>
    </xf>
    <xf numFmtId="0" fontId="45" fillId="0" borderId="0" xfId="0" applyFont="1"/>
    <xf numFmtId="10" fontId="12" fillId="0" borderId="1" xfId="0" applyNumberFormat="1" applyFont="1" applyBorder="1" applyAlignment="1">
      <alignment horizontal="right"/>
    </xf>
    <xf numFmtId="10" fontId="12" fillId="0" borderId="1" xfId="9" applyNumberFormat="1" applyFont="1" applyBorder="1" applyAlignment="1">
      <alignment horizontal="right"/>
    </xf>
    <xf numFmtId="10" fontId="50" fillId="0" borderId="0" xfId="0" applyNumberFormat="1" applyFont="1" applyAlignment="1">
      <alignment horizontal="left"/>
    </xf>
    <xf numFmtId="10" fontId="2" fillId="0" borderId="1" xfId="0" applyNumberFormat="1" applyFont="1" applyFill="1" applyBorder="1" applyAlignment="1">
      <alignment horizontal="right"/>
    </xf>
    <xf numFmtId="10" fontId="50" fillId="0" borderId="1" xfId="0" applyNumberFormat="1" applyFont="1" applyBorder="1" applyAlignment="1">
      <alignment horizontal="right"/>
    </xf>
    <xf numFmtId="0" fontId="12" fillId="0" borderId="1" xfId="0" applyFont="1" applyFill="1" applyBorder="1" applyAlignment="1">
      <alignment horizontal="right"/>
    </xf>
    <xf numFmtId="0" fontId="12" fillId="0" borderId="1" xfId="0" applyFont="1" applyBorder="1" applyAlignment="1">
      <alignment horizontal="right"/>
    </xf>
    <xf numFmtId="1" fontId="28" fillId="0" borderId="1" xfId="0" applyNumberFormat="1" applyFont="1" applyFill="1" applyBorder="1" applyAlignment="1">
      <alignment horizontal="right"/>
    </xf>
    <xf numFmtId="0" fontId="5" fillId="0" borderId="0" xfId="0" applyFont="1" applyFill="1" applyAlignment="1">
      <alignment horizontal="left"/>
    </xf>
    <xf numFmtId="17" fontId="50" fillId="0" borderId="0" xfId="0" applyNumberFormat="1" applyFont="1" applyFill="1" applyAlignment="1">
      <alignment horizontal="left"/>
    </xf>
    <xf numFmtId="0" fontId="16" fillId="0" borderId="0" xfId="0" applyFont="1" applyFill="1" applyBorder="1" applyAlignment="1">
      <alignment horizontal="right"/>
    </xf>
    <xf numFmtId="0" fontId="2" fillId="0" borderId="0" xfId="0" applyFont="1" applyFill="1" applyBorder="1" applyAlignment="1">
      <alignment horizontal="right"/>
    </xf>
    <xf numFmtId="0" fontId="2" fillId="0" borderId="0" xfId="0" applyFont="1" applyFill="1" applyBorder="1" applyAlignment="1">
      <alignment wrapText="1"/>
    </xf>
    <xf numFmtId="0" fontId="2" fillId="0" borderId="0" xfId="0" applyFont="1" applyAlignment="1"/>
    <xf numFmtId="10" fontId="2" fillId="0" borderId="0" xfId="0" applyNumberFormat="1" applyFont="1" applyAlignment="1"/>
    <xf numFmtId="164" fontId="17" fillId="0" borderId="0" xfId="0" applyNumberFormat="1" applyFont="1" applyBorder="1" applyAlignment="1">
      <alignment horizontal="center"/>
    </xf>
    <xf numFmtId="165" fontId="2" fillId="0" borderId="0" xfId="0" applyNumberFormat="1" applyFont="1"/>
    <xf numFmtId="167" fontId="2" fillId="0" borderId="0" xfId="0" applyNumberFormat="1" applyFont="1"/>
    <xf numFmtId="164" fontId="5" fillId="0" borderId="0" xfId="2" applyNumberFormat="1" applyFont="1" applyAlignment="1">
      <alignment horizontal="left"/>
    </xf>
    <xf numFmtId="0" fontId="50" fillId="0" borderId="0" xfId="0" applyFont="1" applyAlignment="1"/>
    <xf numFmtId="0" fontId="39" fillId="0" borderId="0" xfId="0" applyFont="1"/>
    <xf numFmtId="0" fontId="1" fillId="0" borderId="0" xfId="0" applyFont="1" applyAlignment="1">
      <alignment horizontal="center"/>
    </xf>
    <xf numFmtId="17" fontId="50" fillId="0" borderId="0" xfId="0" applyNumberFormat="1" applyFont="1" applyAlignment="1">
      <alignment horizontal="center"/>
    </xf>
    <xf numFmtId="15" fontId="50" fillId="0" borderId="0" xfId="0" applyNumberFormat="1" applyFont="1" applyAlignment="1">
      <alignment horizontal="center"/>
    </xf>
    <xf numFmtId="0" fontId="49" fillId="0" borderId="0" xfId="2" applyFont="1" applyAlignment="1">
      <alignment horizontal="center"/>
    </xf>
    <xf numFmtId="0" fontId="50" fillId="0" borderId="0" xfId="0" applyFont="1" applyAlignment="1">
      <alignment horizontal="center" wrapText="1"/>
    </xf>
    <xf numFmtId="0" fontId="2" fillId="0" borderId="0" xfId="0" applyFont="1" applyFill="1" applyAlignment="1">
      <alignment horizontal="center"/>
    </xf>
    <xf numFmtId="0" fontId="2" fillId="5" borderId="0" xfId="0" applyFont="1" applyFill="1"/>
    <xf numFmtId="1" fontId="1" fillId="0" borderId="0" xfId="0" applyNumberFormat="1" applyFont="1" applyBorder="1" applyAlignment="1">
      <alignment horizontal="right"/>
    </xf>
    <xf numFmtId="0" fontId="12" fillId="0" borderId="1" xfId="0" applyFont="1" applyBorder="1" applyAlignment="1">
      <alignment horizontal="center"/>
    </xf>
    <xf numFmtId="0" fontId="12" fillId="0" borderId="1" xfId="0" applyFont="1" applyBorder="1" applyAlignment="1">
      <alignment horizontal="center" wrapText="1"/>
    </xf>
    <xf numFmtId="0" fontId="12" fillId="0" borderId="1" xfId="0" applyFont="1" applyBorder="1" applyAlignment="1">
      <alignment horizontal="right" wrapText="1"/>
    </xf>
    <xf numFmtId="0" fontId="51" fillId="0" borderId="1" xfId="0" applyFont="1" applyBorder="1"/>
    <xf numFmtId="0" fontId="51" fillId="0" borderId="1" xfId="0" applyFont="1" applyBorder="1" applyAlignment="1">
      <alignment wrapText="1"/>
    </xf>
    <xf numFmtId="0" fontId="4" fillId="0" borderId="1" xfId="0" applyFont="1" applyBorder="1" applyAlignment="1">
      <alignment horizontal="left"/>
    </xf>
    <xf numFmtId="3" fontId="5" fillId="0" borderId="1" xfId="2" applyNumberFormat="1" applyFont="1" applyBorder="1" applyAlignment="1">
      <alignment horizontal="right" wrapText="1"/>
    </xf>
    <xf numFmtId="3" fontId="5" fillId="0" borderId="1" xfId="0" applyNumberFormat="1" applyFont="1" applyBorder="1" applyAlignment="1">
      <alignment horizontal="right" wrapText="1"/>
    </xf>
    <xf numFmtId="164" fontId="53" fillId="0" borderId="1" xfId="0" applyNumberFormat="1" applyFont="1" applyBorder="1" applyAlignment="1">
      <alignment horizontal="right" wrapText="1"/>
    </xf>
    <xf numFmtId="170" fontId="5" fillId="0" borderId="1" xfId="1" applyNumberFormat="1" applyFont="1" applyBorder="1" applyAlignment="1">
      <alignment horizontal="right" wrapText="1"/>
    </xf>
    <xf numFmtId="0" fontId="50" fillId="0" borderId="0" xfId="0" applyNumberFormat="1" applyFont="1" applyFill="1" applyAlignment="1">
      <alignment horizontal="left"/>
    </xf>
    <xf numFmtId="9" fontId="5" fillId="0" borderId="0" xfId="0" applyNumberFormat="1" applyFont="1" applyAlignment="1">
      <alignment horizontal="left"/>
    </xf>
    <xf numFmtId="165" fontId="5" fillId="0" borderId="0" xfId="0" applyNumberFormat="1" applyFont="1" applyAlignment="1">
      <alignment horizontal="left"/>
    </xf>
    <xf numFmtId="0" fontId="0" fillId="0" borderId="0" xfId="0" applyNumberFormat="1" applyAlignment="1">
      <alignment horizontal="left"/>
    </xf>
    <xf numFmtId="0" fontId="1" fillId="0" borderId="0" xfId="0" applyFont="1" applyFill="1" applyBorder="1" applyAlignment="1">
      <alignment horizontal="left" vertical="center"/>
    </xf>
    <xf numFmtId="0" fontId="36" fillId="10" borderId="2" xfId="0" applyFont="1" applyFill="1" applyBorder="1" applyAlignment="1">
      <alignment horizontal="center" vertical="center" wrapText="1"/>
    </xf>
    <xf numFmtId="0" fontId="26" fillId="10"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63" fillId="0" borderId="0" xfId="2" applyAlignment="1">
      <alignment horizontal="center"/>
    </xf>
    <xf numFmtId="0" fontId="55" fillId="0" borderId="1" xfId="0" applyFont="1" applyBorder="1" applyAlignment="1">
      <alignment horizontal="right" wrapText="1"/>
    </xf>
    <xf numFmtId="0" fontId="6" fillId="3" borderId="4" xfId="0" applyFont="1" applyFill="1" applyBorder="1" applyAlignment="1">
      <alignment horizontal="left" vertical="center"/>
    </xf>
    <xf numFmtId="10" fontId="50" fillId="0" borderId="0" xfId="0" applyNumberFormat="1" applyFont="1"/>
    <xf numFmtId="2" fontId="1" fillId="0" borderId="0" xfId="0" applyNumberFormat="1" applyFont="1" applyBorder="1" applyAlignment="1">
      <alignment horizontal="center"/>
    </xf>
    <xf numFmtId="2" fontId="20" fillId="0" borderId="5" xfId="0" applyNumberFormat="1" applyFont="1" applyFill="1" applyBorder="1" applyAlignment="1">
      <alignment horizontal="center" vertical="center" wrapText="1"/>
    </xf>
    <xf numFmtId="0" fontId="51" fillId="3" borderId="1" xfId="0" applyFont="1" applyFill="1" applyBorder="1" applyAlignment="1">
      <alignment horizontal="left" vertical="center"/>
    </xf>
    <xf numFmtId="165" fontId="51" fillId="0" borderId="1" xfId="0" applyNumberFormat="1" applyFont="1" applyFill="1" applyBorder="1" applyAlignment="1">
      <alignment horizontal="right"/>
    </xf>
    <xf numFmtId="165" fontId="51" fillId="0" borderId="1" xfId="0" applyNumberFormat="1" applyFont="1" applyFill="1" applyBorder="1" applyAlignment="1">
      <alignment horizontal="right" wrapText="1"/>
    </xf>
    <xf numFmtId="165" fontId="51" fillId="3" borderId="1" xfId="0" applyNumberFormat="1" applyFont="1" applyFill="1" applyBorder="1" applyAlignment="1">
      <alignment horizontal="right" wrapText="1"/>
    </xf>
    <xf numFmtId="0" fontId="51" fillId="0" borderId="0" xfId="0" applyFont="1"/>
    <xf numFmtId="1" fontId="1" fillId="0" borderId="1" xfId="0" applyNumberFormat="1" applyFont="1" applyBorder="1" applyAlignment="1">
      <alignment horizontal="right" wrapText="1"/>
    </xf>
    <xf numFmtId="0" fontId="56" fillId="0" borderId="1" xfId="0" applyFont="1" applyBorder="1"/>
    <xf numFmtId="164" fontId="56" fillId="0" borderId="1" xfId="0" applyNumberFormat="1" applyFont="1" applyBorder="1"/>
    <xf numFmtId="0" fontId="50" fillId="0" borderId="1" xfId="0" applyFont="1" applyFill="1" applyBorder="1"/>
    <xf numFmtId="0" fontId="50" fillId="0" borderId="1" xfId="0" applyFont="1" applyFill="1" applyBorder="1" applyAlignment="1">
      <alignment horizontal="center"/>
    </xf>
    <xf numFmtId="0" fontId="55" fillId="0" borderId="1" xfId="0" applyFont="1" applyBorder="1" applyAlignment="1">
      <alignment vertical="center" wrapText="1"/>
    </xf>
    <xf numFmtId="3" fontId="55" fillId="0" borderId="1" xfId="0" applyNumberFormat="1" applyFont="1" applyBorder="1" applyAlignment="1">
      <alignment horizontal="right"/>
    </xf>
    <xf numFmtId="3" fontId="55" fillId="0" borderId="1" xfId="0" applyNumberFormat="1" applyFont="1" applyBorder="1" applyAlignment="1">
      <alignment horizontal="right" wrapText="1"/>
    </xf>
    <xf numFmtId="0" fontId="55" fillId="0" borderId="1" xfId="0" applyFont="1" applyBorder="1" applyAlignment="1">
      <alignment horizontal="right"/>
    </xf>
    <xf numFmtId="0" fontId="55" fillId="0" borderId="1" xfId="0" applyFont="1" applyFill="1" applyBorder="1" applyAlignment="1">
      <alignment horizontal="right" wrapText="1"/>
    </xf>
    <xf numFmtId="0" fontId="57" fillId="0" borderId="1" xfId="0" applyFont="1" applyBorder="1" applyAlignment="1">
      <alignment vertical="center" wrapText="1"/>
    </xf>
    <xf numFmtId="3" fontId="57" fillId="0" borderId="1" xfId="0" applyNumberFormat="1" applyFont="1" applyBorder="1" applyAlignment="1">
      <alignment horizontal="right"/>
    </xf>
    <xf numFmtId="0" fontId="54" fillId="0" borderId="0" xfId="0" applyFont="1" applyFill="1"/>
    <xf numFmtId="17" fontId="6" fillId="0" borderId="4" xfId="0" applyNumberFormat="1" applyFont="1" applyBorder="1" applyAlignment="1">
      <alignment horizontal="center" vertical="center" wrapText="1"/>
    </xf>
    <xf numFmtId="0" fontId="48" fillId="0" borderId="2" xfId="0" applyFont="1" applyBorder="1" applyAlignment="1">
      <alignment horizontal="center" vertical="center" wrapText="1"/>
    </xf>
    <xf numFmtId="0" fontId="48" fillId="0" borderId="2" xfId="0" applyFont="1" applyFill="1" applyBorder="1" applyAlignment="1">
      <alignment horizontal="center" vertical="center" wrapText="1"/>
    </xf>
    <xf numFmtId="0" fontId="48" fillId="0" borderId="2" xfId="0" applyFont="1" applyBorder="1" applyAlignment="1">
      <alignment horizontal="center" vertical="center"/>
    </xf>
    <xf numFmtId="0" fontId="48" fillId="3" borderId="2" xfId="0" applyFont="1" applyFill="1" applyBorder="1" applyAlignment="1">
      <alignment horizontal="center" vertical="center" wrapText="1"/>
    </xf>
    <xf numFmtId="0" fontId="48" fillId="0" borderId="16" xfId="0" applyFont="1" applyBorder="1" applyAlignment="1">
      <alignment horizontal="center" vertical="center" wrapText="1"/>
    </xf>
    <xf numFmtId="166" fontId="48" fillId="0" borderId="2" xfId="0" applyNumberFormat="1" applyFont="1" applyBorder="1" applyAlignment="1">
      <alignment horizontal="center" vertical="center" wrapText="1"/>
    </xf>
    <xf numFmtId="17" fontId="48" fillId="3" borderId="5" xfId="0" applyNumberFormat="1" applyFont="1" applyFill="1" applyBorder="1" applyAlignment="1">
      <alignment horizontal="center" vertical="center" wrapText="1"/>
    </xf>
    <xf numFmtId="17" fontId="48" fillId="3" borderId="2" xfId="0" applyNumberFormat="1" applyFont="1" applyFill="1" applyBorder="1" applyAlignment="1">
      <alignment horizontal="center" vertical="center" wrapText="1"/>
    </xf>
    <xf numFmtId="166" fontId="48" fillId="3" borderId="2" xfId="0" applyNumberFormat="1" applyFont="1" applyFill="1" applyBorder="1" applyAlignment="1">
      <alignment horizontal="center" vertical="center" wrapText="1"/>
    </xf>
    <xf numFmtId="166" fontId="48" fillId="0" borderId="6" xfId="0" applyNumberFormat="1" applyFont="1" applyFill="1" applyBorder="1" applyAlignment="1">
      <alignment horizontal="center" vertical="center"/>
    </xf>
    <xf numFmtId="0" fontId="48" fillId="0" borderId="16" xfId="0" applyFont="1" applyFill="1" applyBorder="1" applyAlignment="1">
      <alignment horizontal="center" vertical="center"/>
    </xf>
    <xf numFmtId="17" fontId="48" fillId="0" borderId="5" xfId="0" applyNumberFormat="1" applyFont="1" applyBorder="1" applyAlignment="1">
      <alignment horizontal="center" vertical="center" wrapText="1"/>
    </xf>
    <xf numFmtId="17" fontId="48" fillId="0" borderId="5" xfId="0" applyNumberFormat="1" applyFont="1" applyFill="1" applyBorder="1" applyAlignment="1">
      <alignment horizontal="center" vertical="center" wrapText="1"/>
    </xf>
    <xf numFmtId="166" fontId="48" fillId="0" borderId="2" xfId="0" applyNumberFormat="1" applyFont="1" applyFill="1" applyBorder="1" applyAlignment="1">
      <alignment horizontal="center" vertical="center" wrapText="1"/>
    </xf>
    <xf numFmtId="0" fontId="48" fillId="0" borderId="12" xfId="0" applyFont="1" applyFill="1" applyBorder="1" applyAlignment="1">
      <alignment horizontal="center" vertical="center"/>
    </xf>
    <xf numFmtId="166" fontId="48" fillId="0" borderId="2" xfId="0" applyNumberFormat="1" applyFont="1" applyFill="1" applyBorder="1" applyAlignment="1">
      <alignment horizontal="center" vertical="center"/>
    </xf>
    <xf numFmtId="17" fontId="48" fillId="0" borderId="3" xfId="0" applyNumberFormat="1" applyFont="1" applyBorder="1" applyAlignment="1">
      <alignment horizontal="center" vertical="center" wrapText="1"/>
    </xf>
    <xf numFmtId="0" fontId="48" fillId="3" borderId="3" xfId="0" applyFont="1" applyFill="1" applyBorder="1" applyAlignment="1">
      <alignment horizontal="center" vertical="center"/>
    </xf>
    <xf numFmtId="166" fontId="48" fillId="3" borderId="2" xfId="0" applyNumberFormat="1" applyFont="1" applyFill="1" applyBorder="1" applyAlignment="1">
      <alignment horizontal="center" vertical="center"/>
    </xf>
    <xf numFmtId="0" fontId="48" fillId="0" borderId="3" xfId="0" applyFont="1" applyFill="1" applyBorder="1" applyAlignment="1">
      <alignment horizontal="center" vertical="center"/>
    </xf>
    <xf numFmtId="170" fontId="2" fillId="0" borderId="13" xfId="1" applyNumberFormat="1" applyFont="1" applyBorder="1" applyAlignment="1">
      <alignment horizontal="right" vertical="center" wrapText="1"/>
    </xf>
    <xf numFmtId="164" fontId="4" fillId="0" borderId="1" xfId="0" applyNumberFormat="1" applyFont="1" applyBorder="1" applyAlignment="1">
      <alignment horizontal="right"/>
    </xf>
    <xf numFmtId="3" fontId="2" fillId="0" borderId="0" xfId="0" applyNumberFormat="1" applyFont="1" applyFill="1" applyBorder="1" applyAlignment="1">
      <alignment horizontal="right"/>
    </xf>
    <xf numFmtId="0" fontId="51" fillId="0" borderId="0" xfId="0" applyNumberFormat="1" applyFont="1"/>
    <xf numFmtId="3" fontId="2" fillId="3" borderId="9" xfId="0" applyNumberFormat="1" applyFont="1" applyFill="1" applyBorder="1" applyAlignment="1">
      <alignment horizontal="center"/>
    </xf>
    <xf numFmtId="164" fontId="5" fillId="0" borderId="1" xfId="0" applyNumberFormat="1" applyFont="1" applyBorder="1" applyAlignment="1">
      <alignment horizontal="right"/>
    </xf>
    <xf numFmtId="164" fontId="5" fillId="0" borderId="1" xfId="0" applyNumberFormat="1" applyFont="1" applyBorder="1" applyAlignment="1">
      <alignment horizontal="right" wrapText="1"/>
    </xf>
    <xf numFmtId="17" fontId="6" fillId="3" borderId="4" xfId="0" applyNumberFormat="1" applyFont="1" applyFill="1" applyBorder="1" applyAlignment="1">
      <alignment horizontal="center" vertical="center" wrapText="1"/>
    </xf>
    <xf numFmtId="0" fontId="56" fillId="0" borderId="0" xfId="0" applyFont="1" applyFill="1"/>
    <xf numFmtId="17" fontId="2" fillId="0" borderId="0" xfId="0" applyNumberFormat="1" applyFont="1" applyAlignment="1">
      <alignment horizontal="left"/>
    </xf>
    <xf numFmtId="3" fontId="50" fillId="0" borderId="1" xfId="0" applyNumberFormat="1" applyFont="1" applyFill="1" applyBorder="1" applyAlignment="1">
      <alignment horizontal="right"/>
    </xf>
    <xf numFmtId="0" fontId="16" fillId="0" borderId="0" xfId="0" applyFont="1" applyBorder="1" applyAlignment="1">
      <alignment horizontal="center"/>
    </xf>
    <xf numFmtId="0" fontId="16" fillId="0" borderId="0" xfId="0" applyFont="1" applyBorder="1" applyAlignment="1">
      <alignment horizontal="right"/>
    </xf>
    <xf numFmtId="0" fontId="50" fillId="11" borderId="0" xfId="0" applyFont="1" applyFill="1"/>
    <xf numFmtId="1" fontId="50" fillId="0" borderId="1" xfId="0" applyNumberFormat="1" applyFont="1" applyFill="1" applyBorder="1" applyAlignment="1">
      <alignment horizontal="right"/>
    </xf>
    <xf numFmtId="1" fontId="50" fillId="11" borderId="1" xfId="0" applyNumberFormat="1" applyFont="1" applyFill="1" applyBorder="1" applyAlignment="1">
      <alignment horizontal="right"/>
    </xf>
    <xf numFmtId="3" fontId="50" fillId="11" borderId="1" xfId="0" applyNumberFormat="1" applyFont="1" applyFill="1" applyBorder="1" applyAlignment="1">
      <alignment horizontal="right"/>
    </xf>
    <xf numFmtId="3" fontId="50" fillId="12" borderId="1" xfId="0" applyNumberFormat="1" applyFont="1" applyFill="1" applyBorder="1" applyAlignment="1">
      <alignment horizontal="right"/>
    </xf>
    <xf numFmtId="0" fontId="65" fillId="12" borderId="0" xfId="0" applyFont="1" applyFill="1"/>
    <xf numFmtId="2" fontId="2" fillId="0" borderId="1" xfId="0" applyNumberFormat="1" applyFont="1" applyFill="1" applyBorder="1" applyAlignment="1">
      <alignment horizontal="center"/>
    </xf>
    <xf numFmtId="17" fontId="6" fillId="3" borderId="5" xfId="0" applyNumberFormat="1" applyFont="1" applyFill="1" applyBorder="1" applyAlignment="1">
      <alignment horizontal="center" vertical="center" wrapText="1"/>
    </xf>
    <xf numFmtId="164" fontId="4" fillId="0" borderId="1" xfId="0" applyNumberFormat="1" applyFont="1" applyBorder="1" applyAlignment="1">
      <alignment horizontal="right" wrapText="1"/>
    </xf>
    <xf numFmtId="0" fontId="66" fillId="0" borderId="0" xfId="2" applyFont="1"/>
    <xf numFmtId="0" fontId="67" fillId="0" borderId="0" xfId="0" applyFont="1"/>
    <xf numFmtId="0" fontId="67" fillId="0" borderId="1" xfId="0" applyFont="1" applyBorder="1"/>
    <xf numFmtId="164" fontId="67" fillId="0" borderId="1" xfId="0" applyNumberFormat="1" applyFont="1" applyBorder="1" applyAlignment="1">
      <alignment horizontal="right"/>
    </xf>
    <xf numFmtId="0" fontId="67" fillId="0" borderId="1" xfId="0" applyFont="1" applyBorder="1" applyAlignment="1">
      <alignment vertical="center"/>
    </xf>
    <xf numFmtId="3" fontId="67" fillId="0" borderId="1" xfId="0" applyNumberFormat="1" applyFont="1" applyBorder="1" applyAlignment="1">
      <alignment horizontal="right"/>
    </xf>
    <xf numFmtId="164" fontId="2" fillId="0" borderId="0" xfId="0" applyNumberFormat="1" applyFont="1" applyAlignment="1">
      <alignment horizontal="left"/>
    </xf>
    <xf numFmtId="0" fontId="2" fillId="0" borderId="0" xfId="0" applyNumberFormat="1" applyFont="1" applyAlignment="1">
      <alignment horizontal="left"/>
    </xf>
    <xf numFmtId="0" fontId="70" fillId="0" borderId="0" xfId="0" applyFont="1"/>
    <xf numFmtId="0" fontId="71" fillId="0" borderId="0" xfId="0" applyFont="1"/>
    <xf numFmtId="0" fontId="62" fillId="0" borderId="0" xfId="0" applyFont="1"/>
    <xf numFmtId="0" fontId="2" fillId="0" borderId="0" xfId="0" applyNumberFormat="1" applyFont="1"/>
    <xf numFmtId="0" fontId="23" fillId="3" borderId="0" xfId="0" applyNumberFormat="1" applyFont="1" applyFill="1"/>
    <xf numFmtId="0" fontId="23" fillId="0" borderId="0" xfId="0" applyNumberFormat="1" applyFont="1"/>
    <xf numFmtId="164" fontId="72" fillId="0" borderId="1" xfId="0" applyNumberFormat="1" applyFont="1" applyBorder="1" applyAlignment="1">
      <alignment horizontal="right"/>
    </xf>
    <xf numFmtId="0" fontId="73" fillId="0" borderId="1" xfId="0" applyFont="1" applyBorder="1" applyAlignment="1">
      <alignment horizontal="right"/>
    </xf>
    <xf numFmtId="1" fontId="65" fillId="0" borderId="1" xfId="0" applyNumberFormat="1" applyFont="1" applyBorder="1" applyAlignment="1">
      <alignment horizontal="right"/>
    </xf>
    <xf numFmtId="2" fontId="68" fillId="0" borderId="1" xfId="0" applyNumberFormat="1" applyFont="1" applyFill="1" applyBorder="1" applyAlignment="1">
      <alignment horizontal="center"/>
    </xf>
    <xf numFmtId="0" fontId="2" fillId="0" borderId="0" xfId="0" applyFont="1" applyFill="1"/>
    <xf numFmtId="0" fontId="65" fillId="0" borderId="0" xfId="0" applyFont="1" applyFill="1"/>
    <xf numFmtId="0" fontId="65" fillId="0" borderId="0" xfId="0" applyFont="1"/>
    <xf numFmtId="166" fontId="76" fillId="0" borderId="1" xfId="0" applyNumberFormat="1" applyFont="1" applyFill="1" applyBorder="1" applyAlignment="1" applyProtection="1">
      <alignment horizontal="center"/>
      <protection locked="0"/>
    </xf>
    <xf numFmtId="2" fontId="68" fillId="0" borderId="1" xfId="0" applyNumberFormat="1" applyFont="1" applyFill="1" applyBorder="1" applyAlignment="1" applyProtection="1">
      <alignment horizontal="center"/>
      <protection hidden="1"/>
    </xf>
    <xf numFmtId="0" fontId="77" fillId="0" borderId="0" xfId="0" applyFont="1" applyBorder="1"/>
    <xf numFmtId="0" fontId="77" fillId="0" borderId="0" xfId="0" applyFont="1"/>
    <xf numFmtId="9" fontId="6" fillId="3" borderId="4" xfId="0" applyNumberFormat="1" applyFont="1" applyFill="1" applyBorder="1" applyAlignment="1">
      <alignment horizontal="left" vertical="center"/>
    </xf>
    <xf numFmtId="169" fontId="81" fillId="8" borderId="10" xfId="0" applyNumberFormat="1" applyFont="1" applyFill="1" applyBorder="1" applyAlignment="1">
      <alignment horizontal="right" vertical="center" wrapText="1"/>
    </xf>
    <xf numFmtId="0" fontId="68" fillId="0" borderId="0" xfId="0" applyFont="1" applyFill="1"/>
    <xf numFmtId="3" fontId="2" fillId="0" borderId="0" xfId="0" applyNumberFormat="1" applyFont="1" applyBorder="1"/>
    <xf numFmtId="0" fontId="55" fillId="0" borderId="0" xfId="0" applyFont="1" applyBorder="1" applyAlignment="1">
      <alignment vertical="center" wrapText="1"/>
    </xf>
    <xf numFmtId="0" fontId="28" fillId="0" borderId="0" xfId="0" applyFont="1" applyBorder="1" applyAlignment="1">
      <alignment vertical="center" wrapText="1"/>
    </xf>
    <xf numFmtId="164" fontId="83" fillId="0" borderId="1" xfId="0" applyNumberFormat="1" applyFont="1" applyBorder="1" applyAlignment="1">
      <alignment horizontal="right"/>
    </xf>
    <xf numFmtId="164" fontId="83" fillId="0" borderId="1" xfId="0" applyNumberFormat="1" applyFont="1" applyBorder="1" applyAlignment="1">
      <alignment horizontal="right" wrapText="1"/>
    </xf>
    <xf numFmtId="0" fontId="23" fillId="13" borderId="0" xfId="0" applyFont="1" applyFill="1"/>
    <xf numFmtId="1" fontId="78" fillId="0" borderId="1" xfId="0" applyNumberFormat="1" applyFont="1" applyBorder="1" applyAlignment="1">
      <alignment horizontal="right"/>
    </xf>
    <xf numFmtId="1" fontId="79" fillId="0" borderId="1" xfId="0" applyNumberFormat="1" applyFont="1" applyBorder="1" applyAlignment="1">
      <alignment horizontal="right"/>
    </xf>
    <xf numFmtId="166" fontId="1" fillId="0" borderId="1" xfId="0" applyNumberFormat="1" applyFont="1" applyBorder="1" applyAlignment="1">
      <alignment horizontal="right"/>
    </xf>
    <xf numFmtId="0" fontId="2" fillId="0" borderId="13" xfId="0" applyFont="1" applyBorder="1"/>
    <xf numFmtId="164" fontId="50" fillId="0" borderId="11" xfId="0" applyNumberFormat="1" applyFont="1" applyBorder="1"/>
    <xf numFmtId="0" fontId="20" fillId="0" borderId="3" xfId="0" applyFont="1" applyFill="1" applyBorder="1" applyAlignment="1">
      <alignment horizontal="center" vertical="center"/>
    </xf>
    <xf numFmtId="164" fontId="50" fillId="0" borderId="0" xfId="0" applyNumberFormat="1" applyFont="1" applyBorder="1"/>
    <xf numFmtId="164" fontId="50" fillId="0" borderId="17" xfId="0" applyNumberFormat="1" applyFont="1" applyBorder="1"/>
    <xf numFmtId="0" fontId="65" fillId="0" borderId="1" xfId="0" applyFont="1" applyFill="1" applyBorder="1"/>
    <xf numFmtId="0" fontId="48" fillId="0" borderId="0" xfId="0" applyFont="1" applyAlignment="1">
      <alignment horizontal="center" vertical="center" wrapText="1"/>
    </xf>
    <xf numFmtId="0" fontId="50" fillId="0" borderId="0" xfId="0" applyFont="1" applyFill="1" applyAlignment="1">
      <alignment horizontal="left"/>
    </xf>
    <xf numFmtId="166" fontId="50" fillId="0" borderId="0" xfId="0" applyNumberFormat="1" applyFont="1" applyFill="1" applyAlignment="1">
      <alignment horizontal="left"/>
    </xf>
    <xf numFmtId="169" fontId="72" fillId="8" borderId="10" xfId="0" applyNumberFormat="1" applyFont="1" applyFill="1" applyBorder="1" applyAlignment="1">
      <alignment horizontal="right" vertical="center" wrapText="1"/>
    </xf>
    <xf numFmtId="164" fontId="2" fillId="10" borderId="1" xfId="0" applyNumberFormat="1" applyFont="1" applyFill="1" applyBorder="1" applyAlignment="1">
      <alignment horizontal="right"/>
    </xf>
    <xf numFmtId="0" fontId="2" fillId="0" borderId="1" xfId="0" applyFont="1" applyFill="1" applyBorder="1" applyAlignment="1">
      <alignment horizontal="right"/>
    </xf>
    <xf numFmtId="3" fontId="55" fillId="0" borderId="1" xfId="0" applyNumberFormat="1" applyFont="1" applyFill="1" applyBorder="1" applyAlignment="1">
      <alignment horizontal="right"/>
    </xf>
    <xf numFmtId="0" fontId="55" fillId="0" borderId="1" xfId="0" applyFont="1" applyFill="1" applyBorder="1" applyAlignment="1">
      <alignment horizontal="right"/>
    </xf>
    <xf numFmtId="0" fontId="28" fillId="0" borderId="1" xfId="0" applyFont="1" applyBorder="1" applyAlignment="1">
      <alignment horizontal="right"/>
    </xf>
    <xf numFmtId="0" fontId="6" fillId="0" borderId="2" xfId="0" applyFont="1" applyBorder="1" applyAlignment="1">
      <alignment horizontal="center" vertical="center" wrapText="1"/>
    </xf>
    <xf numFmtId="0" fontId="76" fillId="0" borderId="0" xfId="0" applyFont="1"/>
    <xf numFmtId="3" fontId="78" fillId="0" borderId="1" xfId="0" applyNumberFormat="1" applyFont="1" applyBorder="1" applyAlignment="1">
      <alignment horizontal="right"/>
    </xf>
    <xf numFmtId="3" fontId="79" fillId="0" borderId="1" xfId="0" applyNumberFormat="1" applyFont="1" applyBorder="1" applyAlignment="1">
      <alignment horizontal="right"/>
    </xf>
    <xf numFmtId="3" fontId="1" fillId="0" borderId="1" xfId="0" applyNumberFormat="1" applyFont="1" applyBorder="1" applyAlignment="1">
      <alignment horizontal="right"/>
    </xf>
    <xf numFmtId="3" fontId="1" fillId="0" borderId="1" xfId="0" applyNumberFormat="1" applyFont="1" applyBorder="1" applyAlignment="1">
      <alignment horizontal="center" wrapText="1"/>
    </xf>
    <xf numFmtId="3" fontId="2" fillId="0" borderId="1" xfId="0" applyNumberFormat="1" applyFont="1" applyFill="1" applyBorder="1" applyAlignment="1" applyProtection="1">
      <alignment horizontal="center"/>
      <protection locked="0"/>
    </xf>
    <xf numFmtId="3" fontId="50" fillId="0" borderId="1" xfId="0" applyNumberFormat="1" applyFont="1" applyBorder="1" applyAlignment="1">
      <alignment horizontal="center"/>
    </xf>
    <xf numFmtId="3" fontId="50" fillId="0" borderId="1" xfId="0" applyNumberFormat="1" applyFont="1" applyFill="1" applyBorder="1" applyAlignment="1">
      <alignment horizontal="center"/>
    </xf>
    <xf numFmtId="3" fontId="68" fillId="0" borderId="1" xfId="0" applyNumberFormat="1" applyFont="1" applyFill="1" applyBorder="1" applyAlignment="1" applyProtection="1">
      <alignment horizontal="center"/>
      <protection locked="0"/>
    </xf>
    <xf numFmtId="3" fontId="4" fillId="0" borderId="1" xfId="0" applyNumberFormat="1" applyFont="1" applyFill="1" applyBorder="1" applyAlignment="1" applyProtection="1">
      <alignment horizontal="center"/>
      <protection locked="0"/>
    </xf>
    <xf numFmtId="3" fontId="2" fillId="0" borderId="1" xfId="0" applyNumberFormat="1" applyFont="1" applyFill="1" applyBorder="1" applyAlignment="1">
      <alignment horizontal="center" wrapText="1"/>
    </xf>
    <xf numFmtId="0" fontId="28" fillId="0" borderId="1" xfId="0" applyFont="1" applyBorder="1"/>
    <xf numFmtId="0" fontId="68" fillId="0" borderId="1" xfId="0" applyFont="1" applyFill="1" applyBorder="1" applyAlignment="1">
      <alignment horizontal="right"/>
    </xf>
    <xf numFmtId="0" fontId="82" fillId="0" borderId="1" xfId="0" applyFont="1" applyBorder="1" applyAlignment="1">
      <alignment horizontal="right"/>
    </xf>
    <xf numFmtId="0" fontId="82" fillId="0" borderId="1" xfId="0" applyFont="1" applyBorder="1" applyAlignment="1">
      <alignment horizontal="right" wrapText="1"/>
    </xf>
    <xf numFmtId="0" fontId="82" fillId="0" borderId="1" xfId="0" applyFont="1" applyFill="1" applyBorder="1" applyAlignment="1">
      <alignment horizontal="right"/>
    </xf>
    <xf numFmtId="0" fontId="83" fillId="0" borderId="1" xfId="0" applyFont="1" applyBorder="1" applyAlignment="1">
      <alignment horizontal="left" vertical="center"/>
    </xf>
    <xf numFmtId="0" fontId="85" fillId="0" borderId="1" xfId="0" applyFont="1" applyBorder="1" applyAlignment="1">
      <alignment horizontal="left" vertical="center" wrapText="1"/>
    </xf>
    <xf numFmtId="164" fontId="85" fillId="0" borderId="1" xfId="0" applyNumberFormat="1" applyFont="1" applyBorder="1" applyAlignment="1">
      <alignment horizontal="right"/>
    </xf>
    <xf numFmtId="164" fontId="85" fillId="0" borderId="1" xfId="0" applyNumberFormat="1" applyFont="1" applyBorder="1" applyAlignment="1">
      <alignment horizontal="right" wrapText="1"/>
    </xf>
    <xf numFmtId="0" fontId="85" fillId="0" borderId="1" xfId="0" applyFont="1" applyBorder="1" applyAlignment="1">
      <alignment horizontal="left" vertical="center"/>
    </xf>
    <xf numFmtId="166" fontId="2" fillId="0" borderId="0" xfId="0" applyNumberFormat="1" applyFont="1" applyAlignment="1">
      <alignment horizontal="left"/>
    </xf>
    <xf numFmtId="164" fontId="82" fillId="0" borderId="1" xfId="0" applyNumberFormat="1" applyFont="1" applyBorder="1" applyAlignment="1">
      <alignment horizontal="right"/>
    </xf>
    <xf numFmtId="15" fontId="2" fillId="0" borderId="0" xfId="0" applyNumberFormat="1" applyFont="1" applyAlignment="1">
      <alignment horizontal="left"/>
    </xf>
    <xf numFmtId="0" fontId="84" fillId="0" borderId="1" xfId="0" applyFont="1" applyBorder="1" applyAlignment="1">
      <alignment wrapText="1"/>
    </xf>
    <xf numFmtId="170" fontId="2" fillId="0" borderId="1" xfId="1" applyNumberFormat="1" applyFont="1" applyBorder="1" applyAlignment="1">
      <alignment horizontal="right" vertical="center" wrapText="1"/>
    </xf>
    <xf numFmtId="0" fontId="16" fillId="0" borderId="0" xfId="0" applyFont="1" applyFill="1" applyAlignment="1">
      <alignment horizontal="center" wrapText="1"/>
    </xf>
    <xf numFmtId="3" fontId="12" fillId="0" borderId="1" xfId="0" applyNumberFormat="1" applyFont="1" applyFill="1" applyBorder="1" applyAlignment="1">
      <alignment horizontal="right"/>
    </xf>
    <xf numFmtId="3" fontId="68" fillId="0" borderId="1" xfId="0" applyNumberFormat="1" applyFont="1" applyBorder="1"/>
    <xf numFmtId="3" fontId="68" fillId="0" borderId="1" xfId="0" applyNumberFormat="1" applyFont="1" applyFill="1" applyBorder="1"/>
    <xf numFmtId="3" fontId="68" fillId="0" borderId="1" xfId="4" applyNumberFormat="1" applyFont="1" applyBorder="1"/>
    <xf numFmtId="3" fontId="68" fillId="0" borderId="1" xfId="3" applyNumberFormat="1" applyFont="1" applyBorder="1"/>
    <xf numFmtId="0" fontId="20" fillId="0" borderId="3" xfId="0" applyFont="1" applyFill="1" applyBorder="1" applyAlignment="1">
      <alignment horizontal="center" vertical="center"/>
    </xf>
    <xf numFmtId="166" fontId="48" fillId="0" borderId="7" xfId="0" applyNumberFormat="1" applyFont="1" applyFill="1" applyBorder="1" applyAlignment="1">
      <alignment horizontal="center" vertical="center" wrapText="1"/>
    </xf>
    <xf numFmtId="0" fontId="48" fillId="0" borderId="3" xfId="0" applyFont="1" applyBorder="1" applyAlignment="1">
      <alignment horizontal="center" vertical="center" wrapText="1"/>
    </xf>
    <xf numFmtId="17" fontId="48" fillId="0" borderId="22" xfId="0" applyNumberFormat="1" applyFont="1" applyFill="1" applyBorder="1" applyAlignment="1">
      <alignment horizontal="center" vertical="center" wrapText="1"/>
    </xf>
    <xf numFmtId="3" fontId="76" fillId="0" borderId="1" xfId="0" applyNumberFormat="1" applyFont="1" applyBorder="1"/>
    <xf numFmtId="3" fontId="76" fillId="0" borderId="1" xfId="0" applyNumberFormat="1" applyFont="1" applyFill="1" applyBorder="1"/>
    <xf numFmtId="0" fontId="67" fillId="0" borderId="0" xfId="0" applyFont="1" applyFill="1"/>
    <xf numFmtId="164" fontId="6" fillId="3" borderId="3" xfId="0" applyNumberFormat="1" applyFont="1" applyFill="1" applyBorder="1" applyAlignment="1">
      <alignment horizontal="center" vertical="center"/>
    </xf>
    <xf numFmtId="0" fontId="6" fillId="0" borderId="2" xfId="0" applyFont="1" applyBorder="1" applyAlignment="1">
      <alignment horizontal="center" vertical="center"/>
    </xf>
    <xf numFmtId="17" fontId="20" fillId="0" borderId="3" xfId="0" applyNumberFormat="1" applyFont="1" applyFill="1" applyBorder="1" applyAlignment="1">
      <alignment horizontal="center" vertical="center"/>
    </xf>
    <xf numFmtId="166" fontId="8" fillId="13" borderId="3" xfId="0" applyNumberFormat="1" applyFont="1" applyFill="1" applyBorder="1" applyAlignment="1">
      <alignment horizontal="center" vertical="center" wrapText="1"/>
    </xf>
    <xf numFmtId="17" fontId="48" fillId="0" borderId="2" xfId="0" applyNumberFormat="1" applyFont="1" applyBorder="1" applyAlignment="1">
      <alignment horizontal="center" vertical="center" wrapText="1"/>
    </xf>
    <xf numFmtId="166" fontId="20" fillId="13" borderId="3" xfId="0" applyNumberFormat="1" applyFont="1" applyFill="1" applyBorder="1" applyAlignment="1">
      <alignment horizontal="center" vertical="center" wrapText="1"/>
    </xf>
    <xf numFmtId="17" fontId="6" fillId="13" borderId="4" xfId="0" applyNumberFormat="1" applyFont="1" applyFill="1" applyBorder="1" applyAlignment="1">
      <alignment horizontal="center" vertical="center" wrapText="1"/>
    </xf>
    <xf numFmtId="17" fontId="8" fillId="13" borderId="4" xfId="0" applyNumberFormat="1" applyFont="1" applyFill="1" applyBorder="1" applyAlignment="1">
      <alignment horizontal="center" vertical="center" wrapText="1"/>
    </xf>
    <xf numFmtId="164" fontId="20" fillId="13" borderId="3" xfId="0" applyNumberFormat="1" applyFont="1" applyFill="1" applyBorder="1" applyAlignment="1">
      <alignment horizontal="center" vertical="center"/>
    </xf>
    <xf numFmtId="0" fontId="20" fillId="13" borderId="4" xfId="0" applyFont="1" applyFill="1" applyBorder="1" applyAlignment="1">
      <alignment horizontal="left" vertical="center"/>
    </xf>
    <xf numFmtId="0" fontId="86" fillId="0" borderId="0" xfId="0" applyFont="1" applyAlignment="1">
      <alignment vertical="center"/>
    </xf>
    <xf numFmtId="0" fontId="6" fillId="3" borderId="0" xfId="0" applyFont="1" applyFill="1" applyAlignment="1">
      <alignment vertical="center"/>
    </xf>
    <xf numFmtId="0" fontId="23" fillId="13" borderId="0" xfId="0" applyNumberFormat="1" applyFont="1" applyFill="1"/>
    <xf numFmtId="0" fontId="87" fillId="3" borderId="0" xfId="2" applyFont="1" applyFill="1" applyAlignment="1">
      <alignment vertical="center"/>
    </xf>
    <xf numFmtId="164" fontId="6" fillId="3" borderId="4" xfId="0" applyNumberFormat="1" applyFont="1" applyFill="1" applyBorder="1" applyAlignment="1">
      <alignment horizontal="left" vertical="center"/>
    </xf>
    <xf numFmtId="0" fontId="6" fillId="0" borderId="0" xfId="0" applyFont="1" applyFill="1" applyAlignment="1"/>
    <xf numFmtId="0" fontId="23" fillId="0" borderId="0" xfId="0" applyFont="1" applyFill="1" applyAlignment="1">
      <alignment vertical="center"/>
    </xf>
    <xf numFmtId="0" fontId="23" fillId="0" borderId="0" xfId="0" applyFont="1" applyFill="1" applyAlignment="1">
      <alignment horizontal="center" vertical="center"/>
    </xf>
    <xf numFmtId="0" fontId="23" fillId="0" borderId="0" xfId="0" applyFont="1" applyFill="1" applyAlignment="1"/>
    <xf numFmtId="0" fontId="23" fillId="0" borderId="0" xfId="0" applyNumberFormat="1" applyFont="1" applyFill="1"/>
    <xf numFmtId="0" fontId="87" fillId="13" borderId="0" xfId="2" applyFont="1" applyFill="1"/>
    <xf numFmtId="0" fontId="23" fillId="13" borderId="0" xfId="0" applyFont="1" applyFill="1" applyAlignment="1">
      <alignment horizontal="center"/>
    </xf>
    <xf numFmtId="0" fontId="6" fillId="13" borderId="0" xfId="0" applyFont="1" applyFill="1"/>
    <xf numFmtId="0" fontId="16" fillId="0" borderId="0" xfId="0" applyFont="1" applyFill="1" applyAlignment="1">
      <alignment vertical="center" wrapText="1"/>
    </xf>
    <xf numFmtId="166" fontId="1" fillId="0" borderId="1" xfId="0" applyNumberFormat="1" applyFont="1" applyBorder="1"/>
    <xf numFmtId="166" fontId="1" fillId="3" borderId="1" xfId="0" applyNumberFormat="1" applyFont="1" applyFill="1" applyBorder="1" applyAlignment="1">
      <alignment horizontal="center" vertical="center" wrapText="1"/>
    </xf>
    <xf numFmtId="0" fontId="2" fillId="0" borderId="0" xfId="0" applyFont="1" applyAlignment="1">
      <alignment horizontal="left"/>
    </xf>
    <xf numFmtId="0" fontId="31" fillId="0" borderId="0" xfId="0" applyFont="1" applyFill="1"/>
    <xf numFmtId="0" fontId="2" fillId="0" borderId="0" xfId="2" applyFont="1" applyFill="1" applyAlignment="1"/>
    <xf numFmtId="164" fontId="17" fillId="0" borderId="1" xfId="0" applyNumberFormat="1" applyFont="1" applyFill="1" applyBorder="1" applyAlignment="1">
      <alignment horizontal="right"/>
    </xf>
    <xf numFmtId="0" fontId="1" fillId="0" borderId="0" xfId="0" applyFont="1" applyFill="1"/>
    <xf numFmtId="0" fontId="88" fillId="0" borderId="0" xfId="0" applyFont="1"/>
    <xf numFmtId="0" fontId="20"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9" fillId="0" borderId="0" xfId="0" applyFont="1" applyFill="1"/>
    <xf numFmtId="0" fontId="64" fillId="0" borderId="0" xfId="0" applyFont="1" applyFill="1"/>
    <xf numFmtId="0" fontId="69" fillId="0" borderId="0" xfId="0" quotePrefix="1" applyFont="1" applyFill="1"/>
    <xf numFmtId="0" fontId="4" fillId="0" borderId="0" xfId="0" applyFont="1" applyFill="1"/>
    <xf numFmtId="0" fontId="31" fillId="0" borderId="0" xfId="0" applyFont="1" applyAlignment="1"/>
    <xf numFmtId="0" fontId="2" fillId="11" borderId="0" xfId="0" applyFont="1" applyFill="1"/>
    <xf numFmtId="0" fontId="16" fillId="0" borderId="0" xfId="0" applyFont="1" applyFill="1" applyBorder="1"/>
    <xf numFmtId="0" fontId="16" fillId="0" borderId="0" xfId="0" applyFont="1" applyFill="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vertical="top" wrapText="1"/>
    </xf>
    <xf numFmtId="0" fontId="16" fillId="0" borderId="0" xfId="0" applyFont="1" applyFill="1" applyBorder="1" applyAlignment="1">
      <alignment horizontal="right" wrapText="1"/>
    </xf>
    <xf numFmtId="0" fontId="29" fillId="0" borderId="0" xfId="0" applyFont="1" applyFill="1" applyBorder="1" applyAlignment="1">
      <alignment horizontal="right" wrapText="1"/>
    </xf>
    <xf numFmtId="0" fontId="29" fillId="0" borderId="0" xfId="0" applyFont="1" applyFill="1" applyBorder="1" applyAlignment="1">
      <alignment vertical="top" wrapText="1"/>
    </xf>
    <xf numFmtId="0" fontId="16" fillId="0" borderId="0" xfId="0" applyFont="1" applyFill="1" applyBorder="1" applyAlignment="1">
      <alignment vertical="top"/>
    </xf>
    <xf numFmtId="0" fontId="30" fillId="0" borderId="0" xfId="0" applyFont="1" applyFill="1"/>
    <xf numFmtId="0" fontId="4" fillId="0" borderId="0" xfId="0" applyFont="1" applyFill="1" applyBorder="1"/>
    <xf numFmtId="0" fontId="1" fillId="0" borderId="1" xfId="0" applyFont="1" applyFill="1" applyBorder="1" applyAlignment="1">
      <alignment horizontal="left" vertical="center" wrapText="1"/>
    </xf>
    <xf numFmtId="164" fontId="83" fillId="0" borderId="1" xfId="0" applyNumberFormat="1" applyFont="1" applyFill="1" applyBorder="1" applyAlignment="1">
      <alignment horizontal="right"/>
    </xf>
    <xf numFmtId="164" fontId="83" fillId="0" borderId="1" xfId="0" applyNumberFormat="1" applyFont="1" applyFill="1" applyBorder="1" applyAlignment="1">
      <alignment horizontal="right" wrapText="1"/>
    </xf>
    <xf numFmtId="0" fontId="85" fillId="0" borderId="1" xfId="0" applyFont="1" applyBorder="1"/>
    <xf numFmtId="0" fontId="50" fillId="0" borderId="0" xfId="0" applyFont="1" applyFill="1" applyAlignment="1">
      <alignment horizontal="left" wrapText="1"/>
    </xf>
    <xf numFmtId="0" fontId="2" fillId="0" borderId="0" xfId="0" applyFont="1" applyFill="1" applyAlignment="1">
      <alignment horizontal="left"/>
    </xf>
    <xf numFmtId="0" fontId="1" fillId="0" borderId="0" xfId="0" applyFont="1" applyAlignment="1">
      <alignment horizontal="left"/>
    </xf>
    <xf numFmtId="0" fontId="1" fillId="0" borderId="1" xfId="0" applyFont="1" applyFill="1" applyBorder="1" applyAlignment="1">
      <alignment horizontal="center" vertical="center" wrapText="1"/>
    </xf>
    <xf numFmtId="0" fontId="50" fillId="0" borderId="0" xfId="0" applyNumberFormat="1" applyFont="1" applyAlignment="1">
      <alignment vertical="top"/>
    </xf>
    <xf numFmtId="0" fontId="50" fillId="0" borderId="0" xfId="2" applyFont="1" applyFill="1"/>
    <xf numFmtId="1" fontId="50" fillId="11" borderId="1" xfId="0" applyNumberFormat="1" applyFont="1" applyFill="1" applyBorder="1"/>
    <xf numFmtId="164" fontId="1" fillId="0" borderId="0" xfId="0" applyNumberFormat="1" applyFont="1"/>
    <xf numFmtId="0" fontId="12" fillId="0" borderId="1" xfId="0" applyFont="1" applyBorder="1" applyAlignment="1">
      <alignment vertical="center" wrapText="1"/>
    </xf>
    <xf numFmtId="0" fontId="88" fillId="0" borderId="0" xfId="0" applyFont="1" applyBorder="1" applyAlignment="1"/>
    <xf numFmtId="0" fontId="1" fillId="0" borderId="0" xfId="0" applyFont="1" applyFill="1" applyAlignment="1">
      <alignment wrapText="1"/>
    </xf>
    <xf numFmtId="0" fontId="58" fillId="0" borderId="0" xfId="0" applyFont="1" applyFill="1"/>
    <xf numFmtId="0" fontId="4" fillId="0" borderId="0" xfId="2" applyFont="1" applyFill="1"/>
    <xf numFmtId="0" fontId="2" fillId="0" borderId="0" xfId="0" applyFont="1" applyBorder="1" applyAlignment="1"/>
    <xf numFmtId="0" fontId="68" fillId="0" borderId="0" xfId="0" applyFont="1" applyAlignment="1">
      <alignment vertical="center"/>
    </xf>
    <xf numFmtId="0" fontId="68" fillId="0" borderId="0" xfId="0" applyFont="1"/>
    <xf numFmtId="0" fontId="76" fillId="0" borderId="0" xfId="0" applyFont="1" applyAlignment="1">
      <alignment vertical="center"/>
    </xf>
    <xf numFmtId="0" fontId="89" fillId="0" borderId="0" xfId="0" applyFont="1" applyFill="1"/>
    <xf numFmtId="0" fontId="1" fillId="0" borderId="0" xfId="0" applyFont="1" applyAlignment="1"/>
    <xf numFmtId="0" fontId="31" fillId="0" borderId="0" xfId="0" applyFont="1" applyFill="1" applyAlignment="1"/>
    <xf numFmtId="0" fontId="90" fillId="0" borderId="0" xfId="0" applyFont="1" applyFill="1"/>
    <xf numFmtId="0" fontId="30" fillId="0" borderId="1" xfId="0" applyFont="1" applyBorder="1" applyAlignment="1">
      <alignment wrapText="1"/>
    </xf>
    <xf numFmtId="0" fontId="12" fillId="0" borderId="1" xfId="0" applyFont="1" applyFill="1" applyBorder="1"/>
    <xf numFmtId="0" fontId="41" fillId="0" borderId="1" xfId="0" applyFont="1" applyBorder="1" applyAlignment="1">
      <alignment horizontal="left" wrapText="1"/>
    </xf>
    <xf numFmtId="0" fontId="74" fillId="0" borderId="1" xfId="0" applyFont="1" applyFill="1" applyBorder="1" applyAlignment="1">
      <alignment horizontal="right"/>
    </xf>
    <xf numFmtId="0" fontId="75" fillId="0" borderId="1" xfId="0" applyFont="1" applyBorder="1" applyAlignment="1">
      <alignment horizontal="right"/>
    </xf>
    <xf numFmtId="0" fontId="16" fillId="0" borderId="1" xfId="0" applyFont="1" applyBorder="1" applyAlignment="1">
      <alignment horizontal="right"/>
    </xf>
    <xf numFmtId="0" fontId="28" fillId="0" borderId="1" xfId="0" applyFont="1" applyBorder="1" applyAlignment="1">
      <alignment wrapText="1"/>
    </xf>
    <xf numFmtId="0" fontId="28" fillId="0" borderId="1" xfId="0" applyFont="1" applyFill="1" applyBorder="1" applyAlignment="1">
      <alignment horizontal="right"/>
    </xf>
    <xf numFmtId="0" fontId="59" fillId="0" borderId="1" xfId="0" applyFont="1" applyBorder="1" applyAlignment="1">
      <alignment wrapText="1"/>
    </xf>
    <xf numFmtId="0" fontId="91" fillId="0" borderId="1" xfId="0" applyFont="1" applyFill="1" applyBorder="1" applyAlignment="1">
      <alignment horizontal="right"/>
    </xf>
    <xf numFmtId="0" fontId="56" fillId="0" borderId="1" xfId="0" applyFont="1" applyBorder="1" applyAlignment="1">
      <alignment wrapText="1"/>
    </xf>
    <xf numFmtId="1" fontId="56" fillId="0" borderId="1" xfId="0" applyNumberFormat="1" applyFont="1" applyFill="1" applyBorder="1" applyAlignment="1">
      <alignment horizontal="right"/>
    </xf>
    <xf numFmtId="0" fontId="56" fillId="0" borderId="1" xfId="0" applyFont="1" applyFill="1" applyBorder="1" applyAlignment="1">
      <alignment horizontal="right"/>
    </xf>
    <xf numFmtId="0" fontId="5" fillId="0" borderId="1" xfId="0" applyFont="1" applyBorder="1" applyAlignment="1">
      <alignment wrapText="1"/>
    </xf>
    <xf numFmtId="0" fontId="5" fillId="0" borderId="1" xfId="0" applyFont="1" applyBorder="1" applyAlignment="1">
      <alignment horizontal="right"/>
    </xf>
    <xf numFmtId="0" fontId="5" fillId="0" borderId="1" xfId="0" applyFont="1" applyFill="1" applyBorder="1" applyAlignment="1">
      <alignment horizontal="right"/>
    </xf>
    <xf numFmtId="0" fontId="5" fillId="14" borderId="0" xfId="2" applyFont="1" applyFill="1"/>
    <xf numFmtId="0" fontId="90" fillId="0" borderId="0" xfId="0" applyFont="1" applyBorder="1" applyAlignment="1">
      <alignment vertical="center" wrapText="1"/>
    </xf>
    <xf numFmtId="0" fontId="92" fillId="0" borderId="0" xfId="0" applyFont="1" applyFill="1" applyBorder="1" applyAlignment="1">
      <alignment vertical="center" wrapText="1"/>
    </xf>
    <xf numFmtId="0" fontId="5" fillId="0" borderId="0" xfId="0" applyFont="1" applyFill="1"/>
    <xf numFmtId="0" fontId="19" fillId="0" borderId="0" xfId="0" applyFont="1" applyFill="1" applyBorder="1" applyAlignment="1">
      <alignment vertical="center"/>
    </xf>
    <xf numFmtId="0" fontId="65" fillId="0" borderId="23" xfId="0" applyFont="1" applyFill="1" applyBorder="1"/>
    <xf numFmtId="0" fontId="80" fillId="0" borderId="23" xfId="0" applyFont="1" applyFill="1" applyBorder="1"/>
    <xf numFmtId="17" fontId="1" fillId="0" borderId="0" xfId="0" applyNumberFormat="1" applyFont="1"/>
    <xf numFmtId="0" fontId="29" fillId="0" borderId="0" xfId="0" applyFont="1" applyFill="1" applyBorder="1" applyAlignment="1"/>
    <xf numFmtId="0" fontId="88" fillId="0" borderId="0" xfId="0" applyFont="1" applyAlignment="1">
      <alignment horizontal="left" vertical="center"/>
    </xf>
    <xf numFmtId="0" fontId="84" fillId="0" borderId="0" xfId="0" applyFont="1" applyFill="1" applyBorder="1" applyAlignment="1">
      <alignment horizontal="right" vertical="center"/>
    </xf>
    <xf numFmtId="0" fontId="96" fillId="0" borderId="0" xfId="0" applyFont="1" applyFill="1" applyBorder="1" applyAlignment="1">
      <alignment horizontal="center" vertical="center"/>
    </xf>
    <xf numFmtId="10" fontId="88" fillId="0" borderId="0" xfId="0" applyNumberFormat="1" applyFont="1" applyFill="1" applyBorder="1" applyAlignment="1">
      <alignment horizontal="center" vertical="center" wrapText="1"/>
    </xf>
    <xf numFmtId="0" fontId="95" fillId="0" borderId="1" xfId="0" applyFont="1" applyFill="1" applyBorder="1" applyAlignment="1">
      <alignment vertical="center"/>
    </xf>
    <xf numFmtId="0" fontId="88" fillId="0" borderId="1" xfId="0" applyFont="1" applyFill="1" applyBorder="1" applyAlignment="1">
      <alignment vertical="center"/>
    </xf>
    <xf numFmtId="0" fontId="84" fillId="0" borderId="1" xfId="0" applyFont="1" applyFill="1" applyBorder="1" applyAlignment="1">
      <alignment horizontal="center" vertical="center" wrapText="1"/>
    </xf>
    <xf numFmtId="0" fontId="84" fillId="0" borderId="1" xfId="0" applyFont="1" applyFill="1" applyBorder="1" applyAlignment="1">
      <alignment vertical="center"/>
    </xf>
    <xf numFmtId="0" fontId="84" fillId="0" borderId="1" xfId="0" applyFont="1" applyFill="1" applyBorder="1" applyAlignment="1">
      <alignment vertical="center" wrapText="1"/>
    </xf>
    <xf numFmtId="0" fontId="88" fillId="0" borderId="1" xfId="0" applyFont="1" applyFill="1" applyBorder="1" applyAlignment="1">
      <alignment horizontal="left" vertical="center"/>
    </xf>
    <xf numFmtId="171" fontId="88" fillId="0" borderId="1" xfId="1" applyNumberFormat="1" applyFont="1" applyFill="1" applyBorder="1" applyAlignment="1">
      <alignment horizontal="center" vertical="center"/>
    </xf>
    <xf numFmtId="166" fontId="1" fillId="0" borderId="0" xfId="0" applyNumberFormat="1" applyFont="1" applyBorder="1" applyAlignment="1">
      <alignment horizontal="left"/>
    </xf>
    <xf numFmtId="0" fontId="0" fillId="0" borderId="1" xfId="0" applyFill="1" applyBorder="1" applyAlignment="1">
      <alignment vertical="center"/>
    </xf>
    <xf numFmtId="0" fontId="76" fillId="0" borderId="1" xfId="0" applyFont="1" applyFill="1" applyBorder="1" applyAlignment="1">
      <alignment vertical="center"/>
    </xf>
    <xf numFmtId="0" fontId="68" fillId="0" borderId="1" xfId="0" applyFont="1" applyFill="1" applyBorder="1" applyAlignment="1">
      <alignment horizontal="center" vertical="center" wrapText="1"/>
    </xf>
    <xf numFmtId="0" fontId="88" fillId="0" borderId="1" xfId="0" applyFont="1" applyFill="1" applyBorder="1" applyAlignment="1">
      <alignment horizontal="left" vertical="center" wrapText="1"/>
    </xf>
    <xf numFmtId="171" fontId="68" fillId="0" borderId="1" xfId="1" applyNumberFormat="1" applyFont="1" applyFill="1" applyBorder="1" applyAlignment="1">
      <alignment horizontal="right" vertical="center"/>
    </xf>
    <xf numFmtId="171" fontId="97" fillId="0" borderId="1" xfId="1" applyNumberFormat="1" applyFont="1" applyFill="1" applyBorder="1" applyAlignment="1">
      <alignment horizontal="right" vertical="center"/>
    </xf>
    <xf numFmtId="164" fontId="84" fillId="0" borderId="1" xfId="0" applyNumberFormat="1" applyFont="1" applyFill="1" applyBorder="1" applyAlignment="1">
      <alignment horizontal="right" vertical="center" wrapText="1"/>
    </xf>
    <xf numFmtId="171" fontId="84" fillId="0" borderId="1" xfId="1" applyNumberFormat="1" applyFont="1" applyFill="1" applyBorder="1" applyAlignment="1">
      <alignment horizontal="right" vertical="center"/>
    </xf>
    <xf numFmtId="171" fontId="96" fillId="0" borderId="1" xfId="1" applyNumberFormat="1" applyFont="1" applyFill="1" applyBorder="1" applyAlignment="1">
      <alignment horizontal="right" vertical="center"/>
    </xf>
    <xf numFmtId="164" fontId="12" fillId="0" borderId="1" xfId="0" applyNumberFormat="1" applyFont="1" applyBorder="1" applyAlignment="1">
      <alignment horizontal="right" vertical="center"/>
    </xf>
    <xf numFmtId="164" fontId="88" fillId="0" borderId="1" xfId="0" applyNumberFormat="1" applyFont="1" applyFill="1" applyBorder="1" applyAlignment="1">
      <alignment horizontal="right" vertical="center" wrapText="1"/>
    </xf>
    <xf numFmtId="164" fontId="84" fillId="0" borderId="1" xfId="0" applyNumberFormat="1" applyFont="1" applyFill="1" applyBorder="1" applyAlignment="1">
      <alignment horizontal="right" vertical="center"/>
    </xf>
    <xf numFmtId="171" fontId="88" fillId="0" borderId="1" xfId="1" applyNumberFormat="1" applyFont="1" applyFill="1" applyBorder="1" applyAlignment="1">
      <alignment horizontal="right" vertical="center"/>
    </xf>
    <xf numFmtId="164" fontId="88" fillId="0" borderId="1" xfId="0" applyNumberFormat="1" applyFont="1" applyFill="1" applyBorder="1" applyAlignment="1">
      <alignment horizontal="right" vertical="center"/>
    </xf>
    <xf numFmtId="0" fontId="76" fillId="0" borderId="0" xfId="0" applyFont="1" applyAlignment="1">
      <alignment horizontal="left" vertical="center"/>
    </xf>
    <xf numFmtId="0" fontId="76" fillId="0" borderId="0" xfId="0" applyFont="1" applyAlignment="1">
      <alignment horizontal="left"/>
    </xf>
    <xf numFmtId="0" fontId="88" fillId="0" borderId="0" xfId="0" applyFont="1" applyAlignment="1">
      <alignment horizontal="left"/>
    </xf>
    <xf numFmtId="0" fontId="68" fillId="0" borderId="0" xfId="0" applyFont="1" applyAlignment="1">
      <alignment horizontal="left" wrapText="1"/>
    </xf>
    <xf numFmtId="0" fontId="5" fillId="0" borderId="0" xfId="0" applyFont="1" applyBorder="1"/>
    <xf numFmtId="0" fontId="5" fillId="0" borderId="0" xfId="0" applyFont="1"/>
    <xf numFmtId="0" fontId="2" fillId="0" borderId="1" xfId="0" applyFont="1" applyFill="1" applyBorder="1" applyAlignment="1">
      <alignment vertical="center" wrapText="1"/>
    </xf>
    <xf numFmtId="0" fontId="28" fillId="0" borderId="1" xfId="0" applyFont="1" applyFill="1" applyBorder="1" applyAlignment="1">
      <alignment wrapText="1"/>
    </xf>
    <xf numFmtId="0" fontId="1" fillId="0" borderId="1" xfId="0" applyFont="1" applyBorder="1" applyAlignment="1">
      <alignment horizontal="center"/>
    </xf>
    <xf numFmtId="10" fontId="1" fillId="0" borderId="1" xfId="0" applyNumberFormat="1" applyFont="1" applyBorder="1" applyAlignment="1">
      <alignment horizontal="center"/>
    </xf>
    <xf numFmtId="2" fontId="65" fillId="0" borderId="0" xfId="0" applyNumberFormat="1" applyFont="1" applyFill="1" applyProtection="1">
      <protection hidden="1"/>
    </xf>
    <xf numFmtId="164" fontId="28" fillId="0" borderId="0" xfId="0" applyNumberFormat="1" applyFont="1" applyBorder="1" applyAlignment="1">
      <alignment horizontal="right"/>
    </xf>
    <xf numFmtId="0" fontId="2" fillId="0" borderId="0" xfId="0" applyNumberFormat="1" applyFont="1" applyFill="1" applyAlignment="1">
      <alignment horizontal="left"/>
    </xf>
    <xf numFmtId="17" fontId="5" fillId="0" borderId="0" xfId="0" applyNumberFormat="1" applyFont="1" applyFill="1" applyAlignment="1">
      <alignment horizontal="center"/>
    </xf>
    <xf numFmtId="15" fontId="5" fillId="0" borderId="0" xfId="0" applyNumberFormat="1" applyFont="1" applyFill="1" applyAlignment="1">
      <alignment horizontal="center"/>
    </xf>
    <xf numFmtId="0" fontId="16" fillId="0" borderId="1" xfId="14" applyFont="1" applyBorder="1"/>
    <xf numFmtId="0" fontId="100" fillId="0" borderId="0" xfId="0" quotePrefix="1" applyFont="1"/>
    <xf numFmtId="0" fontId="50" fillId="0" borderId="0" xfId="0" applyNumberFormat="1" applyFont="1" applyFill="1"/>
    <xf numFmtId="0" fontId="51" fillId="0" borderId="0" xfId="0" applyFont="1" applyFill="1"/>
    <xf numFmtId="0" fontId="62" fillId="0" borderId="0" xfId="0" applyFont="1" applyBorder="1"/>
    <xf numFmtId="0" fontId="101" fillId="0" borderId="0" xfId="0" applyFont="1" applyBorder="1"/>
    <xf numFmtId="0" fontId="70" fillId="0" borderId="0" xfId="0" applyFont="1" applyBorder="1"/>
    <xf numFmtId="164" fontId="70" fillId="0" borderId="0" xfId="0" applyNumberFormat="1" applyFont="1" applyBorder="1"/>
    <xf numFmtId="0" fontId="101" fillId="0" borderId="0" xfId="0" applyFont="1" applyFill="1" applyBorder="1"/>
    <xf numFmtId="0" fontId="101" fillId="0" borderId="0" xfId="0" applyFont="1" applyBorder="1" applyAlignment="1">
      <alignment horizontal="center" wrapText="1"/>
    </xf>
    <xf numFmtId="0" fontId="101" fillId="0" borderId="0" xfId="0" applyFont="1" applyBorder="1" applyAlignment="1">
      <alignment horizontal="center"/>
    </xf>
    <xf numFmtId="0" fontId="101" fillId="0" borderId="0" xfId="0" applyFont="1" applyBorder="1" applyAlignment="1">
      <alignment wrapText="1"/>
    </xf>
    <xf numFmtId="3" fontId="70" fillId="0" borderId="0" xfId="0" applyNumberFormat="1" applyFont="1" applyBorder="1" applyAlignment="1">
      <alignment horizontal="right"/>
    </xf>
    <xf numFmtId="164" fontId="62" fillId="0" borderId="0" xfId="0" applyNumberFormat="1" applyFont="1" applyBorder="1" applyAlignment="1">
      <alignment horizontal="right"/>
    </xf>
    <xf numFmtId="164" fontId="70" fillId="0" borderId="0" xfId="0" applyNumberFormat="1" applyFont="1" applyBorder="1" applyAlignment="1">
      <alignment horizontal="right"/>
    </xf>
    <xf numFmtId="3" fontId="70" fillId="0" borderId="0" xfId="0" applyNumberFormat="1" applyFont="1" applyBorder="1"/>
    <xf numFmtId="0" fontId="4" fillId="0" borderId="1" xfId="0" applyFont="1" applyFill="1" applyBorder="1" applyAlignment="1">
      <alignment horizontal="center" vertical="center" wrapText="1"/>
    </xf>
    <xf numFmtId="0" fontId="70" fillId="0" borderId="0" xfId="0" applyFont="1" applyFill="1" applyBorder="1"/>
    <xf numFmtId="0" fontId="70" fillId="0" borderId="0" xfId="0" applyFont="1" applyFill="1" applyBorder="1" applyAlignment="1">
      <alignment wrapText="1"/>
    </xf>
    <xf numFmtId="1" fontId="70" fillId="0" borderId="0" xfId="0" applyNumberFormat="1" applyFont="1" applyFill="1" applyBorder="1"/>
    <xf numFmtId="166" fontId="70" fillId="0" borderId="0" xfId="0" applyNumberFormat="1" applyFont="1" applyFill="1" applyBorder="1" applyAlignment="1">
      <alignment horizontal="left"/>
    </xf>
    <xf numFmtId="166" fontId="101" fillId="0" borderId="0" xfId="0" applyNumberFormat="1" applyFont="1" applyFill="1" applyBorder="1" applyAlignment="1">
      <alignment horizontal="center"/>
    </xf>
    <xf numFmtId="1" fontId="101" fillId="0" borderId="0" xfId="0" applyNumberFormat="1" applyFont="1" applyFill="1" applyBorder="1" applyAlignment="1">
      <alignment horizontal="right"/>
    </xf>
    <xf numFmtId="1" fontId="70" fillId="0" borderId="0" xfId="0" applyNumberFormat="1" applyFont="1" applyFill="1" applyBorder="1" applyAlignment="1">
      <alignment horizontal="right"/>
    </xf>
    <xf numFmtId="0" fontId="82" fillId="0" borderId="0" xfId="0" applyFont="1" applyFill="1"/>
    <xf numFmtId="0" fontId="70" fillId="0" borderId="0" xfId="0" applyFont="1" applyFill="1"/>
    <xf numFmtId="3" fontId="70" fillId="0" borderId="0" xfId="0" applyNumberFormat="1" applyFont="1" applyFill="1" applyBorder="1" applyAlignment="1">
      <alignment horizontal="right"/>
    </xf>
    <xf numFmtId="0" fontId="70" fillId="0" borderId="0" xfId="0" applyFont="1" applyFill="1" applyBorder="1" applyAlignment="1">
      <alignment vertical="center" wrapText="1"/>
    </xf>
    <xf numFmtId="3" fontId="70" fillId="0" borderId="0" xfId="0" applyNumberFormat="1" applyFont="1" applyFill="1" applyBorder="1" applyAlignment="1">
      <alignment horizontal="right" wrapText="1"/>
    </xf>
    <xf numFmtId="0" fontId="70" fillId="0" borderId="0" xfId="0" applyFont="1" applyFill="1" applyBorder="1" applyAlignment="1">
      <alignment horizontal="right" wrapText="1"/>
    </xf>
    <xf numFmtId="0" fontId="70" fillId="0" borderId="0" xfId="0" applyFont="1" applyFill="1" applyBorder="1" applyAlignment="1">
      <alignment horizontal="center" vertical="center"/>
    </xf>
    <xf numFmtId="166" fontId="101" fillId="0" borderId="0" xfId="0" applyNumberFormat="1" applyFont="1" applyFill="1" applyBorder="1" applyAlignment="1">
      <alignment horizontal="center" vertical="center"/>
    </xf>
    <xf numFmtId="166" fontId="101" fillId="0" borderId="0" xfId="0"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70" fillId="0" borderId="0" xfId="0" applyFont="1" applyFill="1" applyBorder="1" applyAlignment="1">
      <alignment horizontal="left" vertical="center"/>
    </xf>
    <xf numFmtId="3" fontId="70" fillId="0" borderId="0" xfId="0" applyNumberFormat="1" applyFont="1" applyFill="1" applyBorder="1" applyAlignment="1">
      <alignment horizontal="left" vertical="top"/>
    </xf>
    <xf numFmtId="0" fontId="101" fillId="0" borderId="0" xfId="0" applyFont="1" applyFill="1" applyBorder="1" applyAlignment="1">
      <alignment wrapText="1"/>
    </xf>
    <xf numFmtId="0" fontId="103" fillId="0" borderId="0" xfId="0" applyFont="1" applyFill="1" applyBorder="1" applyAlignment="1">
      <alignment wrapText="1"/>
    </xf>
    <xf numFmtId="0" fontId="101" fillId="0" borderId="0" xfId="0" applyFont="1" applyFill="1" applyBorder="1" applyAlignment="1">
      <alignment vertical="center" wrapText="1"/>
    </xf>
    <xf numFmtId="0" fontId="70" fillId="0" borderId="0" xfId="0" applyFont="1" applyFill="1" applyBorder="1" applyAlignment="1">
      <alignment horizontal="center"/>
    </xf>
    <xf numFmtId="0" fontId="70" fillId="0" borderId="0" xfId="0" applyFont="1" applyFill="1" applyBorder="1" applyAlignment="1">
      <alignment vertical="center"/>
    </xf>
    <xf numFmtId="0" fontId="70" fillId="0" borderId="0" xfId="0" applyFont="1" applyFill="1" applyBorder="1" applyAlignment="1">
      <alignment horizontal="right"/>
    </xf>
    <xf numFmtId="0" fontId="102" fillId="0" borderId="0" xfId="0" applyFont="1" applyFill="1" applyBorder="1" applyAlignment="1">
      <alignment vertical="center"/>
    </xf>
    <xf numFmtId="1" fontId="101" fillId="0" borderId="0" xfId="0" applyNumberFormat="1" applyFont="1" applyFill="1" applyBorder="1"/>
    <xf numFmtId="1" fontId="70" fillId="0" borderId="0" xfId="0" applyNumberFormat="1" applyFont="1" applyFill="1" applyBorder="1" applyAlignment="1">
      <alignment horizontal="center"/>
    </xf>
    <xf numFmtId="1" fontId="101" fillId="0" borderId="0" xfId="0" applyNumberFormat="1" applyFont="1" applyFill="1" applyBorder="1" applyAlignment="1">
      <alignment wrapText="1"/>
    </xf>
    <xf numFmtId="0" fontId="102" fillId="0" borderId="0" xfId="0" applyFont="1" applyFill="1" applyBorder="1" applyAlignment="1">
      <alignment wrapText="1"/>
    </xf>
    <xf numFmtId="1" fontId="101" fillId="0" borderId="0" xfId="0" quotePrefix="1" applyNumberFormat="1" applyFont="1" applyFill="1" applyBorder="1" applyAlignment="1">
      <alignment wrapText="1"/>
    </xf>
    <xf numFmtId="3" fontId="101" fillId="0" borderId="0" xfId="0" applyNumberFormat="1" applyFont="1" applyFill="1" applyBorder="1" applyAlignment="1">
      <alignment horizontal="right"/>
    </xf>
    <xf numFmtId="3" fontId="70" fillId="0" borderId="0" xfId="0" applyNumberFormat="1" applyFont="1" applyFill="1" applyBorder="1"/>
    <xf numFmtId="0" fontId="101" fillId="0" borderId="17" xfId="0" applyFont="1" applyFill="1" applyBorder="1" applyAlignment="1">
      <alignment wrapText="1"/>
    </xf>
    <xf numFmtId="3" fontId="101" fillId="0" borderId="17" xfId="0" applyNumberFormat="1" applyFont="1" applyFill="1" applyBorder="1" applyAlignment="1">
      <alignment horizontal="right"/>
    </xf>
    <xf numFmtId="166" fontId="70" fillId="0" borderId="0" xfId="0" applyNumberFormat="1" applyFont="1" applyFill="1" applyBorder="1"/>
    <xf numFmtId="0" fontId="101" fillId="0" borderId="0" xfId="0" applyFont="1" applyFill="1" applyBorder="1" applyAlignment="1">
      <alignment horizontal="left"/>
    </xf>
    <xf numFmtId="3" fontId="70" fillId="0" borderId="0" xfId="4" applyNumberFormat="1" applyFont="1" applyFill="1" applyBorder="1"/>
    <xf numFmtId="3" fontId="70" fillId="0" borderId="0" xfId="3" applyNumberFormat="1" applyFont="1" applyFill="1" applyBorder="1"/>
    <xf numFmtId="3" fontId="62" fillId="0" borderId="0" xfId="0" applyNumberFormat="1" applyFont="1" applyFill="1" applyBorder="1"/>
    <xf numFmtId="0" fontId="16" fillId="0" borderId="0" xfId="0" applyFont="1" applyFill="1" applyAlignment="1">
      <alignment vertical="center"/>
    </xf>
    <xf numFmtId="0" fontId="2" fillId="0" borderId="0" xfId="0" applyNumberFormat="1" applyFont="1" applyFill="1" applyBorder="1" applyAlignment="1">
      <alignment horizontal="left"/>
    </xf>
    <xf numFmtId="0" fontId="2" fillId="0" borderId="11" xfId="0" applyNumberFormat="1" applyFont="1" applyFill="1" applyBorder="1" applyAlignment="1">
      <alignment horizontal="left"/>
    </xf>
    <xf numFmtId="164" fontId="2" fillId="0" borderId="11" xfId="0" applyNumberFormat="1" applyFont="1" applyFill="1" applyBorder="1" applyAlignment="1">
      <alignment horizontal="right"/>
    </xf>
    <xf numFmtId="0" fontId="61" fillId="0" borderId="1" xfId="0" applyNumberFormat="1" applyFont="1" applyFill="1" applyBorder="1" applyAlignment="1">
      <alignment horizontal="left"/>
    </xf>
    <xf numFmtId="164" fontId="101" fillId="0" borderId="0" xfId="0" applyNumberFormat="1" applyFont="1" applyFill="1" applyBorder="1" applyAlignment="1">
      <alignment horizontal="right"/>
    </xf>
    <xf numFmtId="164" fontId="70" fillId="0" borderId="0" xfId="0" applyNumberFormat="1" applyFont="1" applyFill="1" applyBorder="1" applyAlignment="1">
      <alignment horizontal="right"/>
    </xf>
    <xf numFmtId="0" fontId="70" fillId="0" borderId="0" xfId="0" applyNumberFormat="1" applyFont="1" applyFill="1" applyBorder="1" applyAlignment="1">
      <alignment horizontal="left" wrapText="1"/>
    </xf>
    <xf numFmtId="165" fontId="70" fillId="0" borderId="0" xfId="0" applyNumberFormat="1" applyFont="1" applyFill="1" applyBorder="1" applyAlignment="1">
      <alignment horizontal="right"/>
    </xf>
    <xf numFmtId="164" fontId="70" fillId="0" borderId="0" xfId="0" applyNumberFormat="1" applyFont="1" applyFill="1" applyBorder="1"/>
    <xf numFmtId="0" fontId="43" fillId="0" borderId="0" xfId="0" applyFont="1"/>
    <xf numFmtId="17" fontId="8" fillId="3" borderId="3" xfId="0" applyNumberFormat="1" applyFont="1" applyFill="1" applyBorder="1" applyAlignment="1">
      <alignment horizontal="center" vertical="center" wrapText="1"/>
    </xf>
    <xf numFmtId="17" fontId="8" fillId="3" borderId="4" xfId="0" applyNumberFormat="1" applyFont="1" applyFill="1" applyBorder="1" applyAlignment="1">
      <alignment horizontal="center" vertical="center" wrapText="1"/>
    </xf>
    <xf numFmtId="2" fontId="6" fillId="3" borderId="19" xfId="0" applyNumberFormat="1" applyFont="1" applyFill="1" applyBorder="1" applyAlignment="1">
      <alignment horizontal="center" vertical="center"/>
    </xf>
    <xf numFmtId="2" fontId="6" fillId="3" borderId="15" xfId="0" applyNumberFormat="1" applyFont="1" applyFill="1" applyBorder="1" applyAlignment="1">
      <alignment horizontal="center" vertical="center"/>
    </xf>
    <xf numFmtId="164" fontId="20" fillId="3" borderId="0" xfId="0" applyNumberFormat="1" applyFont="1" applyFill="1" applyBorder="1" applyAlignment="1">
      <alignment horizontal="center" vertical="center"/>
    </xf>
    <xf numFmtId="164" fontId="20" fillId="3" borderId="21" xfId="0" applyNumberFormat="1" applyFont="1" applyFill="1" applyBorder="1" applyAlignment="1">
      <alignment horizontal="center" vertical="center"/>
    </xf>
    <xf numFmtId="164" fontId="20" fillId="3" borderId="16" xfId="0" applyNumberFormat="1" applyFont="1" applyFill="1" applyBorder="1" applyAlignment="1">
      <alignment horizontal="center" vertical="center"/>
    </xf>
    <xf numFmtId="164" fontId="20" fillId="3" borderId="8" xfId="0" applyNumberFormat="1" applyFont="1" applyFill="1" applyBorder="1" applyAlignment="1">
      <alignment horizontal="center" vertical="center"/>
    </xf>
    <xf numFmtId="0" fontId="20" fillId="3" borderId="20" xfId="0" applyFont="1" applyFill="1" applyBorder="1" applyAlignment="1">
      <alignment horizontal="left" vertical="center"/>
    </xf>
    <xf numFmtId="0" fontId="20" fillId="3" borderId="21" xfId="0" applyFont="1" applyFill="1" applyBorder="1" applyAlignment="1">
      <alignment horizontal="left" vertical="center"/>
    </xf>
    <xf numFmtId="0" fontId="20" fillId="3" borderId="8" xfId="0" applyFont="1" applyFill="1" applyBorder="1" applyAlignment="1">
      <alignment horizontal="left" vertical="center"/>
    </xf>
    <xf numFmtId="164" fontId="6" fillId="3" borderId="18" xfId="0" applyNumberFormat="1" applyFont="1" applyFill="1" applyBorder="1" applyAlignment="1">
      <alignment horizontal="center" vertical="center"/>
    </xf>
    <xf numFmtId="164" fontId="6" fillId="3" borderId="19" xfId="0" applyNumberFormat="1" applyFont="1" applyFill="1" applyBorder="1" applyAlignment="1">
      <alignment horizontal="center" vertical="center"/>
    </xf>
    <xf numFmtId="164" fontId="6" fillId="3" borderId="15" xfId="0" applyNumberFormat="1" applyFont="1" applyFill="1" applyBorder="1" applyAlignment="1">
      <alignment horizontal="center" vertical="center"/>
    </xf>
    <xf numFmtId="0" fontId="6" fillId="3" borderId="20" xfId="0" applyFont="1" applyFill="1" applyBorder="1" applyAlignment="1">
      <alignment horizontal="left" vertical="center" wrapText="1"/>
    </xf>
    <xf numFmtId="0" fontId="6" fillId="3" borderId="21" xfId="0" applyFont="1" applyFill="1" applyBorder="1" applyAlignment="1">
      <alignment horizontal="left" vertical="center" wrapText="1"/>
    </xf>
    <xf numFmtId="0" fontId="6" fillId="3" borderId="8" xfId="0" applyFont="1" applyFill="1" applyBorder="1" applyAlignment="1">
      <alignment horizontal="left" vertical="center" wrapText="1"/>
    </xf>
    <xf numFmtId="0" fontId="20" fillId="7" borderId="7" xfId="0" applyFont="1" applyFill="1" applyBorder="1" applyAlignment="1">
      <alignment horizontal="center" vertical="center"/>
    </xf>
    <xf numFmtId="0" fontId="20" fillId="7" borderId="14" xfId="0" applyFont="1" applyFill="1" applyBorder="1" applyAlignment="1">
      <alignment horizontal="center" vertical="center"/>
    </xf>
    <xf numFmtId="0" fontId="20" fillId="7" borderId="6" xfId="0" applyFont="1" applyFill="1" applyBorder="1" applyAlignment="1">
      <alignment horizontal="center" vertical="center"/>
    </xf>
    <xf numFmtId="17" fontId="20" fillId="3" borderId="18" xfId="0" applyNumberFormat="1" applyFont="1" applyFill="1" applyBorder="1" applyAlignment="1">
      <alignment horizontal="center" vertical="center" wrapText="1"/>
    </xf>
    <xf numFmtId="17" fontId="20" fillId="3" borderId="22" xfId="0" applyNumberFormat="1" applyFont="1" applyFill="1" applyBorder="1" applyAlignment="1">
      <alignment horizontal="center" vertical="center" wrapText="1"/>
    </xf>
    <xf numFmtId="17" fontId="20" fillId="3" borderId="20" xfId="0" applyNumberFormat="1" applyFont="1" applyFill="1" applyBorder="1" applyAlignment="1">
      <alignment horizontal="center" vertical="center" wrapText="1"/>
    </xf>
    <xf numFmtId="17" fontId="20" fillId="3" borderId="19" xfId="0" applyNumberFormat="1" applyFont="1" applyFill="1" applyBorder="1" applyAlignment="1">
      <alignment horizontal="center" vertical="center" wrapText="1"/>
    </xf>
    <xf numFmtId="17" fontId="20" fillId="3" borderId="0" xfId="0" applyNumberFormat="1" applyFont="1" applyFill="1" applyBorder="1" applyAlignment="1">
      <alignment horizontal="center" vertical="center" wrapText="1"/>
    </xf>
    <xf numFmtId="17" fontId="20" fillId="3" borderId="21" xfId="0" applyNumberFormat="1" applyFont="1" applyFill="1" applyBorder="1" applyAlignment="1">
      <alignment horizontal="center" vertical="center" wrapText="1"/>
    </xf>
    <xf numFmtId="17" fontId="20" fillId="3" borderId="15" xfId="0" applyNumberFormat="1" applyFont="1" applyFill="1" applyBorder="1" applyAlignment="1">
      <alignment horizontal="center" vertical="center" wrapText="1"/>
    </xf>
    <xf numFmtId="17" fontId="20" fillId="3" borderId="16" xfId="0" applyNumberFormat="1" applyFont="1" applyFill="1" applyBorder="1" applyAlignment="1">
      <alignment horizontal="center" vertical="center" wrapText="1"/>
    </xf>
    <xf numFmtId="17" fontId="20" fillId="3" borderId="8" xfId="0" applyNumberFormat="1" applyFont="1" applyFill="1" applyBorder="1" applyAlignment="1">
      <alignment horizontal="center" vertical="center" wrapText="1"/>
    </xf>
    <xf numFmtId="166" fontId="8" fillId="3" borderId="18" xfId="0" applyNumberFormat="1" applyFont="1" applyFill="1" applyBorder="1" applyAlignment="1">
      <alignment horizontal="center" vertical="center" wrapText="1"/>
    </xf>
    <xf numFmtId="166" fontId="8" fillId="3" borderId="19" xfId="0" applyNumberFormat="1" applyFont="1" applyFill="1" applyBorder="1" applyAlignment="1">
      <alignment horizontal="center" vertical="center" wrapText="1"/>
    </xf>
    <xf numFmtId="166" fontId="8" fillId="3" borderId="15" xfId="0" applyNumberFormat="1" applyFont="1" applyFill="1" applyBorder="1" applyAlignment="1">
      <alignment horizontal="center" vertical="center" wrapText="1"/>
    </xf>
    <xf numFmtId="164" fontId="20" fillId="3" borderId="18" xfId="0" applyNumberFormat="1" applyFont="1" applyFill="1" applyBorder="1" applyAlignment="1">
      <alignment horizontal="center" vertical="center"/>
    </xf>
    <xf numFmtId="164" fontId="20" fillId="3" borderId="19" xfId="0" applyNumberFormat="1" applyFont="1" applyFill="1" applyBorder="1" applyAlignment="1">
      <alignment horizontal="center" vertical="center"/>
    </xf>
    <xf numFmtId="164" fontId="20" fillId="3" borderId="15" xfId="0" applyNumberFormat="1" applyFont="1" applyFill="1" applyBorder="1" applyAlignment="1">
      <alignment horizontal="center" vertical="center"/>
    </xf>
    <xf numFmtId="0" fontId="20" fillId="6" borderId="7" xfId="0" applyFont="1" applyFill="1" applyBorder="1" applyAlignment="1">
      <alignment horizontal="center" vertical="center"/>
    </xf>
    <xf numFmtId="0" fontId="20" fillId="6" borderId="14" xfId="0" applyFont="1" applyFill="1" applyBorder="1" applyAlignment="1">
      <alignment horizontal="center" vertical="center"/>
    </xf>
    <xf numFmtId="0" fontId="20" fillId="6" borderId="6"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0" xfId="0" applyFont="1" applyFill="1" applyBorder="1" applyAlignment="1">
      <alignment horizontal="center" vertical="center"/>
    </xf>
    <xf numFmtId="0" fontId="20" fillId="3" borderId="21" xfId="0" applyFont="1" applyFill="1" applyBorder="1" applyAlignment="1">
      <alignment horizontal="center" vertical="center"/>
    </xf>
    <xf numFmtId="0" fontId="20" fillId="3" borderId="8" xfId="0" applyFont="1" applyFill="1" applyBorder="1" applyAlignment="1">
      <alignment horizontal="center" vertical="center"/>
    </xf>
    <xf numFmtId="164" fontId="20" fillId="0" borderId="18" xfId="0" applyNumberFormat="1" applyFont="1" applyBorder="1" applyAlignment="1">
      <alignment horizontal="center" vertical="center"/>
    </xf>
    <xf numFmtId="164" fontId="20" fillId="0" borderId="22" xfId="0" applyNumberFormat="1" applyFont="1" applyBorder="1" applyAlignment="1">
      <alignment horizontal="center" vertical="center"/>
    </xf>
    <xf numFmtId="164" fontId="20" fillId="0" borderId="20" xfId="0" applyNumberFormat="1" applyFont="1" applyBorder="1" applyAlignment="1">
      <alignment horizontal="center" vertical="center"/>
    </xf>
    <xf numFmtId="164" fontId="20" fillId="0" borderId="19" xfId="0" applyNumberFormat="1" applyFont="1" applyBorder="1" applyAlignment="1">
      <alignment horizontal="center" vertical="center"/>
    </xf>
    <xf numFmtId="164" fontId="20" fillId="0" borderId="0" xfId="0" applyNumberFormat="1" applyFont="1" applyBorder="1" applyAlignment="1">
      <alignment horizontal="center" vertical="center"/>
    </xf>
    <xf numFmtId="164" fontId="20" fillId="0" borderId="21" xfId="0" applyNumberFormat="1" applyFont="1" applyBorder="1" applyAlignment="1">
      <alignment horizontal="center" vertical="center"/>
    </xf>
    <xf numFmtId="164" fontId="20" fillId="0" borderId="15" xfId="0" applyNumberFormat="1" applyFont="1" applyBorder="1" applyAlignment="1">
      <alignment horizontal="center" vertical="center"/>
    </xf>
    <xf numFmtId="164" fontId="20" fillId="0" borderId="16" xfId="0" applyNumberFormat="1" applyFont="1" applyBorder="1" applyAlignment="1">
      <alignment horizontal="center" vertical="center"/>
    </xf>
    <xf numFmtId="164" fontId="20" fillId="0" borderId="8" xfId="0" applyNumberFormat="1" applyFont="1" applyBorder="1" applyAlignment="1">
      <alignment horizontal="center" vertical="center"/>
    </xf>
    <xf numFmtId="0" fontId="20" fillId="7" borderId="7" xfId="0"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7" borderId="6" xfId="0" applyFont="1" applyFill="1" applyBorder="1" applyAlignment="1">
      <alignment horizontal="center" vertical="center" wrapText="1"/>
    </xf>
    <xf numFmtId="2" fontId="21" fillId="0" borderId="3" xfId="0" applyNumberFormat="1" applyFont="1" applyBorder="1" applyAlignment="1">
      <alignment horizontal="center" vertical="center"/>
    </xf>
    <xf numFmtId="2" fontId="21" fillId="0" borderId="5" xfId="0" applyNumberFormat="1" applyFont="1" applyBorder="1" applyAlignment="1">
      <alignment horizontal="center" vertical="center"/>
    </xf>
    <xf numFmtId="2" fontId="21" fillId="0" borderId="4" xfId="0" applyNumberFormat="1" applyFont="1" applyBorder="1" applyAlignment="1">
      <alignment horizontal="center" vertical="center"/>
    </xf>
    <xf numFmtId="164" fontId="20" fillId="0" borderId="3" xfId="0" applyNumberFormat="1" applyFont="1" applyBorder="1" applyAlignment="1">
      <alignment horizontal="center" vertical="center"/>
    </xf>
    <xf numFmtId="164" fontId="20" fillId="0" borderId="5" xfId="0" applyNumberFormat="1" applyFont="1" applyBorder="1" applyAlignment="1">
      <alignment horizontal="center" vertical="center"/>
    </xf>
    <xf numFmtId="164" fontId="20" fillId="0" borderId="4" xfId="0" applyNumberFormat="1" applyFont="1" applyBorder="1" applyAlignment="1">
      <alignment horizontal="center" vertical="center"/>
    </xf>
    <xf numFmtId="164" fontId="20" fillId="0" borderId="3" xfId="0" applyNumberFormat="1" applyFont="1" applyFill="1" applyBorder="1" applyAlignment="1">
      <alignment horizontal="center" vertical="center"/>
    </xf>
    <xf numFmtId="164" fontId="20" fillId="0" borderId="5" xfId="0" applyNumberFormat="1" applyFont="1" applyFill="1" applyBorder="1" applyAlignment="1">
      <alignment horizontal="center" vertical="center"/>
    </xf>
    <xf numFmtId="164" fontId="20" fillId="0" borderId="4" xfId="0" applyNumberFormat="1" applyFont="1" applyFill="1" applyBorder="1" applyAlignment="1">
      <alignment horizontal="center" vertical="center"/>
    </xf>
    <xf numFmtId="0" fontId="20" fillId="0" borderId="3"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20" fillId="3" borderId="3" xfId="0" applyFont="1" applyFill="1" applyBorder="1" applyAlignment="1">
      <alignment vertical="center" wrapText="1"/>
    </xf>
    <xf numFmtId="0" fontId="20" fillId="3" borderId="5" xfId="0" applyFont="1" applyFill="1" applyBorder="1" applyAlignment="1">
      <alignment vertical="center" wrapText="1"/>
    </xf>
    <xf numFmtId="0" fontId="20" fillId="3" borderId="4" xfId="0" applyFont="1" applyFill="1" applyBorder="1" applyAlignment="1">
      <alignment vertical="center" wrapText="1"/>
    </xf>
    <xf numFmtId="0" fontId="6" fillId="0" borderId="3" xfId="0" applyFont="1" applyBorder="1" applyAlignment="1">
      <alignment vertical="center" wrapText="1"/>
    </xf>
    <xf numFmtId="0" fontId="20" fillId="0" borderId="5" xfId="0" applyFont="1" applyBorder="1" applyAlignment="1">
      <alignment vertical="center" wrapText="1"/>
    </xf>
    <xf numFmtId="0" fontId="20" fillId="0" borderId="4" xfId="0" applyFont="1" applyBorder="1" applyAlignment="1">
      <alignment vertical="center" wrapText="1"/>
    </xf>
    <xf numFmtId="0" fontId="20" fillId="0" borderId="3" xfId="0" applyFont="1" applyBorder="1" applyAlignment="1">
      <alignment vertical="center" wrapText="1"/>
    </xf>
    <xf numFmtId="0" fontId="20" fillId="0" borderId="3" xfId="0" applyFont="1" applyFill="1" applyBorder="1" applyAlignment="1">
      <alignment vertical="center" wrapText="1"/>
    </xf>
    <xf numFmtId="0" fontId="20" fillId="0" borderId="5" xfId="0" applyFont="1" applyFill="1" applyBorder="1" applyAlignment="1">
      <alignment vertical="center" wrapText="1"/>
    </xf>
    <xf numFmtId="0" fontId="20" fillId="0" borderId="4" xfId="0" applyFont="1" applyFill="1" applyBorder="1" applyAlignment="1">
      <alignment vertical="center" wrapText="1"/>
    </xf>
    <xf numFmtId="0" fontId="6" fillId="0" borderId="5" xfId="0" applyFont="1" applyBorder="1" applyAlignment="1">
      <alignment vertical="center" wrapText="1"/>
    </xf>
    <xf numFmtId="0" fontId="6" fillId="0" borderId="4" xfId="0" applyFont="1" applyBorder="1" applyAlignment="1">
      <alignment vertical="center" wrapText="1"/>
    </xf>
    <xf numFmtId="0" fontId="37" fillId="0" borderId="7" xfId="0" applyFont="1" applyBorder="1" applyAlignment="1">
      <alignment horizontal="center" vertical="center" wrapText="1"/>
    </xf>
    <xf numFmtId="0" fontId="37" fillId="0" borderId="14" xfId="0" applyFont="1" applyBorder="1" applyAlignment="1">
      <alignment horizontal="center" vertical="center" wrapText="1"/>
    </xf>
    <xf numFmtId="0" fontId="37" fillId="0" borderId="6" xfId="0" applyFont="1" applyBorder="1" applyAlignment="1">
      <alignment horizontal="center" vertical="center" wrapText="1"/>
    </xf>
    <xf numFmtId="0" fontId="20" fillId="0" borderId="3" xfId="0" applyNumberFormat="1" applyFont="1" applyFill="1" applyBorder="1" applyAlignment="1">
      <alignment horizontal="center" vertical="center" wrapText="1"/>
    </xf>
    <xf numFmtId="0" fontId="20" fillId="0" borderId="5" xfId="0" applyNumberFormat="1" applyFont="1" applyFill="1" applyBorder="1" applyAlignment="1">
      <alignment horizontal="center" vertical="center" wrapText="1"/>
    </xf>
    <xf numFmtId="0" fontId="20" fillId="0" borderId="4" xfId="0" applyNumberFormat="1" applyFont="1" applyFill="1" applyBorder="1" applyAlignment="1">
      <alignment horizontal="center" vertical="center" wrapText="1"/>
    </xf>
    <xf numFmtId="0" fontId="20" fillId="3" borderId="3" xfId="0" applyNumberFormat="1" applyFont="1" applyFill="1" applyBorder="1" applyAlignment="1">
      <alignment horizontal="center" vertical="center" wrapText="1"/>
    </xf>
    <xf numFmtId="0" fontId="20" fillId="3" borderId="5" xfId="0" applyNumberFormat="1" applyFont="1" applyFill="1" applyBorder="1" applyAlignment="1">
      <alignment horizontal="center" vertical="center" wrapText="1"/>
    </xf>
    <xf numFmtId="0" fontId="20" fillId="3" borderId="4" xfId="0" applyNumberFormat="1" applyFont="1" applyFill="1" applyBorder="1" applyAlignment="1">
      <alignment horizontal="center" vertical="center" wrapText="1"/>
    </xf>
    <xf numFmtId="17" fontId="48" fillId="3" borderId="14" xfId="0" applyNumberFormat="1" applyFont="1" applyFill="1" applyBorder="1" applyAlignment="1">
      <alignment horizontal="center" vertical="center" wrapText="1"/>
    </xf>
    <xf numFmtId="17" fontId="48" fillId="3" borderId="6" xfId="0" applyNumberFormat="1" applyFont="1" applyFill="1" applyBorder="1" applyAlignment="1">
      <alignment horizontal="center" vertical="center" wrapText="1"/>
    </xf>
    <xf numFmtId="166" fontId="48" fillId="3" borderId="14" xfId="0" applyNumberFormat="1" applyFont="1" applyFill="1" applyBorder="1" applyAlignment="1">
      <alignment horizontal="center" vertical="center" wrapText="1"/>
    </xf>
    <xf numFmtId="166" fontId="48" fillId="3" borderId="6" xfId="0" applyNumberFormat="1" applyFont="1" applyFill="1" applyBorder="1" applyAlignment="1">
      <alignment horizontal="center" vertical="center" wrapText="1"/>
    </xf>
    <xf numFmtId="166" fontId="48" fillId="3" borderId="7" xfId="0" applyNumberFormat="1" applyFont="1" applyFill="1" applyBorder="1" applyAlignment="1">
      <alignment horizontal="center" vertical="center" wrapText="1"/>
    </xf>
    <xf numFmtId="0" fontId="21" fillId="0" borderId="18" xfId="0" applyNumberFormat="1" applyFont="1" applyFill="1" applyBorder="1" applyAlignment="1">
      <alignment horizontal="center" vertical="center"/>
    </xf>
    <xf numFmtId="0" fontId="21" fillId="0" borderId="22" xfId="0" applyNumberFormat="1" applyFont="1" applyFill="1" applyBorder="1" applyAlignment="1">
      <alignment horizontal="center" vertical="center"/>
    </xf>
    <xf numFmtId="0" fontId="21" fillId="0" borderId="20" xfId="0" applyNumberFormat="1" applyFont="1" applyFill="1" applyBorder="1" applyAlignment="1">
      <alignment horizontal="center" vertical="center"/>
    </xf>
    <xf numFmtId="0" fontId="21" fillId="0" borderId="19" xfId="0" applyNumberFormat="1" applyFont="1" applyFill="1" applyBorder="1" applyAlignment="1">
      <alignment horizontal="center" vertical="center"/>
    </xf>
    <xf numFmtId="0" fontId="21" fillId="0" borderId="0" xfId="0" applyNumberFormat="1" applyFont="1" applyFill="1" applyBorder="1" applyAlignment="1">
      <alignment horizontal="center" vertical="center"/>
    </xf>
    <xf numFmtId="0" fontId="21" fillId="0" borderId="21" xfId="0" applyNumberFormat="1" applyFont="1" applyFill="1" applyBorder="1" applyAlignment="1">
      <alignment horizontal="center" vertical="center"/>
    </xf>
    <xf numFmtId="0" fontId="21" fillId="0" borderId="15" xfId="0" applyNumberFormat="1" applyFont="1" applyFill="1" applyBorder="1" applyAlignment="1">
      <alignment horizontal="center" vertical="center"/>
    </xf>
    <xf numFmtId="0" fontId="21" fillId="0" borderId="16" xfId="0" applyNumberFormat="1" applyFont="1" applyFill="1" applyBorder="1" applyAlignment="1">
      <alignment horizontal="center" vertical="center"/>
    </xf>
    <xf numFmtId="0" fontId="21" fillId="0" borderId="8" xfId="0" applyNumberFormat="1" applyFont="1" applyFill="1" applyBorder="1" applyAlignment="1">
      <alignment horizontal="center" vertical="center"/>
    </xf>
    <xf numFmtId="0" fontId="48" fillId="0" borderId="7" xfId="0" applyFont="1" applyBorder="1" applyAlignment="1">
      <alignment horizontal="center" vertical="center" wrapText="1"/>
    </xf>
    <xf numFmtId="0" fontId="48" fillId="0" borderId="6" xfId="0" applyFont="1" applyBorder="1" applyAlignment="1">
      <alignment horizontal="center" vertical="center" wrapText="1"/>
    </xf>
    <xf numFmtId="166" fontId="48" fillId="0" borderId="7" xfId="0" applyNumberFormat="1" applyFont="1" applyFill="1" applyBorder="1" applyAlignment="1">
      <alignment horizontal="center" vertical="center" wrapText="1"/>
    </xf>
    <xf numFmtId="166" fontId="48" fillId="0" borderId="14" xfId="0" applyNumberFormat="1" applyFont="1" applyFill="1" applyBorder="1" applyAlignment="1">
      <alignment horizontal="center" vertical="center" wrapText="1"/>
    </xf>
    <xf numFmtId="166" fontId="48" fillId="0" borderId="6" xfId="0" applyNumberFormat="1" applyFont="1" applyFill="1" applyBorder="1" applyAlignment="1">
      <alignment horizontal="center" vertical="center" wrapText="1"/>
    </xf>
    <xf numFmtId="166" fontId="48" fillId="0" borderId="7" xfId="0" applyNumberFormat="1" applyFont="1" applyFill="1" applyBorder="1" applyAlignment="1">
      <alignment horizontal="center" vertical="center"/>
    </xf>
    <xf numFmtId="166" fontId="48" fillId="0" borderId="6" xfId="0" applyNumberFormat="1" applyFont="1" applyFill="1" applyBorder="1" applyAlignment="1">
      <alignment horizontal="center" vertical="center"/>
    </xf>
    <xf numFmtId="0" fontId="20" fillId="3" borderId="18" xfId="0" applyFont="1" applyFill="1" applyBorder="1" applyAlignment="1">
      <alignment horizontal="center" vertical="center"/>
    </xf>
    <xf numFmtId="0" fontId="20" fillId="3" borderId="19" xfId="0" applyFont="1" applyFill="1" applyBorder="1" applyAlignment="1">
      <alignment horizontal="center" vertical="center"/>
    </xf>
    <xf numFmtId="0" fontId="20" fillId="3" borderId="15" xfId="0" applyFont="1" applyFill="1" applyBorder="1" applyAlignment="1">
      <alignment horizontal="center" vertical="center"/>
    </xf>
    <xf numFmtId="166" fontId="6" fillId="3" borderId="20" xfId="0" applyNumberFormat="1" applyFont="1" applyFill="1" applyBorder="1" applyAlignment="1">
      <alignment horizontal="center" vertical="center" wrapText="1"/>
    </xf>
    <xf numFmtId="166" fontId="6" fillId="3" borderId="21" xfId="0" applyNumberFormat="1" applyFont="1" applyFill="1" applyBorder="1" applyAlignment="1">
      <alignment horizontal="center" vertical="center" wrapText="1"/>
    </xf>
    <xf numFmtId="166" fontId="6" fillId="3" borderId="8" xfId="0" applyNumberFormat="1" applyFont="1" applyFill="1" applyBorder="1" applyAlignment="1">
      <alignment horizontal="center" vertical="center" wrapText="1"/>
    </xf>
    <xf numFmtId="0" fontId="20" fillId="0" borderId="18" xfId="0" applyNumberFormat="1" applyFont="1" applyFill="1" applyBorder="1" applyAlignment="1">
      <alignment horizontal="center" vertical="center" wrapText="1"/>
    </xf>
    <xf numFmtId="0" fontId="20" fillId="0" borderId="22" xfId="0" applyNumberFormat="1" applyFont="1" applyFill="1" applyBorder="1" applyAlignment="1">
      <alignment horizontal="center" vertical="center" wrapText="1"/>
    </xf>
    <xf numFmtId="0" fontId="20" fillId="0" borderId="20" xfId="0" applyNumberFormat="1" applyFont="1" applyFill="1" applyBorder="1" applyAlignment="1">
      <alignment horizontal="center" vertical="center" wrapText="1"/>
    </xf>
    <xf numFmtId="0" fontId="20" fillId="0" borderId="19" xfId="0" applyNumberFormat="1" applyFont="1" applyFill="1" applyBorder="1" applyAlignment="1">
      <alignment horizontal="center" vertical="center" wrapText="1"/>
    </xf>
    <xf numFmtId="0" fontId="20" fillId="0" borderId="0" xfId="0" applyNumberFormat="1" applyFont="1" applyFill="1" applyBorder="1" applyAlignment="1">
      <alignment horizontal="center" vertical="center" wrapText="1"/>
    </xf>
    <xf numFmtId="0" fontId="20" fillId="0" borderId="21" xfId="0" applyNumberFormat="1" applyFont="1" applyFill="1" applyBorder="1" applyAlignment="1">
      <alignment horizontal="center" vertical="center" wrapText="1"/>
    </xf>
    <xf numFmtId="0" fontId="20" fillId="0" borderId="15" xfId="0" applyNumberFormat="1" applyFont="1" applyFill="1" applyBorder="1" applyAlignment="1">
      <alignment horizontal="center" vertical="center" wrapText="1"/>
    </xf>
    <xf numFmtId="0" fontId="20" fillId="0" borderId="16" xfId="0" applyNumberFormat="1" applyFont="1" applyFill="1" applyBorder="1" applyAlignment="1">
      <alignment horizontal="center" vertical="center" wrapText="1"/>
    </xf>
    <xf numFmtId="0" fontId="20" fillId="0" borderId="8" xfId="0" applyNumberFormat="1" applyFont="1" applyFill="1" applyBorder="1" applyAlignment="1">
      <alignment horizontal="center" vertical="center" wrapText="1"/>
    </xf>
    <xf numFmtId="0" fontId="20" fillId="0" borderId="18" xfId="0" applyFont="1" applyFill="1" applyBorder="1" applyAlignment="1">
      <alignment horizontal="left" vertical="center" wrapText="1"/>
    </xf>
    <xf numFmtId="0" fontId="20" fillId="0" borderId="22" xfId="0" applyFont="1" applyFill="1" applyBorder="1" applyAlignment="1">
      <alignment horizontal="left" vertical="center" wrapText="1"/>
    </xf>
    <xf numFmtId="0" fontId="20" fillId="0" borderId="20" xfId="0" applyFont="1" applyFill="1" applyBorder="1" applyAlignment="1">
      <alignment horizontal="left" vertical="center" wrapText="1"/>
    </xf>
    <xf numFmtId="0" fontId="20" fillId="0" borderId="15"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48" fillId="0" borderId="7" xfId="0" applyFont="1" applyFill="1" applyBorder="1" applyAlignment="1">
      <alignment horizontal="center" vertical="center"/>
    </xf>
    <xf numFmtId="0" fontId="48" fillId="0" borderId="6" xfId="0" applyFont="1" applyFill="1" applyBorder="1" applyAlignment="1">
      <alignment horizontal="center" vertical="center"/>
    </xf>
    <xf numFmtId="0" fontId="26" fillId="10" borderId="3" xfId="0" applyFont="1" applyFill="1" applyBorder="1" applyAlignment="1">
      <alignment horizontal="center" vertical="center" wrapText="1"/>
    </xf>
    <xf numFmtId="0" fontId="26" fillId="10" borderId="5" xfId="0" applyFont="1" applyFill="1" applyBorder="1" applyAlignment="1">
      <alignment horizontal="center" vertical="center" wrapText="1"/>
    </xf>
    <xf numFmtId="0" fontId="26" fillId="10" borderId="4" xfId="0" applyFont="1" applyFill="1" applyBorder="1" applyAlignment="1">
      <alignment horizontal="center" vertical="center" wrapText="1"/>
    </xf>
    <xf numFmtId="0" fontId="6" fillId="0" borderId="3" xfId="0" applyFont="1" applyBorder="1" applyAlignment="1">
      <alignment horizontal="left" vertical="center" wrapText="1"/>
    </xf>
    <xf numFmtId="0" fontId="6" fillId="0" borderId="5" xfId="0" applyFont="1" applyBorder="1" applyAlignment="1">
      <alignment horizontal="left" vertical="center" wrapText="1"/>
    </xf>
    <xf numFmtId="0" fontId="6" fillId="0" borderId="4"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0" fillId="0" borderId="4" xfId="0" applyFont="1" applyBorder="1" applyAlignment="1">
      <alignment horizontal="left" vertical="center" wrapText="1"/>
    </xf>
    <xf numFmtId="0" fontId="6" fillId="0" borderId="3" xfId="0" applyFont="1" applyBorder="1" applyAlignment="1">
      <alignment vertical="center"/>
    </xf>
    <xf numFmtId="0" fontId="6" fillId="0" borderId="5" xfId="0" applyFont="1" applyBorder="1" applyAlignment="1">
      <alignment vertical="center"/>
    </xf>
    <xf numFmtId="0" fontId="6" fillId="0" borderId="4" xfId="0" applyFont="1" applyBorder="1" applyAlignment="1">
      <alignment vertical="center"/>
    </xf>
    <xf numFmtId="0" fontId="6" fillId="0" borderId="3" xfId="0" applyFont="1" applyFill="1" applyBorder="1" applyAlignment="1">
      <alignment vertical="center" wrapText="1"/>
    </xf>
    <xf numFmtId="0" fontId="6" fillId="0" borderId="5" xfId="0" applyFont="1" applyFill="1" applyBorder="1" applyAlignment="1">
      <alignment vertical="center" wrapText="1"/>
    </xf>
    <xf numFmtId="0" fontId="6" fillId="0" borderId="4" xfId="0" applyFont="1" applyFill="1" applyBorder="1" applyAlignment="1">
      <alignment vertical="center" wrapText="1"/>
    </xf>
    <xf numFmtId="0" fontId="20" fillId="4" borderId="7" xfId="0" applyFont="1" applyFill="1" applyBorder="1" applyAlignment="1">
      <alignment horizontal="center" vertical="center" wrapText="1"/>
    </xf>
    <xf numFmtId="0" fontId="20" fillId="4" borderId="6" xfId="0" applyFont="1" applyFill="1" applyBorder="1" applyAlignment="1">
      <alignment horizontal="center" vertical="center" wrapText="1"/>
    </xf>
    <xf numFmtId="17" fontId="6" fillId="3" borderId="3" xfId="0" applyNumberFormat="1" applyFont="1" applyFill="1" applyBorder="1" applyAlignment="1">
      <alignment horizontal="center" vertical="center" wrapText="1"/>
    </xf>
    <xf numFmtId="0" fontId="21" fillId="0" borderId="3" xfId="0" applyFont="1" applyBorder="1" applyAlignment="1">
      <alignment vertical="center" wrapText="1"/>
    </xf>
    <xf numFmtId="0" fontId="21" fillId="0" borderId="5" xfId="0" applyFont="1" applyBorder="1" applyAlignment="1">
      <alignment vertical="center" wrapText="1"/>
    </xf>
    <xf numFmtId="0" fontId="21" fillId="0" borderId="4" xfId="0" applyFont="1" applyBorder="1" applyAlignment="1">
      <alignment vertical="center" wrapText="1"/>
    </xf>
    <xf numFmtId="0" fontId="6" fillId="0" borderId="7" xfId="0" applyFont="1" applyBorder="1" applyAlignment="1">
      <alignment horizontal="center" vertical="center" wrapText="1"/>
    </xf>
    <xf numFmtId="0" fontId="20" fillId="0" borderId="6" xfId="0" applyFont="1" applyBorder="1" applyAlignment="1">
      <alignment horizontal="center" vertical="center" wrapText="1"/>
    </xf>
    <xf numFmtId="0" fontId="20" fillId="3" borderId="22" xfId="0" applyFont="1" applyFill="1" applyBorder="1" applyAlignment="1">
      <alignment horizontal="center" vertical="center"/>
    </xf>
    <xf numFmtId="0" fontId="20" fillId="3" borderId="0" xfId="0" applyFont="1" applyFill="1" applyBorder="1" applyAlignment="1">
      <alignment horizontal="center" vertical="center"/>
    </xf>
    <xf numFmtId="0" fontId="20" fillId="3" borderId="16" xfId="0" applyFont="1" applyFill="1" applyBorder="1" applyAlignment="1">
      <alignment horizontal="center" vertical="center"/>
    </xf>
    <xf numFmtId="17" fontId="8" fillId="3" borderId="18" xfId="0" applyNumberFormat="1" applyFont="1" applyFill="1" applyBorder="1" applyAlignment="1">
      <alignment horizontal="center" vertical="center" wrapText="1"/>
    </xf>
    <xf numFmtId="17" fontId="8" fillId="3" borderId="20" xfId="0" applyNumberFormat="1" applyFont="1" applyFill="1" applyBorder="1" applyAlignment="1">
      <alignment horizontal="center" vertical="center" wrapText="1"/>
    </xf>
    <xf numFmtId="17" fontId="8" fillId="3" borderId="19" xfId="0" applyNumberFormat="1" applyFont="1" applyFill="1" applyBorder="1" applyAlignment="1">
      <alignment horizontal="center" vertical="center" wrapText="1"/>
    </xf>
    <xf numFmtId="17" fontId="8" fillId="3" borderId="21" xfId="0" applyNumberFormat="1" applyFont="1" applyFill="1" applyBorder="1" applyAlignment="1">
      <alignment horizontal="center" vertical="center" wrapText="1"/>
    </xf>
    <xf numFmtId="17" fontId="8" fillId="3" borderId="15" xfId="0" applyNumberFormat="1" applyFont="1" applyFill="1" applyBorder="1" applyAlignment="1">
      <alignment horizontal="center" vertical="center" wrapText="1"/>
    </xf>
    <xf numFmtId="17" fontId="8" fillId="3" borderId="8" xfId="0" applyNumberFormat="1" applyFont="1" applyFill="1" applyBorder="1" applyAlignment="1">
      <alignment horizontal="center" vertical="center" wrapText="1"/>
    </xf>
    <xf numFmtId="1" fontId="20" fillId="3" borderId="18" xfId="0" applyNumberFormat="1" applyFont="1" applyFill="1" applyBorder="1" applyAlignment="1">
      <alignment horizontal="center" vertical="center"/>
    </xf>
    <xf numFmtId="1" fontId="20" fillId="3" borderId="19" xfId="0" applyNumberFormat="1" applyFont="1" applyFill="1" applyBorder="1" applyAlignment="1">
      <alignment horizontal="center" vertical="center"/>
    </xf>
    <xf numFmtId="1" fontId="20" fillId="3" borderId="15" xfId="0" applyNumberFormat="1" applyFont="1" applyFill="1" applyBorder="1" applyAlignment="1">
      <alignment horizontal="center" vertical="center"/>
    </xf>
    <xf numFmtId="164" fontId="20" fillId="3" borderId="22" xfId="0" applyNumberFormat="1" applyFont="1" applyFill="1" applyBorder="1" applyAlignment="1">
      <alignment horizontal="center" vertical="center"/>
    </xf>
    <xf numFmtId="164" fontId="20" fillId="3" borderId="20" xfId="0" applyNumberFormat="1" applyFont="1" applyFill="1" applyBorder="1" applyAlignment="1">
      <alignment horizontal="center" vertical="center"/>
    </xf>
    <xf numFmtId="2" fontId="6" fillId="3" borderId="18" xfId="0" applyNumberFormat="1" applyFont="1" applyFill="1" applyBorder="1" applyAlignment="1">
      <alignment horizontal="center" vertical="center"/>
    </xf>
    <xf numFmtId="0" fontId="21" fillId="0" borderId="3" xfId="0" applyNumberFormat="1" applyFont="1" applyFill="1" applyBorder="1" applyAlignment="1">
      <alignment horizontal="center" vertical="center" wrapText="1"/>
    </xf>
    <xf numFmtId="0" fontId="21" fillId="0" borderId="5" xfId="0" applyNumberFormat="1" applyFont="1" applyFill="1" applyBorder="1" applyAlignment="1">
      <alignment horizontal="center" vertical="center" wrapText="1"/>
    </xf>
    <xf numFmtId="0" fontId="21" fillId="0" borderId="4" xfId="0" applyNumberFormat="1" applyFont="1" applyFill="1" applyBorder="1" applyAlignment="1">
      <alignment horizontal="center" vertical="center" wrapText="1"/>
    </xf>
    <xf numFmtId="0" fontId="20" fillId="7" borderId="20" xfId="0" applyFont="1" applyFill="1" applyBorder="1" applyAlignment="1">
      <alignment horizontal="center" vertical="center" wrapText="1"/>
    </xf>
    <xf numFmtId="0" fontId="20" fillId="7" borderId="21" xfId="0" applyFont="1" applyFill="1" applyBorder="1" applyAlignment="1">
      <alignment horizontal="center" vertical="center" wrapText="1"/>
    </xf>
    <xf numFmtId="0" fontId="20" fillId="7" borderId="8" xfId="0" applyFont="1" applyFill="1" applyBorder="1" applyAlignment="1">
      <alignment horizontal="center" vertical="center" wrapText="1"/>
    </xf>
    <xf numFmtId="3" fontId="21" fillId="0" borderId="3" xfId="0" applyNumberFormat="1" applyFont="1" applyBorder="1" applyAlignment="1">
      <alignment horizontal="center" vertical="center"/>
    </xf>
    <xf numFmtId="3" fontId="21" fillId="0" borderId="5" xfId="0" applyNumberFormat="1" applyFont="1" applyBorder="1" applyAlignment="1">
      <alignment horizontal="center" vertical="center"/>
    </xf>
    <xf numFmtId="3" fontId="21" fillId="0" borderId="4" xfId="0" applyNumberFormat="1" applyFont="1" applyBorder="1" applyAlignment="1">
      <alignment horizontal="center" vertical="center"/>
    </xf>
    <xf numFmtId="0" fontId="20" fillId="0" borderId="7" xfId="0" applyFont="1" applyBorder="1" applyAlignment="1">
      <alignment horizontal="center" vertical="center" wrapText="1"/>
    </xf>
    <xf numFmtId="0" fontId="20" fillId="0" borderId="14" xfId="0" applyFont="1" applyBorder="1" applyAlignment="1">
      <alignment horizontal="center" vertical="center" wrapText="1"/>
    </xf>
    <xf numFmtId="10" fontId="20" fillId="3" borderId="3" xfId="0" applyNumberFormat="1" applyFont="1" applyFill="1" applyBorder="1" applyAlignment="1">
      <alignment horizontal="center" vertical="center"/>
    </xf>
    <xf numFmtId="10" fontId="20" fillId="3" borderId="5" xfId="0" applyNumberFormat="1" applyFont="1" applyFill="1" applyBorder="1" applyAlignment="1">
      <alignment horizontal="center" vertical="center"/>
    </xf>
    <xf numFmtId="10" fontId="20" fillId="3" borderId="4" xfId="0" applyNumberFormat="1" applyFont="1" applyFill="1" applyBorder="1" applyAlignment="1">
      <alignment horizontal="center" vertical="center"/>
    </xf>
    <xf numFmtId="17" fontId="6" fillId="0" borderId="20" xfId="0" applyNumberFormat="1" applyFont="1" applyBorder="1" applyAlignment="1">
      <alignment horizontal="center" vertical="center" wrapText="1"/>
    </xf>
    <xf numFmtId="17" fontId="6" fillId="0" borderId="21" xfId="0" applyNumberFormat="1" applyFont="1" applyBorder="1" applyAlignment="1">
      <alignment horizontal="center" vertical="center" wrapText="1"/>
    </xf>
    <xf numFmtId="17" fontId="6" fillId="0" borderId="8" xfId="0" applyNumberFormat="1" applyFont="1" applyBorder="1" applyAlignment="1">
      <alignment horizontal="center" vertical="center" wrapText="1"/>
    </xf>
    <xf numFmtId="166" fontId="20" fillId="3" borderId="18" xfId="0" applyNumberFormat="1" applyFont="1" applyFill="1" applyBorder="1" applyAlignment="1">
      <alignment horizontal="center" vertical="center" wrapText="1"/>
    </xf>
    <xf numFmtId="166" fontId="20" fillId="3" borderId="19" xfId="0" applyNumberFormat="1" applyFont="1" applyFill="1" applyBorder="1" applyAlignment="1">
      <alignment horizontal="center" vertical="center" wrapText="1"/>
    </xf>
    <xf numFmtId="166" fontId="20" fillId="3" borderId="15" xfId="0" applyNumberFormat="1" applyFont="1" applyFill="1" applyBorder="1" applyAlignment="1">
      <alignment horizontal="center" vertical="center" wrapText="1"/>
    </xf>
    <xf numFmtId="0" fontId="20" fillId="3" borderId="18"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20" fillId="3" borderId="21" xfId="0" applyFont="1" applyFill="1" applyBorder="1" applyAlignment="1">
      <alignment horizontal="center" vertical="center" wrapText="1"/>
    </xf>
    <xf numFmtId="0" fontId="20" fillId="3" borderId="15"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4" borderId="7" xfId="0" applyFont="1" applyFill="1" applyBorder="1" applyAlignment="1">
      <alignment horizontal="center" vertical="center"/>
    </xf>
    <xf numFmtId="0" fontId="20" fillId="4" borderId="6" xfId="0" applyFont="1" applyFill="1" applyBorder="1" applyAlignment="1">
      <alignment horizontal="center" vertical="center"/>
    </xf>
    <xf numFmtId="3" fontId="20" fillId="13" borderId="5" xfId="0" applyNumberFormat="1" applyFont="1" applyFill="1" applyBorder="1" applyAlignment="1">
      <alignment horizontal="left" vertical="center"/>
    </xf>
    <xf numFmtId="3" fontId="20" fillId="13" borderId="4" xfId="0" applyNumberFormat="1" applyFont="1" applyFill="1" applyBorder="1" applyAlignment="1">
      <alignment horizontal="left" vertical="center"/>
    </xf>
    <xf numFmtId="164" fontId="6" fillId="13" borderId="3" xfId="0" applyNumberFormat="1" applyFont="1" applyFill="1" applyBorder="1" applyAlignment="1">
      <alignment horizontal="left" vertical="center"/>
    </xf>
    <xf numFmtId="164" fontId="6" fillId="13" borderId="5" xfId="0" applyNumberFormat="1" applyFont="1" applyFill="1" applyBorder="1" applyAlignment="1">
      <alignment horizontal="left" vertical="center"/>
    </xf>
    <xf numFmtId="3" fontId="20" fillId="3" borderId="5" xfId="0" applyNumberFormat="1" applyFont="1" applyFill="1" applyBorder="1" applyAlignment="1">
      <alignment horizontal="left" vertical="center"/>
    </xf>
    <xf numFmtId="3" fontId="20" fillId="3" borderId="4" xfId="0" applyNumberFormat="1" applyFont="1" applyFill="1" applyBorder="1" applyAlignment="1">
      <alignment horizontal="left" vertical="center"/>
    </xf>
    <xf numFmtId="164" fontId="20" fillId="3" borderId="3" xfId="0" applyNumberFormat="1" applyFont="1" applyFill="1" applyBorder="1" applyAlignment="1">
      <alignment horizontal="left" vertical="center"/>
    </xf>
    <xf numFmtId="164" fontId="20" fillId="3" borderId="5" xfId="0" applyNumberFormat="1" applyFont="1" applyFill="1" applyBorder="1" applyAlignment="1">
      <alignment horizontal="left" vertical="center"/>
    </xf>
    <xf numFmtId="17" fontId="6" fillId="3" borderId="20" xfId="0" applyNumberFormat="1" applyFont="1" applyFill="1" applyBorder="1" applyAlignment="1">
      <alignment horizontal="center" vertical="center" wrapText="1"/>
    </xf>
    <xf numFmtId="17" fontId="6" fillId="3" borderId="21" xfId="0" applyNumberFormat="1" applyFont="1" applyFill="1" applyBorder="1" applyAlignment="1">
      <alignment horizontal="center" vertical="center" wrapText="1"/>
    </xf>
    <xf numFmtId="17" fontId="6" fillId="3" borderId="8" xfId="0" applyNumberFormat="1"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4" fillId="10" borderId="4" xfId="0" applyFont="1" applyFill="1" applyBorder="1" applyAlignment="1">
      <alignment horizontal="center" vertical="center" wrapText="1"/>
    </xf>
    <xf numFmtId="0" fontId="20" fillId="0" borderId="18" xfId="0" applyFont="1" applyFill="1" applyBorder="1" applyAlignment="1">
      <alignment horizontal="center" vertical="center"/>
    </xf>
    <xf numFmtId="0" fontId="20" fillId="0" borderId="20" xfId="0" applyFont="1" applyFill="1" applyBorder="1" applyAlignment="1">
      <alignment horizontal="center" vertical="center"/>
    </xf>
    <xf numFmtId="0" fontId="20" fillId="0" borderId="15" xfId="0" applyFont="1" applyFill="1" applyBorder="1" applyAlignment="1">
      <alignment horizontal="center" vertical="center"/>
    </xf>
    <xf numFmtId="0" fontId="20" fillId="0" borderId="8" xfId="0" applyFont="1" applyFill="1" applyBorder="1" applyAlignment="1">
      <alignment horizontal="center" vertical="center"/>
    </xf>
    <xf numFmtId="3" fontId="20" fillId="0" borderId="18" xfId="0" applyNumberFormat="1" applyFont="1" applyBorder="1" applyAlignment="1">
      <alignment horizontal="center" vertical="center"/>
    </xf>
    <xf numFmtId="3" fontId="20" fillId="0" borderId="22" xfId="0" applyNumberFormat="1" applyFont="1" applyBorder="1" applyAlignment="1">
      <alignment horizontal="center" vertical="center"/>
    </xf>
    <xf numFmtId="3" fontId="20" fillId="0" borderId="20" xfId="0" applyNumberFormat="1" applyFont="1" applyBorder="1" applyAlignment="1">
      <alignment horizontal="center" vertical="center"/>
    </xf>
    <xf numFmtId="3" fontId="20" fillId="0" borderId="19"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21"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6" xfId="0" applyNumberFormat="1" applyFont="1" applyBorder="1" applyAlignment="1">
      <alignment horizontal="center" vertical="center"/>
    </xf>
    <xf numFmtId="3" fontId="20" fillId="0" borderId="8" xfId="0" applyNumberFormat="1" applyFont="1" applyBorder="1" applyAlignment="1">
      <alignment horizontal="center" vertical="center"/>
    </xf>
    <xf numFmtId="0" fontId="20" fillId="0" borderId="18" xfId="0" applyFont="1" applyBorder="1" applyAlignment="1">
      <alignment horizontal="center" vertical="center"/>
    </xf>
    <xf numFmtId="0" fontId="20" fillId="0" borderId="15" xfId="0" applyFont="1" applyBorder="1" applyAlignment="1">
      <alignment horizontal="center" vertical="center"/>
    </xf>
    <xf numFmtId="0" fontId="26" fillId="10" borderId="3" xfId="0" applyNumberFormat="1" applyFont="1" applyFill="1" applyBorder="1" applyAlignment="1">
      <alignment horizontal="center" vertical="center" wrapText="1"/>
    </xf>
    <xf numFmtId="0" fontId="26" fillId="10" borderId="5" xfId="0" applyNumberFormat="1" applyFont="1" applyFill="1" applyBorder="1" applyAlignment="1">
      <alignment horizontal="center" vertical="center" wrapText="1"/>
    </xf>
    <xf numFmtId="0" fontId="26" fillId="10" borderId="4" xfId="0" applyNumberFormat="1" applyFont="1" applyFill="1" applyBorder="1" applyAlignment="1">
      <alignment horizontal="center" vertical="center" wrapText="1"/>
    </xf>
    <xf numFmtId="3" fontId="20" fillId="0" borderId="3" xfId="0" applyNumberFormat="1" applyFont="1" applyBorder="1" applyAlignment="1">
      <alignment horizontal="center" vertical="center"/>
    </xf>
    <xf numFmtId="3" fontId="20" fillId="0" borderId="5" xfId="0" applyNumberFormat="1" applyFont="1" applyBorder="1" applyAlignment="1">
      <alignment horizontal="center" vertical="center"/>
    </xf>
    <xf numFmtId="3" fontId="20" fillId="0" borderId="4" xfId="0" applyNumberFormat="1" applyFont="1" applyBorder="1" applyAlignment="1">
      <alignment horizontal="center" vertical="center"/>
    </xf>
    <xf numFmtId="164" fontId="20" fillId="3" borderId="3" xfId="0" applyNumberFormat="1" applyFont="1" applyFill="1" applyBorder="1" applyAlignment="1">
      <alignment horizontal="center" vertical="center"/>
    </xf>
    <xf numFmtId="164" fontId="20" fillId="3" borderId="5" xfId="0" applyNumberFormat="1" applyFont="1" applyFill="1" applyBorder="1" applyAlignment="1">
      <alignment horizontal="center" vertical="center"/>
    </xf>
    <xf numFmtId="164" fontId="20" fillId="3" borderId="4" xfId="0" applyNumberFormat="1" applyFont="1" applyFill="1" applyBorder="1" applyAlignment="1">
      <alignment horizontal="center" vertical="center"/>
    </xf>
    <xf numFmtId="0" fontId="6" fillId="0" borderId="3" xfId="0" applyFont="1" applyBorder="1" applyAlignment="1">
      <alignment horizontal="center" vertical="center"/>
    </xf>
    <xf numFmtId="0" fontId="24" fillId="10" borderId="5" xfId="0" applyFont="1" applyFill="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88" fillId="0" borderId="1" xfId="0" applyFont="1" applyFill="1" applyBorder="1" applyAlignment="1">
      <alignment horizontal="center" vertical="center"/>
    </xf>
    <xf numFmtId="0" fontId="68" fillId="0" borderId="0" xfId="0" applyFont="1" applyAlignment="1">
      <alignment horizontal="left" wrapText="1"/>
    </xf>
    <xf numFmtId="0" fontId="1" fillId="0" borderId="1" xfId="0" applyFont="1" applyBorder="1" applyAlignment="1">
      <alignment horizontal="center"/>
    </xf>
    <xf numFmtId="0" fontId="50" fillId="0" borderId="0" xfId="0" applyFont="1" applyAlignment="1">
      <alignment wrapText="1"/>
    </xf>
    <xf numFmtId="0" fontId="2" fillId="0" borderId="0" xfId="0" applyFont="1" applyFill="1" applyAlignment="1">
      <alignment horizontal="left" wrapText="1"/>
    </xf>
    <xf numFmtId="0" fontId="50" fillId="0" borderId="0" xfId="0" applyFont="1" applyFill="1" applyAlignment="1">
      <alignment horizontal="left" wrapText="1"/>
    </xf>
    <xf numFmtId="0" fontId="76" fillId="0" borderId="1" xfId="0" applyFont="1" applyFill="1" applyBorder="1" applyAlignment="1">
      <alignment horizontal="center" vertical="center"/>
    </xf>
    <xf numFmtId="0" fontId="1" fillId="0" borderId="0" xfId="0" applyFont="1" applyFill="1" applyAlignment="1">
      <alignment horizontal="left" wrapText="1"/>
    </xf>
    <xf numFmtId="0" fontId="1" fillId="0" borderId="0" xfId="0" applyNumberFormat="1" applyFont="1" applyAlignment="1">
      <alignment horizontal="left" wrapText="1"/>
    </xf>
    <xf numFmtId="0" fontId="51" fillId="0" borderId="0" xfId="0" applyNumberFormat="1" applyFont="1" applyAlignment="1">
      <alignment horizontal="left" wrapText="1"/>
    </xf>
    <xf numFmtId="0" fontId="1" fillId="0" borderId="0" xfId="0" applyFont="1" applyAlignment="1">
      <alignment horizontal="left" wrapText="1"/>
    </xf>
  </cellXfs>
  <cellStyles count="18">
    <cellStyle name="Comma" xfId="1" builtinId="3"/>
    <cellStyle name="Hyperlink" xfId="2" builtinId="8"/>
    <cellStyle name="Normal" xfId="0" builtinId="0"/>
    <cellStyle name="Normal 2" xfId="3"/>
    <cellStyle name="Normal 3" xfId="4"/>
    <cellStyle name="Normal 4" xfId="5"/>
    <cellStyle name="Normal 4 2" xfId="11"/>
    <cellStyle name="Normal 4_Delayed Discharges" xfId="15"/>
    <cellStyle name="Normal 5" xfId="6"/>
    <cellStyle name="Normal 5 2" xfId="12"/>
    <cellStyle name="Normal 5_Delayed Discharges" xfId="16"/>
    <cellStyle name="Normal 6" xfId="7"/>
    <cellStyle name="Normal 6 2" xfId="13"/>
    <cellStyle name="Normal 6_Delayed Discharges" xfId="17"/>
    <cellStyle name="Normal_Delayed Discharges" xfId="14"/>
    <cellStyle name="Normal_GWO1 (NEW)" xfId="8"/>
    <cellStyle name="Normal_sickness_absence aug07-data" xfId="9"/>
    <cellStyle name="Percent" xfId="10" builtinId="5"/>
  </cellStyles>
  <dxfs count="21">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92D050"/>
        </patternFill>
      </fill>
    </dxf>
    <dxf>
      <fill>
        <patternFill>
          <bgColor rgb="FFFF0000"/>
        </patternFill>
      </fill>
    </dxf>
    <dxf>
      <fill>
        <patternFill patternType="none">
          <bgColor indexed="65"/>
        </patternFill>
      </fill>
    </dxf>
    <dxf>
      <fill>
        <patternFill>
          <bgColor theme="1"/>
        </patternFill>
      </fill>
    </dxf>
    <dxf>
      <fill>
        <patternFill>
          <bgColor rgb="FFFF0000"/>
        </patternFill>
      </fill>
    </dxf>
    <dxf>
      <fill>
        <patternFill>
          <bgColor rgb="FF92D050"/>
        </patternFill>
      </fill>
    </dxf>
  </dxfs>
  <tableStyles count="0" defaultTableStyle="TableStyleMedium2" defaultPivotStyle="PivotStyleLight16"/>
  <colors>
    <mruColors>
      <color rgb="FFE69F00"/>
      <color rgb="FF0066CC"/>
      <color rgb="FF0097C0"/>
      <color rgb="FF808080"/>
      <color rgb="FFCC8DA7"/>
      <color rgb="FF0070C0"/>
      <color rgb="FFE39F00"/>
      <color rgb="FF7F7F7F"/>
      <color rgb="FFE09F0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'A&amp;E WT'!$B$9</c:f>
              <c:strCache>
                <c:ptCount val="1"/>
                <c:pt idx="0">
                  <c:v>RIE</c:v>
                </c:pt>
              </c:strCache>
            </c:strRef>
          </c:tx>
          <c:spPr>
            <a:ln w="25400">
              <a:solidFill>
                <a:schemeClr val="accent5"/>
              </a:solidFill>
            </a:ln>
          </c:spPr>
          <c:marker>
            <c:symbol val="circle"/>
            <c:size val="4"/>
            <c:spPr>
              <a:solidFill>
                <a:schemeClr val="accent5"/>
              </a:solidFill>
              <a:ln w="25400">
                <a:solidFill>
                  <a:schemeClr val="accent5"/>
                </a:solidFill>
              </a:ln>
            </c:spPr>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WT'!$B$10:$B$57</c:f>
              <c:numCache>
                <c:formatCode>0.0%</c:formatCode>
                <c:ptCount val="48"/>
                <c:pt idx="0">
                  <c:v>0.93634823130692646</c:v>
                </c:pt>
                <c:pt idx="1">
                  <c:v>0.947903694479037</c:v>
                </c:pt>
                <c:pt idx="2">
                  <c:v>0.94420918907474061</c:v>
                </c:pt>
                <c:pt idx="3">
                  <c:v>0.94160432252701576</c:v>
                </c:pt>
                <c:pt idx="4">
                  <c:v>0.93950211366838887</c:v>
                </c:pt>
                <c:pt idx="5">
                  <c:v>0.94714714714714709</c:v>
                </c:pt>
                <c:pt idx="6">
                  <c:v>0.95478537994223678</c:v>
                </c:pt>
                <c:pt idx="7">
                  <c:v>0.94</c:v>
                </c:pt>
                <c:pt idx="8">
                  <c:v>0.91494154242196712</c:v>
                </c:pt>
                <c:pt idx="9">
                  <c:v>0.8672001620745543</c:v>
                </c:pt>
                <c:pt idx="10">
                  <c:v>0.84599999999999997</c:v>
                </c:pt>
                <c:pt idx="11">
                  <c:v>0.92656461925983336</c:v>
                </c:pt>
                <c:pt idx="12">
                  <c:v>0.9433237271853987</c:v>
                </c:pt>
                <c:pt idx="13">
                  <c:v>0.91297695323706607</c:v>
                </c:pt>
                <c:pt idx="14">
                  <c:v>0.94420000000000004</c:v>
                </c:pt>
                <c:pt idx="15">
                  <c:v>0.97212366953877349</c:v>
                </c:pt>
                <c:pt idx="16">
                  <c:v>0.94399999999999995</c:v>
                </c:pt>
                <c:pt idx="17">
                  <c:v>0.92100000000000004</c:v>
                </c:pt>
                <c:pt idx="18">
                  <c:v>0.9226454089164452</c:v>
                </c:pt>
                <c:pt idx="19">
                  <c:v>0.94399999999999995</c:v>
                </c:pt>
                <c:pt idx="20">
                  <c:v>0.91400000000000003</c:v>
                </c:pt>
                <c:pt idx="21">
                  <c:v>0.93200000000000005</c:v>
                </c:pt>
                <c:pt idx="22">
                  <c:v>0.94230000000000003</c:v>
                </c:pt>
                <c:pt idx="23">
                  <c:v>0.95899999999999996</c:v>
                </c:pt>
                <c:pt idx="24">
                  <c:v>0.94599999999999995</c:v>
                </c:pt>
                <c:pt idx="25">
                  <c:v>0.94199999999999995</c:v>
                </c:pt>
                <c:pt idx="26">
                  <c:v>0.96099999999999997</c:v>
                </c:pt>
                <c:pt idx="27">
                  <c:v>0.95299999999999996</c:v>
                </c:pt>
                <c:pt idx="28">
                  <c:v>0.93600000000000005</c:v>
                </c:pt>
              </c:numCache>
            </c:numRef>
          </c:val>
          <c:smooth val="0"/>
        </c:ser>
        <c:ser>
          <c:idx val="1"/>
          <c:order val="1"/>
          <c:tx>
            <c:strRef>
              <c:f>'A&amp;E WT'!$C$9</c:f>
              <c:strCache>
                <c:ptCount val="1"/>
                <c:pt idx="0">
                  <c:v>WGH</c:v>
                </c:pt>
              </c:strCache>
            </c:strRef>
          </c:tx>
          <c:spPr>
            <a:ln w="25400"/>
          </c:spPr>
          <c:marker>
            <c:symbol val="circle"/>
            <c:size val="4"/>
            <c:spPr>
              <a:ln w="25400"/>
            </c:spPr>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WT'!$C$10:$C$57</c:f>
              <c:numCache>
                <c:formatCode>0.0%</c:formatCode>
                <c:ptCount val="48"/>
                <c:pt idx="0">
                  <c:v>0.88209479227618492</c:v>
                </c:pt>
                <c:pt idx="1">
                  <c:v>0.87503550127804597</c:v>
                </c:pt>
                <c:pt idx="2">
                  <c:v>0.90618818875388529</c:v>
                </c:pt>
                <c:pt idx="3">
                  <c:v>0.8809861150467555</c:v>
                </c:pt>
                <c:pt idx="4">
                  <c:v>0.90554089709762531</c:v>
                </c:pt>
                <c:pt idx="5">
                  <c:v>0.83632050606220343</c:v>
                </c:pt>
                <c:pt idx="6">
                  <c:v>0.86456605859590929</c:v>
                </c:pt>
                <c:pt idx="7">
                  <c:v>0.84860788863109049</c:v>
                </c:pt>
                <c:pt idx="8">
                  <c:v>0.83577981651376143</c:v>
                </c:pt>
                <c:pt idx="9">
                  <c:v>0.80123526108927567</c:v>
                </c:pt>
                <c:pt idx="10">
                  <c:v>0.86211699164345401</c:v>
                </c:pt>
                <c:pt idx="11">
                  <c:v>0.82601797990481229</c:v>
                </c:pt>
                <c:pt idx="12">
                  <c:v>0.8392857142857143</c:v>
                </c:pt>
                <c:pt idx="13">
                  <c:v>0.9071556809438317</c:v>
                </c:pt>
                <c:pt idx="14">
                  <c:v>0.93100000000000005</c:v>
                </c:pt>
                <c:pt idx="15">
                  <c:v>0.95439377085650723</c:v>
                </c:pt>
                <c:pt idx="16">
                  <c:v>0.88100000000000001</c:v>
                </c:pt>
                <c:pt idx="17">
                  <c:v>0.871</c:v>
                </c:pt>
                <c:pt idx="18">
                  <c:v>0.89069942341438957</c:v>
                </c:pt>
                <c:pt idx="19">
                  <c:v>0.874</c:v>
                </c:pt>
                <c:pt idx="20">
                  <c:v>0.86499999999999999</c:v>
                </c:pt>
                <c:pt idx="21">
                  <c:v>0.84799999999999998</c:v>
                </c:pt>
                <c:pt idx="22">
                  <c:v>0.83479999999999999</c:v>
                </c:pt>
                <c:pt idx="23">
                  <c:v>0.93200000000000005</c:v>
                </c:pt>
                <c:pt idx="24">
                  <c:v>0.91500000000000004</c:v>
                </c:pt>
                <c:pt idx="25">
                  <c:v>0.91600000000000004</c:v>
                </c:pt>
                <c:pt idx="26">
                  <c:v>0.90600000000000003</c:v>
                </c:pt>
                <c:pt idx="27">
                  <c:v>0.93500000000000005</c:v>
                </c:pt>
                <c:pt idx="28">
                  <c:v>0.95</c:v>
                </c:pt>
              </c:numCache>
            </c:numRef>
          </c:val>
          <c:smooth val="0"/>
        </c:ser>
        <c:ser>
          <c:idx val="2"/>
          <c:order val="2"/>
          <c:tx>
            <c:strRef>
              <c:f>'A&amp;E WT'!$D$9</c:f>
              <c:strCache>
                <c:ptCount val="1"/>
                <c:pt idx="0">
                  <c:v>RHSC</c:v>
                </c:pt>
              </c:strCache>
            </c:strRef>
          </c:tx>
          <c:spPr>
            <a:ln w="25400"/>
          </c:spPr>
          <c:marker>
            <c:symbol val="circle"/>
            <c:size val="4"/>
            <c:spPr>
              <a:ln w="25400"/>
            </c:spPr>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WT'!$D$10:$D$57</c:f>
              <c:numCache>
                <c:formatCode>0.0%</c:formatCode>
                <c:ptCount val="48"/>
                <c:pt idx="0">
                  <c:v>0.98481675392670154</c:v>
                </c:pt>
                <c:pt idx="1">
                  <c:v>0.98650752464971458</c:v>
                </c:pt>
                <c:pt idx="2">
                  <c:v>0.99079673941625035</c:v>
                </c:pt>
                <c:pt idx="3">
                  <c:v>0.98656859609849701</c:v>
                </c:pt>
                <c:pt idx="4">
                  <c:v>0.99011857707509876</c:v>
                </c:pt>
                <c:pt idx="5">
                  <c:v>0.98873377418564778</c:v>
                </c:pt>
                <c:pt idx="6">
                  <c:v>0.98581377353623934</c:v>
                </c:pt>
                <c:pt idx="7">
                  <c:v>0.97422680412371132</c:v>
                </c:pt>
                <c:pt idx="8">
                  <c:v>0.98346225660176045</c:v>
                </c:pt>
                <c:pt idx="9">
                  <c:v>0.97980871413390014</c:v>
                </c:pt>
                <c:pt idx="10">
                  <c:v>0.97550505050505054</c:v>
                </c:pt>
                <c:pt idx="11">
                  <c:v>0.97885970531710442</c:v>
                </c:pt>
                <c:pt idx="12">
                  <c:v>0.98250000000000004</c:v>
                </c:pt>
                <c:pt idx="13">
                  <c:v>0.98713195201744819</c:v>
                </c:pt>
                <c:pt idx="14">
                  <c:v>0.98203592814371254</c:v>
                </c:pt>
                <c:pt idx="15">
                  <c:v>0.99043919928294</c:v>
                </c:pt>
                <c:pt idx="16">
                  <c:v>0.98699999999999999</c:v>
                </c:pt>
                <c:pt idx="17">
                  <c:v>0.98599999999999999</c:v>
                </c:pt>
                <c:pt idx="18">
                  <c:v>0.9820100743583593</c:v>
                </c:pt>
                <c:pt idx="19">
                  <c:v>0.97199999999999998</c:v>
                </c:pt>
                <c:pt idx="20">
                  <c:v>0.97599999999999998</c:v>
                </c:pt>
                <c:pt idx="21">
                  <c:v>0.98199999999999998</c:v>
                </c:pt>
                <c:pt idx="22">
                  <c:v>0.97709999999999997</c:v>
                </c:pt>
                <c:pt idx="23">
                  <c:v>0.97699999999999998</c:v>
                </c:pt>
                <c:pt idx="24">
                  <c:v>0.98299999999999998</c:v>
                </c:pt>
                <c:pt idx="25">
                  <c:v>0.97799999999999998</c:v>
                </c:pt>
                <c:pt idx="26">
                  <c:v>0.98199999999999998</c:v>
                </c:pt>
                <c:pt idx="27">
                  <c:v>0.99</c:v>
                </c:pt>
                <c:pt idx="28">
                  <c:v>0.97899999999999998</c:v>
                </c:pt>
              </c:numCache>
            </c:numRef>
          </c:val>
          <c:smooth val="0"/>
        </c:ser>
        <c:ser>
          <c:idx val="3"/>
          <c:order val="3"/>
          <c:tx>
            <c:strRef>
              <c:f>'A&amp;E WT'!$E$9</c:f>
              <c:strCache>
                <c:ptCount val="1"/>
                <c:pt idx="0">
                  <c:v>SJH</c:v>
                </c:pt>
              </c:strCache>
            </c:strRef>
          </c:tx>
          <c:spPr>
            <a:ln w="25400"/>
          </c:spPr>
          <c:marker>
            <c:symbol val="circle"/>
            <c:size val="4"/>
            <c:spPr>
              <a:ln w="25400"/>
            </c:spPr>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WT'!$E$10:$E$57</c:f>
              <c:numCache>
                <c:formatCode>0.0%</c:formatCode>
                <c:ptCount val="48"/>
                <c:pt idx="0">
                  <c:v>0.93286138387759765</c:v>
                </c:pt>
                <c:pt idx="1">
                  <c:v>0.9359197907585004</c:v>
                </c:pt>
                <c:pt idx="2">
                  <c:v>0.94688922610015169</c:v>
                </c:pt>
                <c:pt idx="3">
                  <c:v>0.94427095844343023</c:v>
                </c:pt>
                <c:pt idx="4">
                  <c:v>0.95279912184412729</c:v>
                </c:pt>
                <c:pt idx="5">
                  <c:v>0.96563418494234687</c:v>
                </c:pt>
                <c:pt idx="6">
                  <c:v>0.94644883140458358</c:v>
                </c:pt>
                <c:pt idx="7">
                  <c:v>0.9514837494112105</c:v>
                </c:pt>
                <c:pt idx="8">
                  <c:v>0.94416590701914316</c:v>
                </c:pt>
                <c:pt idx="9">
                  <c:v>0.90829884556741447</c:v>
                </c:pt>
                <c:pt idx="10">
                  <c:v>0.86932344763670066</c:v>
                </c:pt>
                <c:pt idx="11">
                  <c:v>0.92527060782681103</c:v>
                </c:pt>
                <c:pt idx="12">
                  <c:v>0.94607523374646663</c:v>
                </c:pt>
                <c:pt idx="13">
                  <c:v>0.94600518031480374</c:v>
                </c:pt>
                <c:pt idx="14">
                  <c:v>0.96791554543572755</c:v>
                </c:pt>
                <c:pt idx="15">
                  <c:v>0.96770525358198767</c:v>
                </c:pt>
                <c:pt idx="16">
                  <c:v>0.96599999999999997</c:v>
                </c:pt>
                <c:pt idx="17">
                  <c:v>0.96450000000000002</c:v>
                </c:pt>
                <c:pt idx="18">
                  <c:v>0.9383011079730611</c:v>
                </c:pt>
                <c:pt idx="19">
                  <c:v>0.97599999999999998</c:v>
                </c:pt>
                <c:pt idx="20">
                  <c:v>0.94399999999999995</c:v>
                </c:pt>
                <c:pt idx="21">
                  <c:v>0.94099999999999995</c:v>
                </c:pt>
                <c:pt idx="22">
                  <c:v>0.9546</c:v>
                </c:pt>
                <c:pt idx="23">
                  <c:v>0.95499999999999996</c:v>
                </c:pt>
                <c:pt idx="24">
                  <c:v>0.96799999999999997</c:v>
                </c:pt>
                <c:pt idx="25">
                  <c:v>0.97499999999999998</c:v>
                </c:pt>
                <c:pt idx="26">
                  <c:v>0.96899999999999997</c:v>
                </c:pt>
                <c:pt idx="27">
                  <c:v>0.97699999999999998</c:v>
                </c:pt>
                <c:pt idx="28">
                  <c:v>0.96399999999999997</c:v>
                </c:pt>
              </c:numCache>
            </c:numRef>
          </c:val>
          <c:smooth val="0"/>
        </c:ser>
        <c:ser>
          <c:idx val="4"/>
          <c:order val="4"/>
          <c:tx>
            <c:strRef>
              <c:f>'A&amp;E WT'!$F$9</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WT'!$F$10:$F$57</c:f>
              <c:numCache>
                <c:formatCode>0.0%</c:formatCode>
                <c:ptCount val="48"/>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pt idx="12">
                  <c:v>0.9341058215831356</c:v>
                </c:pt>
                <c:pt idx="13">
                  <c:v>0.93313856427378961</c:v>
                </c:pt>
                <c:pt idx="14">
                  <c:v>0.95496629213483142</c:v>
                </c:pt>
                <c:pt idx="15">
                  <c:v>0.97109172365008256</c:v>
                </c:pt>
                <c:pt idx="16">
                  <c:v>0.94399999999999995</c:v>
                </c:pt>
                <c:pt idx="17">
                  <c:v>0.93200000000000005</c:v>
                </c:pt>
                <c:pt idx="18">
                  <c:v>0.93102696099816773</c:v>
                </c:pt>
                <c:pt idx="19">
                  <c:v>0.94499999999999995</c:v>
                </c:pt>
                <c:pt idx="20">
                  <c:v>0.92400000000000004</c:v>
                </c:pt>
                <c:pt idx="21">
                  <c:v>0.92800000000000005</c:v>
                </c:pt>
                <c:pt idx="22">
                  <c:v>0.93200000000000005</c:v>
                </c:pt>
                <c:pt idx="23">
                  <c:v>0.95699999999999996</c:v>
                </c:pt>
                <c:pt idx="24">
                  <c:v>0.95199999999999996</c:v>
                </c:pt>
                <c:pt idx="25">
                  <c:v>0.95099999999999996</c:v>
                </c:pt>
                <c:pt idx="26">
                  <c:v>0.95699999999999996</c:v>
                </c:pt>
                <c:pt idx="27">
                  <c:v>0.96</c:v>
                </c:pt>
                <c:pt idx="28">
                  <c:v>0.95099999999999996</c:v>
                </c:pt>
              </c:numCache>
            </c:numRef>
          </c:val>
          <c:smooth val="0"/>
        </c:ser>
        <c:ser>
          <c:idx val="5"/>
          <c:order val="5"/>
          <c:tx>
            <c:strRef>
              <c:f>'A&amp;E WT'!$G$9</c:f>
              <c:strCache>
                <c:ptCount val="1"/>
                <c:pt idx="0">
                  <c:v>Target (min)</c:v>
                </c:pt>
              </c:strCache>
            </c:strRef>
          </c:tx>
          <c:spPr>
            <a:ln w="25400">
              <a:solidFill>
                <a:srgbClr val="FF0000"/>
              </a:solidFill>
              <a:prstDash val="dash"/>
            </a:ln>
          </c:spPr>
          <c:marker>
            <c:symbol val="none"/>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WT'!$G$10:$G$57</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6"/>
          <c:tx>
            <c:strRef>
              <c:f>'A&amp;E WT'!$H$9</c:f>
              <c:strCache>
                <c:ptCount val="1"/>
                <c:pt idx="0">
                  <c:v>Interim Target (min)</c:v>
                </c:pt>
              </c:strCache>
            </c:strRef>
          </c:tx>
          <c:spPr>
            <a:ln w="25400">
              <a:solidFill>
                <a:srgbClr val="CC8DA7"/>
              </a:solidFill>
              <a:prstDash val="dash"/>
            </a:ln>
          </c:spPr>
          <c:marker>
            <c:symbol val="none"/>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WT'!$H$10:$H$57</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24215296"/>
        <c:axId val="101855168"/>
      </c:lineChart>
      <c:dateAx>
        <c:axId val="124215296"/>
        <c:scaling>
          <c:orientation val="minMax"/>
        </c:scaling>
        <c:delete val="0"/>
        <c:axPos val="b"/>
        <c:numFmt formatCode="mmm\-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1855168"/>
        <c:crosses val="autoZero"/>
        <c:auto val="1"/>
        <c:lblOffset val="100"/>
        <c:baseTimeUnit val="months"/>
      </c:dateAx>
      <c:valAx>
        <c:axId val="101855168"/>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215296"/>
        <c:crosses val="autoZero"/>
        <c:crossBetween val="between"/>
        <c:majorUnit val="2.0000000000000011E-2"/>
      </c:valAx>
    </c:plotArea>
    <c:legend>
      <c:legendPos val="r"/>
      <c:layout>
        <c:manualLayout>
          <c:xMode val="edge"/>
          <c:yMode val="edge"/>
          <c:x val="0.85446527012127893"/>
          <c:y val="0.25661362642169305"/>
          <c:w val="0.13561190738699044"/>
          <c:h val="0.481481572615927"/>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19635261109612E-2"/>
          <c:y val="3.3107599699021821E-2"/>
          <c:w val="0.92795083265455669"/>
          <c:h val="0.70899415225468521"/>
        </c:manualLayout>
      </c:layout>
      <c:lineChart>
        <c:grouping val="standard"/>
        <c:varyColors val="0"/>
        <c:ser>
          <c:idx val="0"/>
          <c:order val="0"/>
          <c:tx>
            <c:strRef>
              <c:f>CAMHS!$A$10</c:f>
              <c:strCache>
                <c:ptCount val="1"/>
                <c:pt idx="0">
                  <c:v>Percentage of children and young people seen within 18 weeks for first treatment</c:v>
                </c:pt>
              </c:strCache>
            </c:strRef>
          </c:tx>
          <c:spPr>
            <a:ln w="25400">
              <a:solidFill>
                <a:srgbClr val="0070C0"/>
              </a:solidFill>
            </a:ln>
          </c:spPr>
          <c:marker>
            <c:symbol val="circle"/>
            <c:size val="4"/>
            <c:spPr>
              <a:solidFill>
                <a:srgbClr val="0070C0"/>
              </a:solidFill>
              <a:ln w="25400">
                <a:solidFill>
                  <a:srgbClr val="0070C0"/>
                </a:solidFill>
              </a:ln>
            </c:spPr>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CAMHS!$B$10:$AW$10</c:f>
              <c:numCache>
                <c:formatCode>0.0%</c:formatCode>
                <c:ptCount val="48"/>
                <c:pt idx="0">
                  <c:v>0.5752212389380531</c:v>
                </c:pt>
                <c:pt idx="1">
                  <c:v>0.5668016194331984</c:v>
                </c:pt>
                <c:pt idx="2">
                  <c:v>0.602112676056338</c:v>
                </c:pt>
                <c:pt idx="3">
                  <c:v>0.70666666666666667</c:v>
                </c:pt>
                <c:pt idx="4">
                  <c:v>0.7584905660377359</c:v>
                </c:pt>
                <c:pt idx="5">
                  <c:v>0.59090909090909094</c:v>
                </c:pt>
                <c:pt idx="6">
                  <c:v>0.61373390557939911</c:v>
                </c:pt>
                <c:pt idx="7">
                  <c:v>0.53558052434456926</c:v>
                </c:pt>
                <c:pt idx="8">
                  <c:v>0.64646464646464652</c:v>
                </c:pt>
                <c:pt idx="9">
                  <c:v>0.56281407035175879</c:v>
                </c:pt>
                <c:pt idx="10">
                  <c:v>0.72687224669603523</c:v>
                </c:pt>
                <c:pt idx="11">
                  <c:v>0.69711538461538458</c:v>
                </c:pt>
                <c:pt idx="12">
                  <c:v>0.59514170040485825</c:v>
                </c:pt>
                <c:pt idx="13">
                  <c:v>0.56081081081081086</c:v>
                </c:pt>
                <c:pt idx="14">
                  <c:v>0.56849315068493156</c:v>
                </c:pt>
                <c:pt idx="15">
                  <c:v>0.58282208588957052</c:v>
                </c:pt>
                <c:pt idx="16">
                  <c:v>0.55188679245283023</c:v>
                </c:pt>
                <c:pt idx="17">
                  <c:v>0.54655870445344135</c:v>
                </c:pt>
                <c:pt idx="18">
                  <c:v>0.56190476190476191</c:v>
                </c:pt>
                <c:pt idx="19">
                  <c:v>0.42474916387959866</c:v>
                </c:pt>
                <c:pt idx="20">
                  <c:v>0.48717948717948717</c:v>
                </c:pt>
                <c:pt idx="21">
                  <c:v>0.42439024390243901</c:v>
                </c:pt>
                <c:pt idx="22">
                  <c:v>0.484375</c:v>
                </c:pt>
                <c:pt idx="23">
                  <c:v>0.51361867704280151</c:v>
                </c:pt>
                <c:pt idx="24">
                  <c:v>0.569620253164557</c:v>
                </c:pt>
                <c:pt idx="25">
                  <c:v>0.5607843137254902</c:v>
                </c:pt>
                <c:pt idx="26">
                  <c:v>0.62761506276150625</c:v>
                </c:pt>
                <c:pt idx="27">
                  <c:v>0.6211180124223602</c:v>
                </c:pt>
                <c:pt idx="28">
                  <c:v>0.51658767772511849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1"/>
          <c:tx>
            <c:strRef>
              <c:f>CAMHS!$A$17</c:f>
              <c:strCache>
                <c:ptCount val="1"/>
                <c:pt idx="0">
                  <c:v>Target (min)</c:v>
                </c:pt>
              </c:strCache>
            </c:strRef>
          </c:tx>
          <c:spPr>
            <a:ln w="25400">
              <a:solidFill>
                <a:srgbClr val="FF0000"/>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CAMHS!$B$17:$AW$17</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ser>
          <c:idx val="2"/>
          <c:order val="2"/>
          <c:tx>
            <c:strRef>
              <c:f>CAMHS!$A$11</c:f>
              <c:strCache>
                <c:ptCount val="1"/>
                <c:pt idx="0">
                  <c:v>Baseline Median</c:v>
                </c:pt>
              </c:strCache>
            </c:strRef>
          </c:tx>
          <c:spPr>
            <a:ln w="25400">
              <a:solidFill>
                <a:schemeClr val="tx1"/>
              </a:solidFill>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CAMHS!$B$11:$AW$11</c:f>
              <c:numCache>
                <c:formatCode>0.0%</c:formatCode>
                <c:ptCount val="48"/>
                <c:pt idx="0">
                  <c:v>0.59651088348271442</c:v>
                </c:pt>
                <c:pt idx="1">
                  <c:v>0.59651088348271442</c:v>
                </c:pt>
                <c:pt idx="2">
                  <c:v>0.59651088348271442</c:v>
                </c:pt>
                <c:pt idx="3">
                  <c:v>0.59651088348271442</c:v>
                </c:pt>
                <c:pt idx="4">
                  <c:v>0.59651088348271442</c:v>
                </c:pt>
                <c:pt idx="5">
                  <c:v>0.59651088348271442</c:v>
                </c:pt>
              </c:numCache>
            </c:numRef>
          </c:val>
          <c:smooth val="0"/>
        </c:ser>
        <c:ser>
          <c:idx val="3"/>
          <c:order val="3"/>
          <c:tx>
            <c:strRef>
              <c:f>CAMHS!$A$12</c:f>
              <c:strCache>
                <c:ptCount val="1"/>
                <c:pt idx="0">
                  <c:v>Extended Median</c:v>
                </c:pt>
              </c:strCache>
            </c:strRef>
          </c:tx>
          <c:spPr>
            <a:ln w="25400">
              <a:solidFill>
                <a:schemeClr val="tx1"/>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CAMHS!$B$12:$AW$12</c:f>
              <c:numCache>
                <c:formatCode>0.0%</c:formatCode>
                <c:ptCount val="48"/>
                <c:pt idx="5">
                  <c:v>0.59651088348271442</c:v>
                </c:pt>
                <c:pt idx="6">
                  <c:v>0.59651088348271442</c:v>
                </c:pt>
                <c:pt idx="7">
                  <c:v>0.59651088348271442</c:v>
                </c:pt>
                <c:pt idx="8">
                  <c:v>0.59651088348271442</c:v>
                </c:pt>
                <c:pt idx="9">
                  <c:v>0.59651088348271442</c:v>
                </c:pt>
                <c:pt idx="10">
                  <c:v>0.59651088348271442</c:v>
                </c:pt>
                <c:pt idx="11">
                  <c:v>0.59651088348271442</c:v>
                </c:pt>
                <c:pt idx="12">
                  <c:v>0.59651088348271442</c:v>
                </c:pt>
              </c:numCache>
            </c:numRef>
          </c:val>
          <c:smooth val="0"/>
        </c:ser>
        <c:ser>
          <c:idx val="4"/>
          <c:order val="4"/>
          <c:tx>
            <c:strRef>
              <c:f>CAMHS!$A$13</c:f>
              <c:strCache>
                <c:ptCount val="1"/>
                <c:pt idx="0">
                  <c:v>New Median</c:v>
                </c:pt>
              </c:strCache>
            </c:strRef>
          </c:tx>
          <c:spPr>
            <a:ln w="25400">
              <a:solidFill>
                <a:srgbClr val="FF9900"/>
              </a:solidFill>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CAMHS!$B$13:$AW$13</c:f>
              <c:numCache>
                <c:formatCode>0.0%</c:formatCode>
                <c:ptCount val="48"/>
                <c:pt idx="12">
                  <c:v>0.56465198074787115</c:v>
                </c:pt>
                <c:pt idx="13">
                  <c:v>0.56465198074787115</c:v>
                </c:pt>
                <c:pt idx="14">
                  <c:v>0.56465198074787115</c:v>
                </c:pt>
                <c:pt idx="15">
                  <c:v>0.56465198074787115</c:v>
                </c:pt>
                <c:pt idx="16">
                  <c:v>0.56465198074787115</c:v>
                </c:pt>
                <c:pt idx="17">
                  <c:v>0.56465198074787115</c:v>
                </c:pt>
              </c:numCache>
            </c:numRef>
          </c:val>
          <c:smooth val="0"/>
        </c:ser>
        <c:ser>
          <c:idx val="5"/>
          <c:order val="5"/>
          <c:tx>
            <c:strRef>
              <c:f>CAMHS!$A$14</c:f>
              <c:strCache>
                <c:ptCount val="1"/>
                <c:pt idx="0">
                  <c:v>Extended New Median</c:v>
                </c:pt>
              </c:strCache>
            </c:strRef>
          </c:tx>
          <c:spPr>
            <a:ln>
              <a:solidFill>
                <a:srgbClr val="FF9900"/>
              </a:solidFill>
              <a:prstDash val="dash"/>
            </a:ln>
          </c:spPr>
          <c:marker>
            <c:symbol val="none"/>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CAMHS!$B$14:$AW$14</c:f>
              <c:numCache>
                <c:formatCode>0.0%</c:formatCode>
                <c:ptCount val="48"/>
                <c:pt idx="17">
                  <c:v>0.56465198074787115</c:v>
                </c:pt>
                <c:pt idx="18">
                  <c:v>0.56465198074787115</c:v>
                </c:pt>
                <c:pt idx="19">
                  <c:v>0.56465198074787115</c:v>
                </c:pt>
                <c:pt idx="20">
                  <c:v>0.56465198074787115</c:v>
                </c:pt>
                <c:pt idx="21">
                  <c:v>0.56465198074787115</c:v>
                </c:pt>
                <c:pt idx="22">
                  <c:v>0.56465198074787115</c:v>
                </c:pt>
                <c:pt idx="23">
                  <c:v>0.56465198074787115</c:v>
                </c:pt>
                <c:pt idx="24">
                  <c:v>0.56465198074787115</c:v>
                </c:pt>
                <c:pt idx="25">
                  <c:v>0.56465198074787115</c:v>
                </c:pt>
                <c:pt idx="26">
                  <c:v>0.56465198074787115</c:v>
                </c:pt>
                <c:pt idx="27">
                  <c:v>0.56465198074787115</c:v>
                </c:pt>
                <c:pt idx="28">
                  <c:v>0.56465198074787115</c:v>
                </c:pt>
                <c:pt idx="29">
                  <c:v>0.56465198074787115</c:v>
                </c:pt>
                <c:pt idx="30">
                  <c:v>0.56465198074787115</c:v>
                </c:pt>
                <c:pt idx="31">
                  <c:v>0.56465198074787115</c:v>
                </c:pt>
                <c:pt idx="32">
                  <c:v>0.56465198074787115</c:v>
                </c:pt>
                <c:pt idx="33">
                  <c:v>0.56465198074787115</c:v>
                </c:pt>
                <c:pt idx="34">
                  <c:v>0.56465198074787115</c:v>
                </c:pt>
                <c:pt idx="35">
                  <c:v>0.56465198074787115</c:v>
                </c:pt>
                <c:pt idx="36">
                  <c:v>0.56465198074787115</c:v>
                </c:pt>
                <c:pt idx="37">
                  <c:v>0.56465198074787115</c:v>
                </c:pt>
                <c:pt idx="38">
                  <c:v>0.56465198074787115</c:v>
                </c:pt>
                <c:pt idx="39">
                  <c:v>0.56465198074787115</c:v>
                </c:pt>
                <c:pt idx="40">
                  <c:v>0.56465198074787115</c:v>
                </c:pt>
                <c:pt idx="41">
                  <c:v>0.56465198074787115</c:v>
                </c:pt>
                <c:pt idx="42">
                  <c:v>0.56465198074787115</c:v>
                </c:pt>
                <c:pt idx="43">
                  <c:v>0.56465198074787115</c:v>
                </c:pt>
                <c:pt idx="44">
                  <c:v>0.56465198074787115</c:v>
                </c:pt>
                <c:pt idx="45">
                  <c:v>0.56465198074787115</c:v>
                </c:pt>
                <c:pt idx="46">
                  <c:v>0.56465198074787115</c:v>
                </c:pt>
                <c:pt idx="47">
                  <c:v>0.56465198074787115</c:v>
                </c:pt>
              </c:numCache>
            </c:numRef>
          </c:val>
          <c:smooth val="0"/>
        </c:ser>
        <c:dLbls>
          <c:showLegendKey val="0"/>
          <c:showVal val="0"/>
          <c:showCatName val="0"/>
          <c:showSerName val="0"/>
          <c:showPercent val="0"/>
          <c:showBubbleSize val="0"/>
        </c:dLbls>
        <c:marker val="1"/>
        <c:smooth val="0"/>
        <c:axId val="125840896"/>
        <c:axId val="126715584"/>
      </c:lineChart>
      <c:dateAx>
        <c:axId val="12584089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6715584"/>
        <c:crosses val="autoZero"/>
        <c:auto val="1"/>
        <c:lblOffset val="100"/>
        <c:baseTimeUnit val="months"/>
      </c:dateAx>
      <c:valAx>
        <c:axId val="126715584"/>
        <c:scaling>
          <c:orientation val="minMax"/>
          <c:max val="1"/>
          <c:min val="0"/>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5840896"/>
        <c:crosses val="autoZero"/>
        <c:crossBetween val="between"/>
      </c:valAx>
    </c:plotArea>
    <c:legend>
      <c:legendPos val="r"/>
      <c:layout>
        <c:manualLayout>
          <c:xMode val="edge"/>
          <c:yMode val="edge"/>
          <c:x val="2.2050716648291082E-2"/>
          <c:y val="0.86507936507936511"/>
          <c:w val="0.95148842337375705"/>
          <c:h val="0.11904761904761586"/>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CAMHS!$A$22</c:f>
              <c:strCache>
                <c:ptCount val="1"/>
                <c:pt idx="0">
                  <c:v>Number Seen Within 18 Weeks</c:v>
                </c:pt>
              </c:strCache>
            </c:strRef>
          </c:tx>
          <c:spPr>
            <a:solidFill>
              <a:srgbClr val="92D050"/>
            </a:solidFill>
            <a:ln>
              <a:solidFill>
                <a:srgbClr val="0070C0"/>
              </a:solidFill>
            </a:ln>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CAMHS!$B$22:$AW$22</c:f>
              <c:numCache>
                <c:formatCode>#,##0</c:formatCode>
                <c:ptCount val="48"/>
                <c:pt idx="0">
                  <c:v>130</c:v>
                </c:pt>
                <c:pt idx="1">
                  <c:v>140</c:v>
                </c:pt>
                <c:pt idx="2">
                  <c:v>171</c:v>
                </c:pt>
                <c:pt idx="3">
                  <c:v>159</c:v>
                </c:pt>
                <c:pt idx="4">
                  <c:v>201</c:v>
                </c:pt>
                <c:pt idx="5">
                  <c:v>169</c:v>
                </c:pt>
                <c:pt idx="6">
                  <c:v>143</c:v>
                </c:pt>
                <c:pt idx="7">
                  <c:v>143</c:v>
                </c:pt>
                <c:pt idx="8">
                  <c:v>128</c:v>
                </c:pt>
                <c:pt idx="9">
                  <c:v>112</c:v>
                </c:pt>
                <c:pt idx="10">
                  <c:v>165</c:v>
                </c:pt>
                <c:pt idx="11">
                  <c:v>145</c:v>
                </c:pt>
                <c:pt idx="12">
                  <c:v>147</c:v>
                </c:pt>
                <c:pt idx="13">
                  <c:v>166</c:v>
                </c:pt>
                <c:pt idx="14">
                  <c:v>166</c:v>
                </c:pt>
                <c:pt idx="15">
                  <c:v>95</c:v>
                </c:pt>
                <c:pt idx="16">
                  <c:v>117</c:v>
                </c:pt>
                <c:pt idx="17">
                  <c:v>135</c:v>
                </c:pt>
                <c:pt idx="18">
                  <c:v>118</c:v>
                </c:pt>
                <c:pt idx="19">
                  <c:v>127</c:v>
                </c:pt>
                <c:pt idx="20">
                  <c:v>76</c:v>
                </c:pt>
                <c:pt idx="21">
                  <c:v>87</c:v>
                </c:pt>
                <c:pt idx="22">
                  <c:v>124</c:v>
                </c:pt>
                <c:pt idx="23">
                  <c:v>132</c:v>
                </c:pt>
                <c:pt idx="24">
                  <c:v>90</c:v>
                </c:pt>
                <c:pt idx="25">
                  <c:v>143</c:v>
                </c:pt>
                <c:pt idx="26">
                  <c:v>150</c:v>
                </c:pt>
                <c:pt idx="27">
                  <c:v>100</c:v>
                </c:pt>
                <c:pt idx="28">
                  <c:v>109</c:v>
                </c:pt>
              </c:numCache>
            </c:numRef>
          </c:val>
        </c:ser>
        <c:ser>
          <c:idx val="2"/>
          <c:order val="2"/>
          <c:tx>
            <c:strRef>
              <c:f>CAMHS!$A$23</c:f>
              <c:strCache>
                <c:ptCount val="1"/>
                <c:pt idx="0">
                  <c:v>Number Seen Over 18 Weeks</c:v>
                </c:pt>
              </c:strCache>
            </c:strRef>
          </c:tx>
          <c:spPr>
            <a:solidFill>
              <a:srgbClr val="FF0000"/>
            </a:solidFill>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CAMHS!$B$23:$AW$23</c:f>
              <c:numCache>
                <c:formatCode>#,##0</c:formatCode>
                <c:ptCount val="48"/>
                <c:pt idx="0">
                  <c:v>96</c:v>
                </c:pt>
                <c:pt idx="1">
                  <c:v>107</c:v>
                </c:pt>
                <c:pt idx="2">
                  <c:v>113</c:v>
                </c:pt>
                <c:pt idx="3">
                  <c:v>66</c:v>
                </c:pt>
                <c:pt idx="4">
                  <c:v>64</c:v>
                </c:pt>
                <c:pt idx="5">
                  <c:v>117</c:v>
                </c:pt>
                <c:pt idx="6">
                  <c:v>90</c:v>
                </c:pt>
                <c:pt idx="7">
                  <c:v>124</c:v>
                </c:pt>
                <c:pt idx="8">
                  <c:v>70</c:v>
                </c:pt>
                <c:pt idx="9">
                  <c:v>87</c:v>
                </c:pt>
                <c:pt idx="10">
                  <c:v>62</c:v>
                </c:pt>
                <c:pt idx="11">
                  <c:v>63</c:v>
                </c:pt>
                <c:pt idx="12">
                  <c:v>100</c:v>
                </c:pt>
                <c:pt idx="13">
                  <c:v>130</c:v>
                </c:pt>
                <c:pt idx="14">
                  <c:v>126</c:v>
                </c:pt>
                <c:pt idx="15">
                  <c:v>68</c:v>
                </c:pt>
                <c:pt idx="16">
                  <c:v>95</c:v>
                </c:pt>
                <c:pt idx="17">
                  <c:v>112</c:v>
                </c:pt>
                <c:pt idx="18">
                  <c:v>92</c:v>
                </c:pt>
                <c:pt idx="19">
                  <c:v>172</c:v>
                </c:pt>
                <c:pt idx="20">
                  <c:v>80</c:v>
                </c:pt>
                <c:pt idx="21">
                  <c:v>118</c:v>
                </c:pt>
                <c:pt idx="22">
                  <c:v>132</c:v>
                </c:pt>
                <c:pt idx="23">
                  <c:v>125</c:v>
                </c:pt>
                <c:pt idx="24">
                  <c:v>68</c:v>
                </c:pt>
                <c:pt idx="25">
                  <c:v>112</c:v>
                </c:pt>
                <c:pt idx="26">
                  <c:v>89</c:v>
                </c:pt>
                <c:pt idx="27">
                  <c:v>61</c:v>
                </c:pt>
                <c:pt idx="28">
                  <c:v>102</c:v>
                </c:pt>
              </c:numCache>
            </c:numRef>
          </c:val>
        </c:ser>
        <c:dLbls>
          <c:showLegendKey val="0"/>
          <c:showVal val="0"/>
          <c:showCatName val="0"/>
          <c:showSerName val="0"/>
          <c:showPercent val="0"/>
          <c:showBubbleSize val="0"/>
        </c:dLbls>
        <c:gapWidth val="100"/>
        <c:overlap val="100"/>
        <c:axId val="126747136"/>
        <c:axId val="126717888"/>
      </c:barChart>
      <c:lineChart>
        <c:grouping val="standard"/>
        <c:varyColors val="0"/>
        <c:ser>
          <c:idx val="0"/>
          <c:order val="0"/>
          <c:tx>
            <c:strRef>
              <c:f>CAMHS!$A$21</c:f>
              <c:strCache>
                <c:ptCount val="1"/>
                <c:pt idx="0">
                  <c:v>Total Number Seen</c:v>
                </c:pt>
              </c:strCache>
            </c:strRef>
          </c:tx>
          <c:spPr>
            <a:ln w="25400">
              <a:solidFill>
                <a:schemeClr val="tx1"/>
              </a:solidFill>
            </a:ln>
          </c:spPr>
          <c:marker>
            <c:symbol val="circle"/>
            <c:size val="4"/>
            <c:spPr>
              <a:solidFill>
                <a:schemeClr val="tx1"/>
              </a:solidFill>
              <a:ln w="25400">
                <a:solidFill>
                  <a:schemeClr val="tx1"/>
                </a:solidFill>
              </a:ln>
            </c:spPr>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CAMHS!$B$21:$AW$21</c:f>
              <c:numCache>
                <c:formatCode>#,##0</c:formatCode>
                <c:ptCount val="48"/>
                <c:pt idx="0">
                  <c:v>226</c:v>
                </c:pt>
                <c:pt idx="1">
                  <c:v>247</c:v>
                </c:pt>
                <c:pt idx="2">
                  <c:v>284</c:v>
                </c:pt>
                <c:pt idx="3">
                  <c:v>225</c:v>
                </c:pt>
                <c:pt idx="4">
                  <c:v>265</c:v>
                </c:pt>
                <c:pt idx="5">
                  <c:v>286</c:v>
                </c:pt>
                <c:pt idx="6">
                  <c:v>233</c:v>
                </c:pt>
                <c:pt idx="7">
                  <c:v>267</c:v>
                </c:pt>
                <c:pt idx="8">
                  <c:v>198</c:v>
                </c:pt>
                <c:pt idx="9">
                  <c:v>199</c:v>
                </c:pt>
                <c:pt idx="10">
                  <c:v>227</c:v>
                </c:pt>
                <c:pt idx="11">
                  <c:v>208</c:v>
                </c:pt>
                <c:pt idx="12">
                  <c:v>247</c:v>
                </c:pt>
                <c:pt idx="13">
                  <c:v>296</c:v>
                </c:pt>
                <c:pt idx="14">
                  <c:v>292</c:v>
                </c:pt>
                <c:pt idx="15">
                  <c:v>163</c:v>
                </c:pt>
                <c:pt idx="16">
                  <c:v>212</c:v>
                </c:pt>
                <c:pt idx="17">
                  <c:v>247</c:v>
                </c:pt>
                <c:pt idx="18">
                  <c:v>210</c:v>
                </c:pt>
                <c:pt idx="19">
                  <c:v>299</c:v>
                </c:pt>
                <c:pt idx="20">
                  <c:v>156</c:v>
                </c:pt>
                <c:pt idx="21">
                  <c:v>205</c:v>
                </c:pt>
                <c:pt idx="22">
                  <c:v>256</c:v>
                </c:pt>
                <c:pt idx="23">
                  <c:v>257</c:v>
                </c:pt>
                <c:pt idx="24">
                  <c:v>158</c:v>
                </c:pt>
                <c:pt idx="25">
                  <c:v>255</c:v>
                </c:pt>
                <c:pt idx="26">
                  <c:v>239</c:v>
                </c:pt>
                <c:pt idx="27">
                  <c:v>161</c:v>
                </c:pt>
                <c:pt idx="28">
                  <c:v>211</c:v>
                </c:pt>
              </c:numCache>
            </c:numRef>
          </c:val>
          <c:smooth val="0"/>
        </c:ser>
        <c:dLbls>
          <c:showLegendKey val="0"/>
          <c:showVal val="0"/>
          <c:showCatName val="0"/>
          <c:showSerName val="0"/>
          <c:showPercent val="0"/>
          <c:showBubbleSize val="0"/>
        </c:dLbls>
        <c:marker val="1"/>
        <c:smooth val="0"/>
        <c:axId val="126747136"/>
        <c:axId val="126717888"/>
      </c:lineChart>
      <c:dateAx>
        <c:axId val="12674713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6717888"/>
        <c:crosses val="autoZero"/>
        <c:auto val="1"/>
        <c:lblOffset val="100"/>
        <c:baseTimeUnit val="months"/>
      </c:dateAx>
      <c:valAx>
        <c:axId val="12671788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6747136"/>
        <c:crosses val="autoZero"/>
        <c:crossBetween val="between"/>
      </c:valAx>
    </c:plotArea>
    <c:legend>
      <c:legendPos val="b"/>
      <c:layout>
        <c:manualLayout>
          <c:xMode val="edge"/>
          <c:yMode val="edge"/>
          <c:x val="0.17199558985667338"/>
          <c:y val="0.93650793650793651"/>
          <c:w val="0.65600882028666174"/>
          <c:h val="4.497354497354499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89966076951852614"/>
          <c:h val="0.7199247987260019"/>
        </c:manualLayout>
      </c:layout>
      <c:lineChart>
        <c:grouping val="standard"/>
        <c:varyColors val="0"/>
        <c:ser>
          <c:idx val="4"/>
          <c:order val="0"/>
          <c:tx>
            <c:v>% eligible referrals who started treatment within 31 days</c:v>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'Cancer - 31 Day'!$B$11:$AW$11</c:f>
              <c:numCache>
                <c:formatCode>0.0%</c:formatCode>
                <c:ptCount val="48"/>
                <c:pt idx="0">
                  <c:v>0.97399999999999998</c:v>
                </c:pt>
                <c:pt idx="1">
                  <c:v>0.95599999999999996</c:v>
                </c:pt>
                <c:pt idx="2">
                  <c:v>0.96599999999999997</c:v>
                </c:pt>
                <c:pt idx="3">
                  <c:v>0.97399999999999998</c:v>
                </c:pt>
                <c:pt idx="4">
                  <c:v>0.96799999999999997</c:v>
                </c:pt>
                <c:pt idx="5">
                  <c:v>0.97899999999999998</c:v>
                </c:pt>
                <c:pt idx="6">
                  <c:v>0.97699999999999998</c:v>
                </c:pt>
                <c:pt idx="7">
                  <c:v>0.96499999999999997</c:v>
                </c:pt>
                <c:pt idx="8">
                  <c:v>0.95299999999999996</c:v>
                </c:pt>
                <c:pt idx="9">
                  <c:v>0.95199999999999996</c:v>
                </c:pt>
                <c:pt idx="10">
                  <c:v>0.94699999999999995</c:v>
                </c:pt>
                <c:pt idx="11">
                  <c:v>0.94399999999999995</c:v>
                </c:pt>
                <c:pt idx="12">
                  <c:v>0.94599999999999995</c:v>
                </c:pt>
                <c:pt idx="13">
                  <c:v>0.93600000000000005</c:v>
                </c:pt>
                <c:pt idx="14">
                  <c:v>0.95699999999999996</c:v>
                </c:pt>
                <c:pt idx="15">
                  <c:v>0.96</c:v>
                </c:pt>
                <c:pt idx="16">
                  <c:v>0.91300000000000003</c:v>
                </c:pt>
                <c:pt idx="17">
                  <c:v>0.92</c:v>
                </c:pt>
                <c:pt idx="18" formatCode="#,##0.0%;&quot;n/a&quot;">
                  <c:v>0.92700000000000005</c:v>
                </c:pt>
                <c:pt idx="19" formatCode="#,##0.0%;&quot;n/a&quot;">
                  <c:v>0.91500000000000004</c:v>
                </c:pt>
                <c:pt idx="20">
                  <c:v>0.95599999999999996</c:v>
                </c:pt>
                <c:pt idx="21">
                  <c:v>0.91300000000000003</c:v>
                </c:pt>
                <c:pt idx="22">
                  <c:v>0.92600000000000005</c:v>
                </c:pt>
                <c:pt idx="23" formatCode="#,##0.0%;&quot;n/a&quot;">
                  <c:v>0.96299999999999997</c:v>
                </c:pt>
                <c:pt idx="24">
                  <c:v>0.94599999999999995</c:v>
                </c:pt>
                <c:pt idx="25">
                  <c:v>0.92900000000000005</c:v>
                </c:pt>
                <c:pt idx="26">
                  <c:v>0.94299999999999995</c:v>
                </c:pt>
                <c:pt idx="27">
                  <c:v>0.93300000000000005</c:v>
                </c:pt>
                <c:pt idx="28">
                  <c:v>0.878</c:v>
                </c:pt>
              </c:numCache>
            </c:numRef>
          </c:val>
          <c:smooth val="0"/>
        </c:ser>
        <c:ser>
          <c:idx val="5"/>
          <c:order val="1"/>
          <c:tx>
            <c:strRef>
              <c:f>'Cancer - 31 Day'!$A$25</c:f>
              <c:strCache>
                <c:ptCount val="1"/>
                <c:pt idx="0">
                  <c:v>Target (min)</c:v>
                </c:pt>
              </c:strCache>
            </c:strRef>
          </c:tx>
          <c:spPr>
            <a:ln w="19050">
              <a:solidFill>
                <a:srgbClr val="FF0000"/>
              </a:solidFill>
              <a:prstDash val="dash"/>
            </a:ln>
          </c:spPr>
          <c:marker>
            <c:symbol val="none"/>
          </c:marker>
          <c:cat>
            <c:numRef>
              <c:f>'Cancer - 31 Day'!$B$10:$AW$10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'Cancer - 31 Day'!$B$25:$AW$25</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26750208"/>
        <c:axId val="128478016"/>
      </c:lineChart>
      <c:dateAx>
        <c:axId val="12675020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8478016"/>
        <c:crosses val="autoZero"/>
        <c:auto val="1"/>
        <c:lblOffset val="100"/>
        <c:baseTimeUnit val="months"/>
      </c:dateAx>
      <c:valAx>
        <c:axId val="128478016"/>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6750208"/>
        <c:crosses val="autoZero"/>
        <c:crossBetween val="between"/>
        <c:majorUnit val="2.0000000000000011E-2"/>
      </c:valAx>
    </c:plotArea>
    <c:legend>
      <c:legendPos val="r"/>
      <c:layout>
        <c:manualLayout>
          <c:xMode val="edge"/>
          <c:yMode val="edge"/>
          <c:x val="5.9350503919372924E-2"/>
          <c:y val="0.91534391534391535"/>
          <c:w val="0.89324374766704051"/>
          <c:h val="4.7619047619045313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62268518518517E-2"/>
          <c:y val="6.181725067071716E-2"/>
          <c:w val="0.87370034722222223"/>
          <c:h val="0.73307527777777781"/>
        </c:manualLayout>
      </c:layout>
      <c:barChart>
        <c:barDir val="col"/>
        <c:grouping val="clustered"/>
        <c:varyColors val="0"/>
        <c:ser>
          <c:idx val="0"/>
          <c:order val="0"/>
          <c:tx>
            <c:strRef>
              <c:f>'Cancer - 31 Day'!$C$122</c:f>
              <c:strCache>
                <c:ptCount val="1"/>
                <c:pt idx="0">
                  <c:v>No. of eligible referrals who started treatment within 31 days</c:v>
                </c:pt>
              </c:strCache>
            </c:strRef>
          </c:tx>
          <c:spPr>
            <a:solidFill>
              <a:srgbClr val="0070C0"/>
            </a:solidFill>
            <a:ln>
              <a:noFill/>
            </a:ln>
          </c:spPr>
          <c:invertIfNegative val="0"/>
          <c:dPt>
            <c:idx val="0"/>
            <c:invertIfNegative val="0"/>
            <c:bubble3D val="0"/>
            <c:spPr>
              <a:solidFill>
                <a:srgbClr val="0070C0"/>
              </a:solidFill>
              <a:ln w="19050">
                <a:noFill/>
              </a:ln>
            </c:spPr>
          </c:dPt>
          <c:dPt>
            <c:idx val="1"/>
            <c:invertIfNegative val="0"/>
            <c:bubble3D val="0"/>
            <c:spPr>
              <a:solidFill>
                <a:srgbClr val="0070C0"/>
              </a:solidFill>
              <a:ln w="19050">
                <a:noFill/>
                <a:prstDash val="sysDash"/>
              </a:ln>
            </c:spPr>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cat>
            <c:strRef>
              <c:f>'Cancer - 31 Day'!$A$123:$A$135</c:f>
              <c:strCache>
                <c:ptCount val="13"/>
                <c:pt idx="0">
                  <c:v>Lung</c:v>
                </c:pt>
                <c:pt idx="1">
                  <c:v>Urological</c:v>
                </c:pt>
                <c:pt idx="2">
                  <c:v>Breast (screened excluded)</c:v>
                </c:pt>
                <c:pt idx="3">
                  <c:v>Breast (screened only)</c:v>
                </c:pt>
                <c:pt idx="4">
                  <c:v>Colorectal (screened excluded)</c:v>
                </c:pt>
                <c:pt idx="5">
                  <c:v>Upper GI</c:v>
                </c:pt>
                <c:pt idx="6">
                  <c:v>Melanoma</c:v>
                </c:pt>
                <c:pt idx="7">
                  <c:v>Head &amp; Neck</c:v>
                </c:pt>
                <c:pt idx="8">
                  <c:v>Lymphoma</c:v>
                </c:pt>
                <c:pt idx="9">
                  <c:v>Colorectal (screened only)</c:v>
                </c:pt>
                <c:pt idx="10">
                  <c:v>Ovarian</c:v>
                </c:pt>
                <c:pt idx="11">
                  <c:v>Cervical (screened excluded)</c:v>
                </c:pt>
                <c:pt idx="12">
                  <c:v>Cervical (screened only)</c:v>
                </c:pt>
              </c:strCache>
            </c:strRef>
          </c:cat>
          <c:val>
            <c:numRef>
              <c:f>'Cancer - 31 Day'!$C$123:$C$135</c:f>
              <c:numCache>
                <c:formatCode>#,##0</c:formatCode>
                <c:ptCount val="13"/>
                <c:pt idx="0">
                  <c:v>1420</c:v>
                </c:pt>
                <c:pt idx="1">
                  <c:v>1097</c:v>
                </c:pt>
                <c:pt idx="2">
                  <c:v>957</c:v>
                </c:pt>
                <c:pt idx="3">
                  <c:v>763</c:v>
                </c:pt>
                <c:pt idx="4">
                  <c:v>661</c:v>
                </c:pt>
                <c:pt idx="5">
                  <c:v>557</c:v>
                </c:pt>
                <c:pt idx="6">
                  <c:v>407</c:v>
                </c:pt>
                <c:pt idx="7">
                  <c:v>402</c:v>
                </c:pt>
                <c:pt idx="8">
                  <c:v>303</c:v>
                </c:pt>
                <c:pt idx="9">
                  <c:v>123</c:v>
                </c:pt>
                <c:pt idx="10">
                  <c:v>96</c:v>
                </c:pt>
                <c:pt idx="11">
                  <c:v>85</c:v>
                </c:pt>
                <c:pt idx="12">
                  <c:v>31</c:v>
                </c:pt>
              </c:numCache>
            </c:numRef>
          </c:val>
        </c:ser>
        <c:dLbls>
          <c:showLegendKey val="0"/>
          <c:showVal val="0"/>
          <c:showCatName val="0"/>
          <c:showSerName val="0"/>
          <c:showPercent val="0"/>
          <c:showBubbleSize val="0"/>
        </c:dLbls>
        <c:gapWidth val="57"/>
        <c:axId val="128299008"/>
        <c:axId val="128480320"/>
      </c:barChart>
      <c:lineChart>
        <c:grouping val="standard"/>
        <c:varyColors val="0"/>
        <c:ser>
          <c:idx val="2"/>
          <c:order val="1"/>
          <c:tx>
            <c:strRef>
              <c:f>'Cancer - 31 Day'!$F$122</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- 31 Day'!$A$123:$A$135</c:f>
              <c:strCache>
                <c:ptCount val="13"/>
                <c:pt idx="0">
                  <c:v>Lung</c:v>
                </c:pt>
                <c:pt idx="1">
                  <c:v>Urological</c:v>
                </c:pt>
                <c:pt idx="2">
                  <c:v>Breast (screened excluded)</c:v>
                </c:pt>
                <c:pt idx="3">
                  <c:v>Breast (screened only)</c:v>
                </c:pt>
                <c:pt idx="4">
                  <c:v>Colorectal (screened excluded)</c:v>
                </c:pt>
                <c:pt idx="5">
                  <c:v>Upper GI</c:v>
                </c:pt>
                <c:pt idx="6">
                  <c:v>Melanoma</c:v>
                </c:pt>
                <c:pt idx="7">
                  <c:v>Head &amp; Neck</c:v>
                </c:pt>
                <c:pt idx="8">
                  <c:v>Lymphoma</c:v>
                </c:pt>
                <c:pt idx="9">
                  <c:v>Colorectal (screened only)</c:v>
                </c:pt>
                <c:pt idx="10">
                  <c:v>Ovarian</c:v>
                </c:pt>
                <c:pt idx="11">
                  <c:v>Cervical (screened excluded)</c:v>
                </c:pt>
                <c:pt idx="12">
                  <c:v>Cervical (screened only)</c:v>
                </c:pt>
              </c:strCache>
            </c:strRef>
          </c:cat>
          <c:val>
            <c:numRef>
              <c:f>'Cancer - 31 Day'!$F$123:$F$135</c:f>
              <c:numCache>
                <c:formatCode>0.0%</c:formatCode>
                <c:ptCount val="13"/>
                <c:pt idx="0">
                  <c:v>0.20573746740075341</c:v>
                </c:pt>
                <c:pt idx="1">
                  <c:v>0.36467690524485658</c:v>
                </c:pt>
                <c:pt idx="2">
                  <c:v>0.50333236742973053</c:v>
                </c:pt>
                <c:pt idx="3">
                  <c:v>0.61388003477252973</c:v>
                </c:pt>
                <c:pt idx="4">
                  <c:v>0.70964937699217623</c:v>
                </c:pt>
                <c:pt idx="5">
                  <c:v>0.79035062300782388</c:v>
                </c:pt>
                <c:pt idx="6">
                  <c:v>0.84931903796001162</c:v>
                </c:pt>
                <c:pt idx="7">
                  <c:v>0.90756302521008403</c:v>
                </c:pt>
                <c:pt idx="8">
                  <c:v>0.95146334395827292</c:v>
                </c:pt>
                <c:pt idx="9">
                  <c:v>0.96928426543030999</c:v>
                </c:pt>
                <c:pt idx="10">
                  <c:v>0.98319327731092432</c:v>
                </c:pt>
                <c:pt idx="11">
                  <c:v>0.99550854824688495</c:v>
                </c:pt>
                <c:pt idx="12">
                  <c:v>1</c:v>
                </c:pt>
              </c:numCache>
            </c:numRef>
          </c:val>
          <c:smooth val="0"/>
        </c:ser>
        <c:dLbls>
          <c:showLegendKey val="0"/>
          <c:showVal val="0"/>
          <c:showCatName val="0"/>
          <c:showSerName val="0"/>
          <c:showPercent val="0"/>
          <c:showBubbleSize val="0"/>
        </c:dLbls>
        <c:marker val="1"/>
        <c:smooth val="0"/>
        <c:axId val="128300032"/>
        <c:axId val="128480896"/>
      </c:lineChart>
      <c:catAx>
        <c:axId val="128299008"/>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28480320"/>
        <c:crosses val="autoZero"/>
        <c:auto val="1"/>
        <c:lblAlgn val="ctr"/>
        <c:lblOffset val="100"/>
        <c:noMultiLvlLbl val="0"/>
      </c:catAx>
      <c:valAx>
        <c:axId val="128480320"/>
        <c:scaling>
          <c:orientation val="minMax"/>
        </c:scaling>
        <c:delete val="0"/>
        <c:axPos val="l"/>
        <c:majorGridlines/>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28299008"/>
        <c:crosses val="autoZero"/>
        <c:crossBetween val="between"/>
      </c:valAx>
      <c:catAx>
        <c:axId val="128300032"/>
        <c:scaling>
          <c:orientation val="minMax"/>
        </c:scaling>
        <c:delete val="1"/>
        <c:axPos val="b"/>
        <c:majorTickMark val="out"/>
        <c:minorTickMark val="none"/>
        <c:tickLblPos val="nextTo"/>
        <c:crossAx val="128480896"/>
        <c:crosses val="autoZero"/>
        <c:auto val="1"/>
        <c:lblAlgn val="ctr"/>
        <c:lblOffset val="100"/>
        <c:noMultiLvlLbl val="0"/>
      </c:catAx>
      <c:valAx>
        <c:axId val="128480896"/>
        <c:scaling>
          <c:orientation val="minMax"/>
          <c:max val="1"/>
        </c:scaling>
        <c:delete val="0"/>
        <c:axPos val="r"/>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28300032"/>
        <c:crosses val="max"/>
        <c:crossBetween val="between"/>
      </c:valAx>
    </c:plotArea>
    <c:legend>
      <c:legendPos val="b"/>
      <c:layout>
        <c:manualLayout>
          <c:xMode val="edge"/>
          <c:yMode val="edge"/>
          <c:x val="0.18997754629629632"/>
          <c:y val="0.93973527777777777"/>
          <c:w val="0.62004479166666671"/>
          <c:h val="4.9681388888888886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631944444444E-2"/>
          <c:y val="3.6923888888888888E-2"/>
          <c:w val="0.8644659722222221"/>
          <c:h val="0.75697055555555559"/>
        </c:manualLayout>
      </c:layout>
      <c:barChart>
        <c:barDir val="col"/>
        <c:grouping val="clustered"/>
        <c:varyColors val="0"/>
        <c:ser>
          <c:idx val="0"/>
          <c:order val="0"/>
          <c:tx>
            <c:strRef>
              <c:f>'Cancer - 31 Day'!$B$139</c:f>
              <c:strCache>
                <c:ptCount val="1"/>
                <c:pt idx="0">
                  <c:v>No. of eligible referrals who did not start treatment within 31 days</c:v>
                </c:pt>
              </c:strCache>
            </c:strRef>
          </c:tx>
          <c:spPr>
            <a:solidFill>
              <a:srgbClr val="0070C0"/>
            </a:solidFill>
            <a:ln>
              <a:solidFill>
                <a:schemeClr val="bg1">
                  <a:lumMod val="65000"/>
                </a:schemeClr>
              </a:solidFill>
            </a:ln>
          </c:spPr>
          <c:invertIfNegative val="0"/>
          <c:dPt>
            <c:idx val="0"/>
            <c:invertIfNegative val="0"/>
            <c:bubble3D val="0"/>
            <c:spPr>
              <a:solidFill>
                <a:srgbClr val="0070C0"/>
              </a:solidFill>
              <a:ln w="9525">
                <a:solidFill>
                  <a:schemeClr val="bg1">
                    <a:lumMod val="65000"/>
                  </a:schemeClr>
                </a:solidFill>
                <a:prstDash val="solid"/>
              </a:ln>
            </c:spPr>
          </c:dPt>
          <c:dPt>
            <c:idx val="6"/>
            <c:invertIfNegative val="0"/>
            <c:bubble3D val="0"/>
            <c:spPr>
              <a:solidFill>
                <a:srgbClr val="0070C0"/>
              </a:solidFill>
              <a:ln w="9525">
                <a:solidFill>
                  <a:schemeClr val="bg1">
                    <a:lumMod val="65000"/>
                  </a:schemeClr>
                </a:solidFill>
              </a:ln>
            </c:spPr>
          </c:dPt>
          <c:cat>
            <c:strRef>
              <c:f>'Cancer - 31 Day'!$A$140:$A$152</c:f>
              <c:strCache>
                <c:ptCount val="13"/>
                <c:pt idx="0">
                  <c:v>Urological</c:v>
                </c:pt>
                <c:pt idx="1">
                  <c:v>Colorectal (screened excluded)</c:v>
                </c:pt>
                <c:pt idx="2">
                  <c:v>Colorectal (screened only)</c:v>
                </c:pt>
                <c:pt idx="3">
                  <c:v>Ovarian</c:v>
                </c:pt>
                <c:pt idx="4">
                  <c:v>Upper GI</c:v>
                </c:pt>
                <c:pt idx="5">
                  <c:v>Head &amp; Neck</c:v>
                </c:pt>
                <c:pt idx="6">
                  <c:v>Lung</c:v>
                </c:pt>
                <c:pt idx="7">
                  <c:v>Cervical (screened excluded)</c:v>
                </c:pt>
                <c:pt idx="8">
                  <c:v>Breast (screened only)</c:v>
                </c:pt>
                <c:pt idx="9">
                  <c:v>Lymphoma</c:v>
                </c:pt>
                <c:pt idx="10">
                  <c:v>Cervical (screened only)</c:v>
                </c:pt>
                <c:pt idx="11">
                  <c:v>Breast (screened excluded)</c:v>
                </c:pt>
                <c:pt idx="12">
                  <c:v>Melanoma</c:v>
                </c:pt>
              </c:strCache>
            </c:strRef>
          </c:cat>
          <c:val>
            <c:numRef>
              <c:f>'Cancer - 31 Day'!$B$140:$B$152</c:f>
              <c:numCache>
                <c:formatCode>#,##0</c:formatCode>
                <c:ptCount val="13"/>
                <c:pt idx="0">
                  <c:v>286</c:v>
                </c:pt>
                <c:pt idx="1">
                  <c:v>31</c:v>
                </c:pt>
                <c:pt idx="2">
                  <c:v>16</c:v>
                </c:pt>
                <c:pt idx="3">
                  <c:v>10</c:v>
                </c:pt>
                <c:pt idx="4">
                  <c:v>7</c:v>
                </c:pt>
                <c:pt idx="5">
                  <c:v>4</c:v>
                </c:pt>
                <c:pt idx="6">
                  <c:v>3</c:v>
                </c:pt>
                <c:pt idx="7">
                  <c:v>2</c:v>
                </c:pt>
                <c:pt idx="8">
                  <c:v>1</c:v>
                </c:pt>
                <c:pt idx="9">
                  <c:v>1</c:v>
                </c:pt>
                <c:pt idx="10">
                  <c:v>1</c:v>
                </c:pt>
                <c:pt idx="11">
                  <c:v>0</c:v>
                </c:pt>
                <c:pt idx="12">
                  <c:v>0</c:v>
                </c:pt>
              </c:numCache>
            </c:numRef>
          </c:val>
        </c:ser>
        <c:dLbls>
          <c:showLegendKey val="0"/>
          <c:showVal val="0"/>
          <c:showCatName val="0"/>
          <c:showSerName val="0"/>
          <c:showPercent val="0"/>
          <c:showBubbleSize val="0"/>
        </c:dLbls>
        <c:gapWidth val="57"/>
        <c:axId val="128299520"/>
        <c:axId val="51699712"/>
      </c:barChart>
      <c:lineChart>
        <c:grouping val="standard"/>
        <c:varyColors val="0"/>
        <c:ser>
          <c:idx val="2"/>
          <c:order val="1"/>
          <c:tx>
            <c:strRef>
              <c:f>'Cancer - 31 Day'!$D$139</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- 31 Day'!$A$140:$A$152</c:f>
              <c:strCache>
                <c:ptCount val="13"/>
                <c:pt idx="0">
                  <c:v>Urological</c:v>
                </c:pt>
                <c:pt idx="1">
                  <c:v>Colorectal (screened excluded)</c:v>
                </c:pt>
                <c:pt idx="2">
                  <c:v>Colorectal (screened only)</c:v>
                </c:pt>
                <c:pt idx="3">
                  <c:v>Ovarian</c:v>
                </c:pt>
                <c:pt idx="4">
                  <c:v>Upper GI</c:v>
                </c:pt>
                <c:pt idx="5">
                  <c:v>Head &amp; Neck</c:v>
                </c:pt>
                <c:pt idx="6">
                  <c:v>Lung</c:v>
                </c:pt>
                <c:pt idx="7">
                  <c:v>Cervical (screened excluded)</c:v>
                </c:pt>
                <c:pt idx="8">
                  <c:v>Breast (screened only)</c:v>
                </c:pt>
                <c:pt idx="9">
                  <c:v>Lymphoma</c:v>
                </c:pt>
                <c:pt idx="10">
                  <c:v>Cervical (screened only)</c:v>
                </c:pt>
                <c:pt idx="11">
                  <c:v>Breast (screened excluded)</c:v>
                </c:pt>
                <c:pt idx="12">
                  <c:v>Melanoma</c:v>
                </c:pt>
              </c:strCache>
            </c:strRef>
          </c:cat>
          <c:val>
            <c:numRef>
              <c:f>'Cancer - 31 Day'!$D$140:$D$152</c:f>
              <c:numCache>
                <c:formatCode>0.0%</c:formatCode>
                <c:ptCount val="13"/>
                <c:pt idx="0">
                  <c:v>0.79005524861878451</c:v>
                </c:pt>
                <c:pt idx="1">
                  <c:v>0.87569060773480656</c:v>
                </c:pt>
                <c:pt idx="2">
                  <c:v>0.91988950276243087</c:v>
                </c:pt>
                <c:pt idx="3">
                  <c:v>0.9475138121546961</c:v>
                </c:pt>
                <c:pt idx="4">
                  <c:v>0.96685082872928174</c:v>
                </c:pt>
                <c:pt idx="5">
                  <c:v>0.97790055248618779</c:v>
                </c:pt>
                <c:pt idx="6">
                  <c:v>0.98618784530386738</c:v>
                </c:pt>
                <c:pt idx="7">
                  <c:v>0.99171270718232041</c:v>
                </c:pt>
                <c:pt idx="8">
                  <c:v>0.99447513812154698</c:v>
                </c:pt>
                <c:pt idx="9">
                  <c:v>0.99723756906077354</c:v>
                </c:pt>
                <c:pt idx="10">
                  <c:v>1</c:v>
                </c:pt>
                <c:pt idx="11">
                  <c:v>1</c:v>
                </c:pt>
                <c:pt idx="12">
                  <c:v>1</c:v>
                </c:pt>
              </c:numCache>
            </c:numRef>
          </c:val>
          <c:smooth val="0"/>
        </c:ser>
        <c:dLbls>
          <c:showLegendKey val="0"/>
          <c:showVal val="0"/>
          <c:showCatName val="0"/>
          <c:showSerName val="0"/>
          <c:showPercent val="0"/>
          <c:showBubbleSize val="0"/>
        </c:dLbls>
        <c:marker val="1"/>
        <c:smooth val="0"/>
        <c:axId val="128302592"/>
        <c:axId val="51700288"/>
      </c:lineChart>
      <c:catAx>
        <c:axId val="128299520"/>
        <c:scaling>
          <c:orientation val="minMax"/>
        </c:scaling>
        <c:delete val="0"/>
        <c:axPos val="b"/>
        <c:numFmt formatCode="General" sourceLinked="1"/>
        <c:majorTickMark val="out"/>
        <c:minorTickMark val="none"/>
        <c:tickLblPos val="nextTo"/>
        <c:crossAx val="51699712"/>
        <c:crosses val="autoZero"/>
        <c:auto val="1"/>
        <c:lblAlgn val="ctr"/>
        <c:lblOffset val="100"/>
        <c:noMultiLvlLbl val="0"/>
      </c:catAx>
      <c:valAx>
        <c:axId val="51699712"/>
        <c:scaling>
          <c:orientation val="minMax"/>
        </c:scaling>
        <c:delete val="0"/>
        <c:axPos val="l"/>
        <c:majorGridlines/>
        <c:numFmt formatCode="#,##0" sourceLinked="0"/>
        <c:majorTickMark val="out"/>
        <c:minorTickMark val="none"/>
        <c:tickLblPos val="nextTo"/>
        <c:crossAx val="128299520"/>
        <c:crosses val="autoZero"/>
        <c:crossBetween val="between"/>
      </c:valAx>
      <c:catAx>
        <c:axId val="128302592"/>
        <c:scaling>
          <c:orientation val="minMax"/>
        </c:scaling>
        <c:delete val="1"/>
        <c:axPos val="b"/>
        <c:majorTickMark val="out"/>
        <c:minorTickMark val="none"/>
        <c:tickLblPos val="nextTo"/>
        <c:crossAx val="51700288"/>
        <c:crosses val="autoZero"/>
        <c:auto val="1"/>
        <c:lblAlgn val="ctr"/>
        <c:lblOffset val="100"/>
        <c:noMultiLvlLbl val="0"/>
      </c:catAx>
      <c:valAx>
        <c:axId val="51700288"/>
        <c:scaling>
          <c:orientation val="minMax"/>
          <c:max val="1"/>
        </c:scaling>
        <c:delete val="0"/>
        <c:axPos val="r"/>
        <c:numFmt formatCode="0%" sourceLinked="0"/>
        <c:majorTickMark val="out"/>
        <c:minorTickMark val="none"/>
        <c:tickLblPos val="nextTo"/>
        <c:crossAx val="128302592"/>
        <c:crosses val="max"/>
        <c:crossBetween val="between"/>
      </c:valAx>
    </c:plotArea>
    <c:legend>
      <c:legendPos val="b"/>
      <c:layout>
        <c:manualLayout>
          <c:xMode val="edge"/>
          <c:yMode val="edge"/>
          <c:x val="0.2162699074074074"/>
          <c:y val="0.93818249999999992"/>
          <c:w val="0.54502435558000661"/>
          <c:h val="4.5730434937167885E-2"/>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01" l="0.70000000000000062" r="0.70000000000000062" t="0.750000000000001"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03472222222222E-2"/>
          <c:y val="3.8805555555555558E-2"/>
          <c:w val="0.93472754629629629"/>
          <c:h val="0.76790055555555559"/>
        </c:manualLayout>
      </c:layout>
      <c:barChart>
        <c:barDir val="col"/>
        <c:grouping val="stacked"/>
        <c:varyColors val="0"/>
        <c:ser>
          <c:idx val="0"/>
          <c:order val="0"/>
          <c:tx>
            <c:strRef>
              <c:f>'Cancer - 31 Day'!$C$122</c:f>
              <c:strCache>
                <c:ptCount val="1"/>
                <c:pt idx="0">
                  <c:v>No. of eligible referrals who started treatment within 31 days</c:v>
                </c:pt>
              </c:strCache>
            </c:strRef>
          </c:tx>
          <c:invertIfNegative val="0"/>
          <c:cat>
            <c:strRef>
              <c:f>'Cancer - 31 Day'!$A$123:$A$135</c:f>
              <c:strCache>
                <c:ptCount val="13"/>
                <c:pt idx="0">
                  <c:v>Lung</c:v>
                </c:pt>
                <c:pt idx="1">
                  <c:v>Urological</c:v>
                </c:pt>
                <c:pt idx="2">
                  <c:v>Breast (screened excluded)</c:v>
                </c:pt>
                <c:pt idx="3">
                  <c:v>Breast (screened only)</c:v>
                </c:pt>
                <c:pt idx="4">
                  <c:v>Colorectal (screened excluded)</c:v>
                </c:pt>
                <c:pt idx="5">
                  <c:v>Upper GI</c:v>
                </c:pt>
                <c:pt idx="6">
                  <c:v>Melanoma</c:v>
                </c:pt>
                <c:pt idx="7">
                  <c:v>Head &amp; Neck</c:v>
                </c:pt>
                <c:pt idx="8">
                  <c:v>Lymphoma</c:v>
                </c:pt>
                <c:pt idx="9">
                  <c:v>Colorectal (screened only)</c:v>
                </c:pt>
                <c:pt idx="10">
                  <c:v>Ovarian</c:v>
                </c:pt>
                <c:pt idx="11">
                  <c:v>Cervical (screened excluded)</c:v>
                </c:pt>
                <c:pt idx="12">
                  <c:v>Cervical (screened only)</c:v>
                </c:pt>
              </c:strCache>
            </c:strRef>
          </c:cat>
          <c:val>
            <c:numRef>
              <c:f>'Cancer - 31 Day'!$C$123:$C$135</c:f>
              <c:numCache>
                <c:formatCode>#,##0</c:formatCode>
                <c:ptCount val="13"/>
                <c:pt idx="0">
                  <c:v>1420</c:v>
                </c:pt>
                <c:pt idx="1">
                  <c:v>1097</c:v>
                </c:pt>
                <c:pt idx="2">
                  <c:v>957</c:v>
                </c:pt>
                <c:pt idx="3">
                  <c:v>763</c:v>
                </c:pt>
                <c:pt idx="4">
                  <c:v>661</c:v>
                </c:pt>
                <c:pt idx="5">
                  <c:v>557</c:v>
                </c:pt>
                <c:pt idx="6">
                  <c:v>407</c:v>
                </c:pt>
                <c:pt idx="7">
                  <c:v>402</c:v>
                </c:pt>
                <c:pt idx="8">
                  <c:v>303</c:v>
                </c:pt>
                <c:pt idx="9">
                  <c:v>123</c:v>
                </c:pt>
                <c:pt idx="10">
                  <c:v>96</c:v>
                </c:pt>
                <c:pt idx="11">
                  <c:v>85</c:v>
                </c:pt>
                <c:pt idx="12">
                  <c:v>31</c:v>
                </c:pt>
              </c:numCache>
            </c:numRef>
          </c:val>
        </c:ser>
        <c:ser>
          <c:idx val="1"/>
          <c:order val="1"/>
          <c:tx>
            <c:strRef>
              <c:f>'Cancer - 31 Day'!$D$122</c:f>
              <c:strCache>
                <c:ptCount val="1"/>
                <c:pt idx="0">
                  <c:v>No. of eligible referrals who did not start treatment within 31 days</c:v>
                </c:pt>
              </c:strCache>
            </c:strRef>
          </c:tx>
          <c:spPr>
            <a:solidFill>
              <a:srgbClr val="FF0000"/>
            </a:solidFill>
          </c:spPr>
          <c:invertIfNegative val="0"/>
          <c:cat>
            <c:strRef>
              <c:f>'Cancer - 31 Day'!$A$123:$A$135</c:f>
              <c:strCache>
                <c:ptCount val="13"/>
                <c:pt idx="0">
                  <c:v>Lung</c:v>
                </c:pt>
                <c:pt idx="1">
                  <c:v>Urological</c:v>
                </c:pt>
                <c:pt idx="2">
                  <c:v>Breast (screened excluded)</c:v>
                </c:pt>
                <c:pt idx="3">
                  <c:v>Breast (screened only)</c:v>
                </c:pt>
                <c:pt idx="4">
                  <c:v>Colorectal (screened excluded)</c:v>
                </c:pt>
                <c:pt idx="5">
                  <c:v>Upper GI</c:v>
                </c:pt>
                <c:pt idx="6">
                  <c:v>Melanoma</c:v>
                </c:pt>
                <c:pt idx="7">
                  <c:v>Head &amp; Neck</c:v>
                </c:pt>
                <c:pt idx="8">
                  <c:v>Lymphoma</c:v>
                </c:pt>
                <c:pt idx="9">
                  <c:v>Colorectal (screened only)</c:v>
                </c:pt>
                <c:pt idx="10">
                  <c:v>Ovarian</c:v>
                </c:pt>
                <c:pt idx="11">
                  <c:v>Cervical (screened excluded)</c:v>
                </c:pt>
                <c:pt idx="12">
                  <c:v>Cervical (screened only)</c:v>
                </c:pt>
              </c:strCache>
            </c:strRef>
          </c:cat>
          <c:val>
            <c:numRef>
              <c:f>'Cancer - 31 Day'!$D$123:$D$135</c:f>
              <c:numCache>
                <c:formatCode>General</c:formatCode>
                <c:ptCount val="13"/>
                <c:pt idx="0">
                  <c:v>3</c:v>
                </c:pt>
                <c:pt idx="1">
                  <c:v>286</c:v>
                </c:pt>
                <c:pt idx="2">
                  <c:v>0</c:v>
                </c:pt>
                <c:pt idx="3">
                  <c:v>1</c:v>
                </c:pt>
                <c:pt idx="4">
                  <c:v>31</c:v>
                </c:pt>
                <c:pt idx="5">
                  <c:v>7</c:v>
                </c:pt>
                <c:pt idx="6">
                  <c:v>0</c:v>
                </c:pt>
                <c:pt idx="7">
                  <c:v>4</c:v>
                </c:pt>
                <c:pt idx="8">
                  <c:v>1</c:v>
                </c:pt>
                <c:pt idx="9">
                  <c:v>16</c:v>
                </c:pt>
                <c:pt idx="10">
                  <c:v>10</c:v>
                </c:pt>
                <c:pt idx="11">
                  <c:v>2</c:v>
                </c:pt>
                <c:pt idx="12">
                  <c:v>1</c:v>
                </c:pt>
              </c:numCache>
            </c:numRef>
          </c:val>
        </c:ser>
        <c:dLbls>
          <c:showLegendKey val="0"/>
          <c:showVal val="0"/>
          <c:showCatName val="0"/>
          <c:showSerName val="0"/>
          <c:showPercent val="0"/>
          <c:showBubbleSize val="0"/>
        </c:dLbls>
        <c:gapWidth val="150"/>
        <c:overlap val="100"/>
        <c:axId val="128302080"/>
        <c:axId val="51702592"/>
      </c:barChart>
      <c:catAx>
        <c:axId val="128302080"/>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51702592"/>
        <c:crosses val="autoZero"/>
        <c:auto val="1"/>
        <c:lblAlgn val="ctr"/>
        <c:lblOffset val="100"/>
        <c:noMultiLvlLbl val="0"/>
      </c:catAx>
      <c:valAx>
        <c:axId val="51702592"/>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28302080"/>
        <c:crosses val="autoZero"/>
        <c:crossBetween val="between"/>
      </c:valAx>
    </c:plotArea>
    <c:legend>
      <c:legendPos val="b"/>
      <c:layout>
        <c:manualLayout>
          <c:xMode val="edge"/>
          <c:yMode val="edge"/>
          <c:x val="9.5526273148148141E-2"/>
          <c:y val="0.93704472222222224"/>
          <c:w val="0.80894733796296292"/>
          <c:h val="5.237194444444444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331060606060608E-2"/>
          <c:y val="4.8959027777777775E-2"/>
          <c:w val="0.90383437971480018"/>
          <c:h val="0.71906375324368965"/>
        </c:manualLayout>
      </c:layout>
      <c:lineChart>
        <c:grouping val="standard"/>
        <c:varyColors val="0"/>
        <c:ser>
          <c:idx val="4"/>
          <c:order val="0"/>
          <c:tx>
            <c:v>% eligible referrals who started treatment within 62 days</c:v>
          </c:tx>
          <c:spPr>
            <a:ln w="25400" cap="rnd">
              <a:solidFill>
                <a:srgbClr val="0070C0"/>
              </a:solidFill>
              <a:round/>
              <a:headEnd type="none"/>
            </a:ln>
            <a:effectLst/>
          </c:spPr>
          <c:marker>
            <c:symbol val="circle"/>
            <c:size val="4"/>
            <c:spPr>
              <a:solidFill>
                <a:srgbClr val="0066CC"/>
              </a:solidFill>
              <a:ln w="25400">
                <a:solidFill>
                  <a:srgbClr val="0070C0"/>
                </a:solidFill>
              </a:ln>
            </c:spPr>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'Cancer - 62 Day'!$B$14:$AW$14</c:f>
              <c:numCache>
                <c:formatCode>0.0%</c:formatCode>
                <c:ptCount val="48"/>
                <c:pt idx="0">
                  <c:v>0.96199999999999997</c:v>
                </c:pt>
                <c:pt idx="1">
                  <c:v>0.93100000000000005</c:v>
                </c:pt>
                <c:pt idx="2">
                  <c:v>0.92500000000000004</c:v>
                </c:pt>
                <c:pt idx="3">
                  <c:v>0.96199999999999997</c:v>
                </c:pt>
                <c:pt idx="4">
                  <c:v>0.93600000000000005</c:v>
                </c:pt>
                <c:pt idx="5">
                  <c:v>0.92300000000000004</c:v>
                </c:pt>
                <c:pt idx="6">
                  <c:v>0.94899999999999995</c:v>
                </c:pt>
                <c:pt idx="7">
                  <c:v>0.93899999999999995</c:v>
                </c:pt>
                <c:pt idx="8">
                  <c:v>0.90800000000000003</c:v>
                </c:pt>
                <c:pt idx="9">
                  <c:v>0.94299999999999995</c:v>
                </c:pt>
                <c:pt idx="10">
                  <c:v>0.89400000000000002</c:v>
                </c:pt>
                <c:pt idx="11">
                  <c:v>0.92600000000000005</c:v>
                </c:pt>
                <c:pt idx="12">
                  <c:v>0.89800000000000002</c:v>
                </c:pt>
                <c:pt idx="13">
                  <c:v>0.91600000000000004</c:v>
                </c:pt>
                <c:pt idx="14">
                  <c:v>0.97799999999999998</c:v>
                </c:pt>
                <c:pt idx="15">
                  <c:v>0.91800000000000004</c:v>
                </c:pt>
                <c:pt idx="16">
                  <c:v>0.877</c:v>
                </c:pt>
                <c:pt idx="17" formatCode="#,##0.0%;&quot;n/a&quot;">
                  <c:v>0.84899999999999998</c:v>
                </c:pt>
                <c:pt idx="18" formatCode="#,##0.0%;&quot;n/a&quot;">
                  <c:v>0.81499999999999995</c:v>
                </c:pt>
                <c:pt idx="19" formatCode="#,##0.0%;&quot;n/a&quot;">
                  <c:v>0.85299999999999998</c:v>
                </c:pt>
                <c:pt idx="20">
                  <c:v>0.84199999999999997</c:v>
                </c:pt>
                <c:pt idx="21">
                  <c:v>0.85899999999999999</c:v>
                </c:pt>
                <c:pt idx="22">
                  <c:v>0.91200000000000003</c:v>
                </c:pt>
                <c:pt idx="23" formatCode="#,##0.0%;&quot;n/a&quot;">
                  <c:v>0.93799999999999994</c:v>
                </c:pt>
                <c:pt idx="24">
                  <c:v>0.85</c:v>
                </c:pt>
                <c:pt idx="25">
                  <c:v>0.91</c:v>
                </c:pt>
                <c:pt idx="26">
                  <c:v>0.875</c:v>
                </c:pt>
                <c:pt idx="27">
                  <c:v>0.89</c:v>
                </c:pt>
                <c:pt idx="28">
                  <c:v>0.85299999999999998</c:v>
                </c:pt>
              </c:numCache>
            </c:numRef>
          </c:val>
          <c:smooth val="0"/>
        </c:ser>
        <c:ser>
          <c:idx val="5"/>
          <c:order val="1"/>
          <c:tx>
            <c:strRef>
              <c:f>'Cancer - 62 Day'!$A$28</c:f>
              <c:strCache>
                <c:ptCount val="1"/>
                <c:pt idx="0">
                  <c:v>Target (min)</c:v>
                </c:pt>
              </c:strCache>
            </c:strRef>
          </c:tx>
          <c:spPr>
            <a:ln w="25400">
              <a:solidFill>
                <a:srgbClr val="FF0000"/>
              </a:solidFill>
              <a:prstDash val="dash"/>
            </a:ln>
          </c:spPr>
          <c:marker>
            <c:symbol val="none"/>
          </c:marker>
          <c:cat>
            <c:numRef>
              <c:f>'Cancer - 62 Day'!$B$13:$AW$13</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'Cancer - 62 Day'!$B$28:$AW$28</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29167360"/>
        <c:axId val="51704896"/>
      </c:lineChart>
      <c:dateAx>
        <c:axId val="12916736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51704896"/>
        <c:crosses val="autoZero"/>
        <c:auto val="1"/>
        <c:lblOffset val="100"/>
        <c:baseTimeUnit val="months"/>
        <c:majorUnit val="1"/>
        <c:majorTimeUnit val="months"/>
      </c:dateAx>
      <c:valAx>
        <c:axId val="51704896"/>
        <c:scaling>
          <c:orientation val="minMax"/>
          <c:max val="1"/>
          <c:min val="0.70000000000000062"/>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9167360"/>
        <c:crosses val="autoZero"/>
        <c:crossBetween val="between"/>
        <c:majorUnit val="2.0000000000000011E-2"/>
      </c:valAx>
    </c:plotArea>
    <c:legend>
      <c:legendPos val="r"/>
      <c:layout>
        <c:manualLayout>
          <c:xMode val="edge"/>
          <c:yMode val="edge"/>
          <c:x val="0.18989223337049924"/>
          <c:y val="0.92063492063492069"/>
          <c:w val="0.59754738015607556"/>
          <c:h val="4.232804232804181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62268518518517E-2"/>
          <c:y val="6.181725067071716E-2"/>
          <c:w val="0.87370034722222223"/>
          <c:h val="0.75071416666666668"/>
        </c:manualLayout>
      </c:layout>
      <c:barChart>
        <c:barDir val="col"/>
        <c:grouping val="clustered"/>
        <c:varyColors val="0"/>
        <c:ser>
          <c:idx val="0"/>
          <c:order val="0"/>
          <c:tx>
            <c:strRef>
              <c:f>'Cancer - 62 Day'!$C$124</c:f>
              <c:strCache>
                <c:ptCount val="1"/>
                <c:pt idx="0">
                  <c:v>No. of eligible referrals who started treatment within 62 days</c:v>
                </c:pt>
              </c:strCache>
            </c:strRef>
          </c:tx>
          <c:spPr>
            <a:solidFill>
              <a:srgbClr val="0070C0"/>
            </a:solidFill>
            <a:ln>
              <a:noFill/>
            </a:ln>
          </c:spPr>
          <c:invertIfNegative val="0"/>
          <c:dPt>
            <c:idx val="0"/>
            <c:invertIfNegative val="0"/>
            <c:bubble3D val="0"/>
            <c:spPr>
              <a:solidFill>
                <a:srgbClr val="0070C0"/>
              </a:solidFill>
              <a:ln w="19050">
                <a:noFill/>
              </a:ln>
            </c:spPr>
          </c:dPt>
          <c:dPt>
            <c:idx val="1"/>
            <c:invertIfNegative val="0"/>
            <c:bubble3D val="0"/>
            <c:spPr>
              <a:solidFill>
                <a:srgbClr val="0070C0"/>
              </a:solidFill>
              <a:ln w="19050">
                <a:noFill/>
                <a:prstDash val="sysDash"/>
              </a:ln>
            </c:spPr>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Pt>
            <c:idx val="10"/>
            <c:invertIfNegative val="0"/>
            <c:bubble3D val="0"/>
          </c:dPt>
          <c:dPt>
            <c:idx val="11"/>
            <c:invertIfNegative val="0"/>
            <c:bubble3D val="0"/>
          </c:dPt>
          <c:dPt>
            <c:idx val="12"/>
            <c:invertIfNegative val="0"/>
            <c:bubble3D val="0"/>
          </c:dPt>
          <c:cat>
            <c:strRef>
              <c:f>'Cancer - 62 Day'!$A$125:$A$137</c:f>
              <c:strCache>
                <c:ptCount val="13"/>
                <c:pt idx="0">
                  <c:v>Breast (screened only)</c:v>
                </c:pt>
                <c:pt idx="1">
                  <c:v>Breast (screened excluded)</c:v>
                </c:pt>
                <c:pt idx="2">
                  <c:v>Urological</c:v>
                </c:pt>
                <c:pt idx="3">
                  <c:v>Lung</c:v>
                </c:pt>
                <c:pt idx="4">
                  <c:v>Colorectal (screened excluded)</c:v>
                </c:pt>
                <c:pt idx="5">
                  <c:v>Upper GI</c:v>
                </c:pt>
                <c:pt idx="6">
                  <c:v>Melanoma</c:v>
                </c:pt>
                <c:pt idx="7">
                  <c:v>Colorectal (screened only)</c:v>
                </c:pt>
                <c:pt idx="8">
                  <c:v>Lymphoma</c:v>
                </c:pt>
                <c:pt idx="9">
                  <c:v>Head &amp; Neck</c:v>
                </c:pt>
                <c:pt idx="10">
                  <c:v>Ovarian</c:v>
                </c:pt>
                <c:pt idx="11">
                  <c:v>Cervical (screened excluded)</c:v>
                </c:pt>
                <c:pt idx="12">
                  <c:v>Cervical (screened only)</c:v>
                </c:pt>
              </c:strCache>
            </c:strRef>
          </c:cat>
          <c:val>
            <c:numRef>
              <c:f>'Cancer - 62 Day'!$C$125:$C$137</c:f>
              <c:numCache>
                <c:formatCode>#,##0</c:formatCode>
                <c:ptCount val="13"/>
                <c:pt idx="0">
                  <c:v>810</c:v>
                </c:pt>
                <c:pt idx="1">
                  <c:v>585</c:v>
                </c:pt>
                <c:pt idx="2">
                  <c:v>482</c:v>
                </c:pt>
                <c:pt idx="3">
                  <c:v>402</c:v>
                </c:pt>
                <c:pt idx="4">
                  <c:v>319</c:v>
                </c:pt>
                <c:pt idx="5">
                  <c:v>210</c:v>
                </c:pt>
                <c:pt idx="6">
                  <c:v>132</c:v>
                </c:pt>
                <c:pt idx="7">
                  <c:v>99</c:v>
                </c:pt>
                <c:pt idx="8">
                  <c:v>98</c:v>
                </c:pt>
                <c:pt idx="9">
                  <c:v>98</c:v>
                </c:pt>
                <c:pt idx="10">
                  <c:v>48</c:v>
                </c:pt>
                <c:pt idx="11">
                  <c:v>27</c:v>
                </c:pt>
                <c:pt idx="12">
                  <c:v>23</c:v>
                </c:pt>
              </c:numCache>
            </c:numRef>
          </c:val>
        </c:ser>
        <c:dLbls>
          <c:showLegendKey val="0"/>
          <c:showVal val="0"/>
          <c:showCatName val="0"/>
          <c:showSerName val="0"/>
          <c:showPercent val="0"/>
          <c:showBubbleSize val="0"/>
        </c:dLbls>
        <c:gapWidth val="57"/>
        <c:axId val="129167872"/>
        <c:axId val="51707200"/>
      </c:barChart>
      <c:lineChart>
        <c:grouping val="standard"/>
        <c:varyColors val="0"/>
        <c:ser>
          <c:idx val="2"/>
          <c:order val="1"/>
          <c:tx>
            <c:strRef>
              <c:f>'Cancer - 62 Day'!$F$124</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- 62 Day'!$A$125:$A$137</c:f>
              <c:strCache>
                <c:ptCount val="13"/>
                <c:pt idx="0">
                  <c:v>Breast (screened only)</c:v>
                </c:pt>
                <c:pt idx="1">
                  <c:v>Breast (screened excluded)</c:v>
                </c:pt>
                <c:pt idx="2">
                  <c:v>Urological</c:v>
                </c:pt>
                <c:pt idx="3">
                  <c:v>Lung</c:v>
                </c:pt>
                <c:pt idx="4">
                  <c:v>Colorectal (screened excluded)</c:v>
                </c:pt>
                <c:pt idx="5">
                  <c:v>Upper GI</c:v>
                </c:pt>
                <c:pt idx="6">
                  <c:v>Melanoma</c:v>
                </c:pt>
                <c:pt idx="7">
                  <c:v>Colorectal (screened only)</c:v>
                </c:pt>
                <c:pt idx="8">
                  <c:v>Lymphoma</c:v>
                </c:pt>
                <c:pt idx="9">
                  <c:v>Head &amp; Neck</c:v>
                </c:pt>
                <c:pt idx="10">
                  <c:v>Ovarian</c:v>
                </c:pt>
                <c:pt idx="11">
                  <c:v>Cervical (screened excluded)</c:v>
                </c:pt>
                <c:pt idx="12">
                  <c:v>Cervical (screened only)</c:v>
                </c:pt>
              </c:strCache>
            </c:strRef>
          </c:cat>
          <c:val>
            <c:numRef>
              <c:f>'Cancer - 62 Day'!$F$125:$F$137</c:f>
              <c:numCache>
                <c:formatCode>0.0%</c:formatCode>
                <c:ptCount val="13"/>
                <c:pt idx="0">
                  <c:v>0.24302430243024303</c:v>
                </c:pt>
                <c:pt idx="1">
                  <c:v>0.41854185418541856</c:v>
                </c:pt>
                <c:pt idx="2">
                  <c:v>0.56315631563156321</c:v>
                </c:pt>
                <c:pt idx="3">
                  <c:v>0.68376837683768388</c:v>
                </c:pt>
                <c:pt idx="4">
                  <c:v>0.77947794779477964</c:v>
                </c:pt>
                <c:pt idx="5">
                  <c:v>0.8424842484248426</c:v>
                </c:pt>
                <c:pt idx="6">
                  <c:v>0.88208820882088224</c:v>
                </c:pt>
                <c:pt idx="7">
                  <c:v>0.91179117911791197</c:v>
                </c:pt>
                <c:pt idx="8">
                  <c:v>0.94119411941194142</c:v>
                </c:pt>
                <c:pt idx="9">
                  <c:v>0.97059705970597088</c:v>
                </c:pt>
                <c:pt idx="10">
                  <c:v>0.98499849984998533</c:v>
                </c:pt>
                <c:pt idx="11">
                  <c:v>0.99309930993099338</c:v>
                </c:pt>
                <c:pt idx="12">
                  <c:v>1.0000000000000002</c:v>
                </c:pt>
              </c:numCache>
            </c:numRef>
          </c:val>
          <c:smooth val="0"/>
        </c:ser>
        <c:dLbls>
          <c:showLegendKey val="0"/>
          <c:showVal val="0"/>
          <c:showCatName val="0"/>
          <c:showSerName val="0"/>
          <c:showPercent val="0"/>
          <c:showBubbleSize val="0"/>
        </c:dLbls>
        <c:marker val="1"/>
        <c:smooth val="0"/>
        <c:axId val="129911296"/>
        <c:axId val="129490944"/>
      </c:lineChart>
      <c:catAx>
        <c:axId val="129167872"/>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51707200"/>
        <c:crosses val="autoZero"/>
        <c:auto val="1"/>
        <c:lblAlgn val="ctr"/>
        <c:lblOffset val="100"/>
        <c:noMultiLvlLbl val="0"/>
      </c:catAx>
      <c:valAx>
        <c:axId val="51707200"/>
        <c:scaling>
          <c:orientation val="minMax"/>
        </c:scaling>
        <c:delete val="0"/>
        <c:axPos val="l"/>
        <c:majorGridlines/>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29167872"/>
        <c:crosses val="autoZero"/>
        <c:crossBetween val="between"/>
      </c:valAx>
      <c:catAx>
        <c:axId val="129911296"/>
        <c:scaling>
          <c:orientation val="minMax"/>
        </c:scaling>
        <c:delete val="1"/>
        <c:axPos val="b"/>
        <c:majorTickMark val="out"/>
        <c:minorTickMark val="none"/>
        <c:tickLblPos val="nextTo"/>
        <c:crossAx val="129490944"/>
        <c:crosses val="autoZero"/>
        <c:auto val="1"/>
        <c:lblAlgn val="ctr"/>
        <c:lblOffset val="100"/>
        <c:noMultiLvlLbl val="0"/>
      </c:catAx>
      <c:valAx>
        <c:axId val="129490944"/>
        <c:scaling>
          <c:orientation val="minMax"/>
          <c:max val="1"/>
        </c:scaling>
        <c:delete val="0"/>
        <c:axPos val="r"/>
        <c:numFmt formatCode="0%" sourceLinked="0"/>
        <c:majorTickMark val="out"/>
        <c:minorTickMark val="none"/>
        <c:tickLblPos val="nextTo"/>
        <c:txPr>
          <a:bodyPr/>
          <a:lstStyle/>
          <a:p>
            <a:pPr>
              <a:defRPr sz="800">
                <a:latin typeface="Arial" pitchFamily="34" charset="0"/>
                <a:cs typeface="Arial" pitchFamily="34" charset="0"/>
              </a:defRPr>
            </a:pPr>
            <a:endParaRPr lang="en-US"/>
          </a:p>
        </c:txPr>
        <c:crossAx val="129911296"/>
        <c:crosses val="max"/>
        <c:crossBetween val="between"/>
      </c:valAx>
    </c:plotArea>
    <c:legend>
      <c:legendPos val="b"/>
      <c:layout>
        <c:manualLayout>
          <c:xMode val="edge"/>
          <c:yMode val="edge"/>
          <c:x val="0.18997754629629632"/>
          <c:y val="0.93973527777777777"/>
          <c:w val="0.62004479166666671"/>
          <c:h val="4.9681388888888886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078" l="0.70000000000000062" r="0.70000000000000062" t="0.75000000000000078"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91631944444444E-2"/>
          <c:y val="3.6923888888888888E-2"/>
          <c:w val="0.8644659722222221"/>
          <c:h val="0.77108166666666667"/>
        </c:manualLayout>
      </c:layout>
      <c:barChart>
        <c:barDir val="col"/>
        <c:grouping val="clustered"/>
        <c:varyColors val="0"/>
        <c:ser>
          <c:idx val="0"/>
          <c:order val="0"/>
          <c:tx>
            <c:strRef>
              <c:f>'Cancer - 62 Day'!$B$141</c:f>
              <c:strCache>
                <c:ptCount val="1"/>
                <c:pt idx="0">
                  <c:v>No. of eligible referrals who did not start treatment within 62 days</c:v>
                </c:pt>
              </c:strCache>
            </c:strRef>
          </c:tx>
          <c:spPr>
            <a:solidFill>
              <a:srgbClr val="0070C0"/>
            </a:solidFill>
            <a:ln>
              <a:solidFill>
                <a:schemeClr val="bg1">
                  <a:lumMod val="65000"/>
                </a:schemeClr>
              </a:solidFill>
            </a:ln>
          </c:spPr>
          <c:invertIfNegative val="0"/>
          <c:dPt>
            <c:idx val="0"/>
            <c:invertIfNegative val="0"/>
            <c:bubble3D val="0"/>
            <c:spPr>
              <a:solidFill>
                <a:srgbClr val="0070C0"/>
              </a:solidFill>
              <a:ln w="9525">
                <a:solidFill>
                  <a:schemeClr val="bg1">
                    <a:lumMod val="65000"/>
                  </a:schemeClr>
                </a:solidFill>
                <a:prstDash val="solid"/>
              </a:ln>
            </c:spPr>
          </c:dPt>
          <c:dPt>
            <c:idx val="6"/>
            <c:invertIfNegative val="0"/>
            <c:bubble3D val="0"/>
            <c:spPr>
              <a:solidFill>
                <a:srgbClr val="0070C0"/>
              </a:solidFill>
              <a:ln w="9525">
                <a:solidFill>
                  <a:schemeClr val="bg1">
                    <a:lumMod val="65000"/>
                  </a:schemeClr>
                </a:solidFill>
              </a:ln>
            </c:spPr>
          </c:dPt>
          <c:cat>
            <c:strRef>
              <c:f>'Cancer - 62 Day'!$A$142:$A$154</c:f>
              <c:strCache>
                <c:ptCount val="13"/>
                <c:pt idx="0">
                  <c:v>Urological</c:v>
                </c:pt>
                <c:pt idx="1">
                  <c:v>Colorectal (screened excluded)</c:v>
                </c:pt>
                <c:pt idx="2">
                  <c:v>Colorectal (screened only)</c:v>
                </c:pt>
                <c:pt idx="3">
                  <c:v>Upper GI</c:v>
                </c:pt>
                <c:pt idx="4">
                  <c:v>Lymphoma</c:v>
                </c:pt>
                <c:pt idx="5">
                  <c:v>Lung</c:v>
                </c:pt>
                <c:pt idx="6">
                  <c:v>Head &amp; Neck</c:v>
                </c:pt>
                <c:pt idx="7">
                  <c:v>Melanoma</c:v>
                </c:pt>
                <c:pt idx="8">
                  <c:v>Ovarian</c:v>
                </c:pt>
                <c:pt idx="9">
                  <c:v>Breast (screened excluded)</c:v>
                </c:pt>
                <c:pt idx="10">
                  <c:v>Breast (screened only)</c:v>
                </c:pt>
                <c:pt idx="11">
                  <c:v>Cervical (screened only)</c:v>
                </c:pt>
                <c:pt idx="12">
                  <c:v>Cervical (screened excluded)</c:v>
                </c:pt>
              </c:strCache>
            </c:strRef>
          </c:cat>
          <c:val>
            <c:numRef>
              <c:f>'Cancer - 62 Day'!$B$142:$B$154</c:f>
              <c:numCache>
                <c:formatCode>#,##0</c:formatCode>
                <c:ptCount val="13"/>
                <c:pt idx="0">
                  <c:v>148</c:v>
                </c:pt>
                <c:pt idx="1">
                  <c:v>60</c:v>
                </c:pt>
                <c:pt idx="2">
                  <c:v>31</c:v>
                </c:pt>
                <c:pt idx="3">
                  <c:v>24</c:v>
                </c:pt>
                <c:pt idx="4">
                  <c:v>20</c:v>
                </c:pt>
                <c:pt idx="5">
                  <c:v>12</c:v>
                </c:pt>
                <c:pt idx="6">
                  <c:v>11</c:v>
                </c:pt>
                <c:pt idx="7">
                  <c:v>9</c:v>
                </c:pt>
                <c:pt idx="8">
                  <c:v>4</c:v>
                </c:pt>
                <c:pt idx="9">
                  <c:v>3</c:v>
                </c:pt>
                <c:pt idx="10">
                  <c:v>2</c:v>
                </c:pt>
                <c:pt idx="11">
                  <c:v>1</c:v>
                </c:pt>
                <c:pt idx="12">
                  <c:v>0</c:v>
                </c:pt>
              </c:numCache>
            </c:numRef>
          </c:val>
        </c:ser>
        <c:dLbls>
          <c:showLegendKey val="0"/>
          <c:showVal val="0"/>
          <c:showCatName val="0"/>
          <c:showSerName val="0"/>
          <c:showPercent val="0"/>
          <c:showBubbleSize val="0"/>
        </c:dLbls>
        <c:gapWidth val="57"/>
        <c:axId val="129170944"/>
        <c:axId val="129493248"/>
      </c:barChart>
      <c:lineChart>
        <c:grouping val="standard"/>
        <c:varyColors val="0"/>
        <c:ser>
          <c:idx val="2"/>
          <c:order val="1"/>
          <c:tx>
            <c:strRef>
              <c:f>'Cancer - 62 Day'!$D$141</c:f>
              <c:strCache>
                <c:ptCount val="1"/>
                <c:pt idx="0">
                  <c:v>Cumulative %</c:v>
                </c:pt>
              </c:strCache>
            </c:strRef>
          </c:tx>
          <c:spPr>
            <a:ln w="25400">
              <a:solidFill>
                <a:srgbClr val="C00000"/>
              </a:solidFill>
            </a:ln>
          </c:spPr>
          <c:marker>
            <c:symbol val="square"/>
            <c:size val="4"/>
            <c:spPr>
              <a:solidFill>
                <a:srgbClr val="C00000"/>
              </a:solidFill>
              <a:ln>
                <a:solidFill>
                  <a:srgbClr val="C00000"/>
                </a:solidFill>
              </a:ln>
            </c:spPr>
          </c:marker>
          <c:cat>
            <c:strRef>
              <c:f>'Cancer - 62 Day'!$A$142:$A$154</c:f>
              <c:strCache>
                <c:ptCount val="13"/>
                <c:pt idx="0">
                  <c:v>Urological</c:v>
                </c:pt>
                <c:pt idx="1">
                  <c:v>Colorectal (screened excluded)</c:v>
                </c:pt>
                <c:pt idx="2">
                  <c:v>Colorectal (screened only)</c:v>
                </c:pt>
                <c:pt idx="3">
                  <c:v>Upper GI</c:v>
                </c:pt>
                <c:pt idx="4">
                  <c:v>Lymphoma</c:v>
                </c:pt>
                <c:pt idx="5">
                  <c:v>Lung</c:v>
                </c:pt>
                <c:pt idx="6">
                  <c:v>Head &amp; Neck</c:v>
                </c:pt>
                <c:pt idx="7">
                  <c:v>Melanoma</c:v>
                </c:pt>
                <c:pt idx="8">
                  <c:v>Ovarian</c:v>
                </c:pt>
                <c:pt idx="9">
                  <c:v>Breast (screened excluded)</c:v>
                </c:pt>
                <c:pt idx="10">
                  <c:v>Breast (screened only)</c:v>
                </c:pt>
                <c:pt idx="11">
                  <c:v>Cervical (screened only)</c:v>
                </c:pt>
                <c:pt idx="12">
                  <c:v>Cervical (screened excluded)</c:v>
                </c:pt>
              </c:strCache>
            </c:strRef>
          </c:cat>
          <c:val>
            <c:numRef>
              <c:f>'Cancer - 62 Day'!$D$142:$D$154</c:f>
              <c:numCache>
                <c:formatCode>0.0%</c:formatCode>
                <c:ptCount val="13"/>
                <c:pt idx="0">
                  <c:v>0.45538461538461539</c:v>
                </c:pt>
                <c:pt idx="1">
                  <c:v>0.64</c:v>
                </c:pt>
                <c:pt idx="2">
                  <c:v>0.73538461538461541</c:v>
                </c:pt>
                <c:pt idx="3">
                  <c:v>0.80923076923076931</c:v>
                </c:pt>
                <c:pt idx="4">
                  <c:v>0.87076923076923085</c:v>
                </c:pt>
                <c:pt idx="5">
                  <c:v>0.9076923076923078</c:v>
                </c:pt>
                <c:pt idx="6">
                  <c:v>0.94153846153846166</c:v>
                </c:pt>
                <c:pt idx="7">
                  <c:v>0.96923076923076934</c:v>
                </c:pt>
                <c:pt idx="8">
                  <c:v>0.98153846153846169</c:v>
                </c:pt>
                <c:pt idx="9">
                  <c:v>0.99076923076923096</c:v>
                </c:pt>
                <c:pt idx="10">
                  <c:v>0.99692307692307713</c:v>
                </c:pt>
                <c:pt idx="11">
                  <c:v>1.0000000000000002</c:v>
                </c:pt>
                <c:pt idx="12">
                  <c:v>1.0000000000000002</c:v>
                </c:pt>
              </c:numCache>
            </c:numRef>
          </c:val>
          <c:smooth val="0"/>
        </c:ser>
        <c:dLbls>
          <c:showLegendKey val="0"/>
          <c:showVal val="0"/>
          <c:showCatName val="0"/>
          <c:showSerName val="0"/>
          <c:showPercent val="0"/>
          <c:showBubbleSize val="0"/>
        </c:dLbls>
        <c:marker val="1"/>
        <c:smooth val="0"/>
        <c:axId val="129253888"/>
        <c:axId val="129493824"/>
      </c:lineChart>
      <c:catAx>
        <c:axId val="129170944"/>
        <c:scaling>
          <c:orientation val="minMax"/>
        </c:scaling>
        <c:delete val="0"/>
        <c:axPos val="b"/>
        <c:numFmt formatCode="General" sourceLinked="1"/>
        <c:majorTickMark val="out"/>
        <c:minorTickMark val="none"/>
        <c:tickLblPos val="nextTo"/>
        <c:crossAx val="129493248"/>
        <c:crosses val="autoZero"/>
        <c:auto val="1"/>
        <c:lblAlgn val="ctr"/>
        <c:lblOffset val="100"/>
        <c:noMultiLvlLbl val="0"/>
      </c:catAx>
      <c:valAx>
        <c:axId val="129493248"/>
        <c:scaling>
          <c:orientation val="minMax"/>
        </c:scaling>
        <c:delete val="0"/>
        <c:axPos val="l"/>
        <c:majorGridlines/>
        <c:numFmt formatCode="#,##0" sourceLinked="0"/>
        <c:majorTickMark val="out"/>
        <c:minorTickMark val="none"/>
        <c:tickLblPos val="nextTo"/>
        <c:crossAx val="129170944"/>
        <c:crosses val="autoZero"/>
        <c:crossBetween val="between"/>
      </c:valAx>
      <c:catAx>
        <c:axId val="129253888"/>
        <c:scaling>
          <c:orientation val="minMax"/>
        </c:scaling>
        <c:delete val="1"/>
        <c:axPos val="b"/>
        <c:majorTickMark val="out"/>
        <c:minorTickMark val="none"/>
        <c:tickLblPos val="nextTo"/>
        <c:crossAx val="129493824"/>
        <c:crosses val="autoZero"/>
        <c:auto val="1"/>
        <c:lblAlgn val="ctr"/>
        <c:lblOffset val="100"/>
        <c:noMultiLvlLbl val="0"/>
      </c:catAx>
      <c:valAx>
        <c:axId val="129493824"/>
        <c:scaling>
          <c:orientation val="minMax"/>
          <c:max val="1"/>
        </c:scaling>
        <c:delete val="0"/>
        <c:axPos val="r"/>
        <c:numFmt formatCode="0%" sourceLinked="0"/>
        <c:majorTickMark val="out"/>
        <c:minorTickMark val="none"/>
        <c:tickLblPos val="nextTo"/>
        <c:crossAx val="129253888"/>
        <c:crosses val="max"/>
        <c:crossBetween val="between"/>
      </c:valAx>
    </c:plotArea>
    <c:legend>
      <c:legendPos val="b"/>
      <c:layout>
        <c:manualLayout>
          <c:xMode val="edge"/>
          <c:yMode val="edge"/>
          <c:x val="0.2162699074074074"/>
          <c:y val="0.93818249999999992"/>
          <c:w val="0.54502435558000661"/>
          <c:h val="4.5730434937167885E-2"/>
        </c:manualLayout>
      </c:layout>
      <c:overlay val="0"/>
    </c:legend>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0000000000001" l="0.70000000000000062" r="0.70000000000000062" t="0.750000000000001"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03472222222222E-2"/>
          <c:y val="3.8805555555555558E-2"/>
          <c:w val="0.93472754629629629"/>
          <c:h val="0.77142833333333338"/>
        </c:manualLayout>
      </c:layout>
      <c:barChart>
        <c:barDir val="col"/>
        <c:grouping val="stacked"/>
        <c:varyColors val="0"/>
        <c:ser>
          <c:idx val="0"/>
          <c:order val="0"/>
          <c:tx>
            <c:strRef>
              <c:f>'Cancer - 62 Day'!$C$124</c:f>
              <c:strCache>
                <c:ptCount val="1"/>
                <c:pt idx="0">
                  <c:v>No. of eligible referrals who started treatment within 62 days</c:v>
                </c:pt>
              </c:strCache>
            </c:strRef>
          </c:tx>
          <c:invertIfNegative val="0"/>
          <c:cat>
            <c:strRef>
              <c:f>'Cancer - 62 Day'!$A$125:$A$137</c:f>
              <c:strCache>
                <c:ptCount val="13"/>
                <c:pt idx="0">
                  <c:v>Breast (screened only)</c:v>
                </c:pt>
                <c:pt idx="1">
                  <c:v>Breast (screened excluded)</c:v>
                </c:pt>
                <c:pt idx="2">
                  <c:v>Urological</c:v>
                </c:pt>
                <c:pt idx="3">
                  <c:v>Lung</c:v>
                </c:pt>
                <c:pt idx="4">
                  <c:v>Colorectal (screened excluded)</c:v>
                </c:pt>
                <c:pt idx="5">
                  <c:v>Upper GI</c:v>
                </c:pt>
                <c:pt idx="6">
                  <c:v>Melanoma</c:v>
                </c:pt>
                <c:pt idx="7">
                  <c:v>Colorectal (screened only)</c:v>
                </c:pt>
                <c:pt idx="8">
                  <c:v>Lymphoma</c:v>
                </c:pt>
                <c:pt idx="9">
                  <c:v>Head &amp; Neck</c:v>
                </c:pt>
                <c:pt idx="10">
                  <c:v>Ovarian</c:v>
                </c:pt>
                <c:pt idx="11">
                  <c:v>Cervical (screened excluded)</c:v>
                </c:pt>
                <c:pt idx="12">
                  <c:v>Cervical (screened only)</c:v>
                </c:pt>
              </c:strCache>
            </c:strRef>
          </c:cat>
          <c:val>
            <c:numRef>
              <c:f>'Cancer - 62 Day'!$C$125:$C$137</c:f>
              <c:numCache>
                <c:formatCode>#,##0</c:formatCode>
                <c:ptCount val="13"/>
                <c:pt idx="0">
                  <c:v>810</c:v>
                </c:pt>
                <c:pt idx="1">
                  <c:v>585</c:v>
                </c:pt>
                <c:pt idx="2">
                  <c:v>482</c:v>
                </c:pt>
                <c:pt idx="3">
                  <c:v>402</c:v>
                </c:pt>
                <c:pt idx="4">
                  <c:v>319</c:v>
                </c:pt>
                <c:pt idx="5">
                  <c:v>210</c:v>
                </c:pt>
                <c:pt idx="6">
                  <c:v>132</c:v>
                </c:pt>
                <c:pt idx="7">
                  <c:v>99</c:v>
                </c:pt>
                <c:pt idx="8">
                  <c:v>98</c:v>
                </c:pt>
                <c:pt idx="9">
                  <c:v>98</c:v>
                </c:pt>
                <c:pt idx="10">
                  <c:v>48</c:v>
                </c:pt>
                <c:pt idx="11">
                  <c:v>27</c:v>
                </c:pt>
                <c:pt idx="12">
                  <c:v>23</c:v>
                </c:pt>
              </c:numCache>
            </c:numRef>
          </c:val>
        </c:ser>
        <c:ser>
          <c:idx val="1"/>
          <c:order val="1"/>
          <c:tx>
            <c:strRef>
              <c:f>'Cancer - 62 Day'!$D$124</c:f>
              <c:strCache>
                <c:ptCount val="1"/>
                <c:pt idx="0">
                  <c:v>No. of eligible referrals who did not start treatment within 62 days</c:v>
                </c:pt>
              </c:strCache>
            </c:strRef>
          </c:tx>
          <c:spPr>
            <a:solidFill>
              <a:srgbClr val="FF0000"/>
            </a:solidFill>
          </c:spPr>
          <c:invertIfNegative val="0"/>
          <c:cat>
            <c:strRef>
              <c:f>'Cancer - 62 Day'!$A$125:$A$137</c:f>
              <c:strCache>
                <c:ptCount val="13"/>
                <c:pt idx="0">
                  <c:v>Breast (screened only)</c:v>
                </c:pt>
                <c:pt idx="1">
                  <c:v>Breast (screened excluded)</c:v>
                </c:pt>
                <c:pt idx="2">
                  <c:v>Urological</c:v>
                </c:pt>
                <c:pt idx="3">
                  <c:v>Lung</c:v>
                </c:pt>
                <c:pt idx="4">
                  <c:v>Colorectal (screened excluded)</c:v>
                </c:pt>
                <c:pt idx="5">
                  <c:v>Upper GI</c:v>
                </c:pt>
                <c:pt idx="6">
                  <c:v>Melanoma</c:v>
                </c:pt>
                <c:pt idx="7">
                  <c:v>Colorectal (screened only)</c:v>
                </c:pt>
                <c:pt idx="8">
                  <c:v>Lymphoma</c:v>
                </c:pt>
                <c:pt idx="9">
                  <c:v>Head &amp; Neck</c:v>
                </c:pt>
                <c:pt idx="10">
                  <c:v>Ovarian</c:v>
                </c:pt>
                <c:pt idx="11">
                  <c:v>Cervical (screened excluded)</c:v>
                </c:pt>
                <c:pt idx="12">
                  <c:v>Cervical (screened only)</c:v>
                </c:pt>
              </c:strCache>
            </c:strRef>
          </c:cat>
          <c:val>
            <c:numRef>
              <c:f>'Cancer - 62 Day'!$D$125:$D$137</c:f>
              <c:numCache>
                <c:formatCode>#,##0</c:formatCode>
                <c:ptCount val="13"/>
                <c:pt idx="0">
                  <c:v>2</c:v>
                </c:pt>
                <c:pt idx="1">
                  <c:v>3</c:v>
                </c:pt>
                <c:pt idx="2">
                  <c:v>148</c:v>
                </c:pt>
                <c:pt idx="3">
                  <c:v>12</c:v>
                </c:pt>
                <c:pt idx="4">
                  <c:v>60</c:v>
                </c:pt>
                <c:pt idx="5">
                  <c:v>24</c:v>
                </c:pt>
                <c:pt idx="6">
                  <c:v>9</c:v>
                </c:pt>
                <c:pt idx="7">
                  <c:v>31</c:v>
                </c:pt>
                <c:pt idx="8">
                  <c:v>20</c:v>
                </c:pt>
                <c:pt idx="9">
                  <c:v>11</c:v>
                </c:pt>
                <c:pt idx="10">
                  <c:v>4</c:v>
                </c:pt>
                <c:pt idx="11">
                  <c:v>0</c:v>
                </c:pt>
                <c:pt idx="12">
                  <c:v>1</c:v>
                </c:pt>
              </c:numCache>
            </c:numRef>
          </c:val>
        </c:ser>
        <c:dLbls>
          <c:showLegendKey val="0"/>
          <c:showVal val="0"/>
          <c:showCatName val="0"/>
          <c:showSerName val="0"/>
          <c:showPercent val="0"/>
          <c:showBubbleSize val="0"/>
        </c:dLbls>
        <c:gapWidth val="150"/>
        <c:overlap val="100"/>
        <c:axId val="129253376"/>
        <c:axId val="129496128"/>
      </c:barChart>
      <c:catAx>
        <c:axId val="129253376"/>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129496128"/>
        <c:crosses val="autoZero"/>
        <c:auto val="1"/>
        <c:lblAlgn val="ctr"/>
        <c:lblOffset val="100"/>
        <c:noMultiLvlLbl val="0"/>
      </c:catAx>
      <c:valAx>
        <c:axId val="129496128"/>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29253376"/>
        <c:crosses val="autoZero"/>
        <c:crossBetween val="between"/>
      </c:valAx>
    </c:plotArea>
    <c:legend>
      <c:legendPos val="b"/>
      <c:layout>
        <c:manualLayout>
          <c:xMode val="edge"/>
          <c:yMode val="edge"/>
          <c:x val="9.5526273148148141E-2"/>
          <c:y val="0.93704472222222224"/>
          <c:w val="0.80894733796296292"/>
          <c:h val="5.2371944444444443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6904761904761965"/>
        </c:manualLayout>
      </c:layout>
      <c:lineChart>
        <c:grouping val="standard"/>
        <c:varyColors val="0"/>
        <c:ser>
          <c:idx val="4"/>
          <c:order val="0"/>
          <c:tx>
            <c:strRef>
              <c:f>'A&amp;E WT'!$F$9</c:f>
              <c:strCache>
                <c:ptCount val="1"/>
                <c:pt idx="0">
                  <c:v>NHS Lothian</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WT'!$F$10:$F$57</c:f>
              <c:numCache>
                <c:formatCode>0.0%</c:formatCode>
                <c:ptCount val="48"/>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pt idx="12">
                  <c:v>0.9341058215831356</c:v>
                </c:pt>
                <c:pt idx="13">
                  <c:v>0.93313856427378961</c:v>
                </c:pt>
                <c:pt idx="14">
                  <c:v>0.95496629213483142</c:v>
                </c:pt>
                <c:pt idx="15">
                  <c:v>0.97109172365008256</c:v>
                </c:pt>
                <c:pt idx="16">
                  <c:v>0.94399999999999995</c:v>
                </c:pt>
                <c:pt idx="17">
                  <c:v>0.93200000000000005</c:v>
                </c:pt>
                <c:pt idx="18">
                  <c:v>0.93102696099816773</c:v>
                </c:pt>
                <c:pt idx="19">
                  <c:v>0.94499999999999995</c:v>
                </c:pt>
                <c:pt idx="20">
                  <c:v>0.92400000000000004</c:v>
                </c:pt>
                <c:pt idx="21">
                  <c:v>0.92800000000000005</c:v>
                </c:pt>
                <c:pt idx="22">
                  <c:v>0.93200000000000005</c:v>
                </c:pt>
                <c:pt idx="23">
                  <c:v>0.95699999999999996</c:v>
                </c:pt>
                <c:pt idx="24">
                  <c:v>0.95199999999999996</c:v>
                </c:pt>
                <c:pt idx="25">
                  <c:v>0.95099999999999996</c:v>
                </c:pt>
                <c:pt idx="26">
                  <c:v>0.95699999999999996</c:v>
                </c:pt>
                <c:pt idx="27">
                  <c:v>0.96</c:v>
                </c:pt>
                <c:pt idx="28">
                  <c:v>0.95099999999999996</c:v>
                </c:pt>
              </c:numCache>
            </c:numRef>
          </c:val>
          <c:smooth val="0"/>
        </c:ser>
        <c:ser>
          <c:idx val="5"/>
          <c:order val="1"/>
          <c:tx>
            <c:strRef>
              <c:f>'A&amp;E WT'!$G$9</c:f>
              <c:strCache>
                <c:ptCount val="1"/>
                <c:pt idx="0">
                  <c:v>Target (min)</c:v>
                </c:pt>
              </c:strCache>
            </c:strRef>
          </c:tx>
          <c:spPr>
            <a:ln w="25400">
              <a:solidFill>
                <a:srgbClr val="FF0000"/>
              </a:solidFill>
              <a:prstDash val="dash"/>
            </a:ln>
          </c:spPr>
          <c:marker>
            <c:symbol val="none"/>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WT'!$G$10:$G$57</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ser>
          <c:idx val="6"/>
          <c:order val="2"/>
          <c:tx>
            <c:strRef>
              <c:f>'A&amp;E WT'!$H$9</c:f>
              <c:strCache>
                <c:ptCount val="1"/>
                <c:pt idx="0">
                  <c:v>Interim Target (min)</c:v>
                </c:pt>
              </c:strCache>
            </c:strRef>
          </c:tx>
          <c:spPr>
            <a:ln w="25400">
              <a:solidFill>
                <a:srgbClr val="CC79A7"/>
              </a:solidFill>
              <a:prstDash val="dash"/>
            </a:ln>
          </c:spPr>
          <c:marker>
            <c:symbol val="none"/>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WT'!$H$10:$H$57</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24216832"/>
        <c:axId val="101857472"/>
      </c:lineChart>
      <c:dateAx>
        <c:axId val="1242168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1857472"/>
        <c:crosses val="autoZero"/>
        <c:auto val="1"/>
        <c:lblOffset val="100"/>
        <c:baseTimeUnit val="months"/>
      </c:dateAx>
      <c:valAx>
        <c:axId val="101857472"/>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216832"/>
        <c:crosses val="autoZero"/>
        <c:crossBetween val="between"/>
        <c:majorUnit val="2.0000000000000011E-2"/>
      </c:valAx>
    </c:plotArea>
    <c:legend>
      <c:legendPos val="r"/>
      <c:layout>
        <c:manualLayout>
          <c:xMode val="edge"/>
          <c:yMode val="edge"/>
          <c:x val="0.29988976918566168"/>
          <c:y val="0.9285714285714286"/>
          <c:w val="0.39581036407525294"/>
          <c:h val="4.761904761904968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5532407407412E-2"/>
          <c:y val="7.545211874069406E-2"/>
          <c:w val="0.93414791666666674"/>
          <c:h val="0.70560722222222261"/>
        </c:manualLayout>
      </c:layout>
      <c:lineChart>
        <c:grouping val="standard"/>
        <c:varyColors val="0"/>
        <c:ser>
          <c:idx val="0"/>
          <c:order val="0"/>
          <c:tx>
            <c:strRef>
              <c:f>'Cardiac Arrest'!$D$11</c:f>
              <c:strCache>
                <c:ptCount val="1"/>
                <c:pt idx="0">
                  <c:v>Rate per 1,000 discharges</c:v>
                </c:pt>
              </c:strCache>
            </c:strRef>
          </c:tx>
          <c:spPr>
            <a:ln w="25400">
              <a:solidFill>
                <a:srgbClr val="0066CC"/>
              </a:solidFill>
              <a:prstDash val="solid"/>
            </a:ln>
          </c:spPr>
          <c:marker>
            <c:symbol val="circle"/>
            <c:size val="4"/>
            <c:spPr>
              <a:solidFill>
                <a:srgbClr val="0070C0"/>
              </a:solidFill>
              <a:ln>
                <a:solidFill>
                  <a:srgbClr val="0066CC"/>
                </a:solidFill>
                <a:prstDash val="solid"/>
              </a:ln>
            </c:spPr>
          </c:marker>
          <c:dPt>
            <c:idx val="97"/>
            <c:marker>
              <c:spPr>
                <a:solidFill>
                  <a:srgbClr val="0070C0"/>
                </a:solidFill>
              </c:spPr>
            </c:marker>
            <c:bubble3D val="0"/>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numCache>
            </c:numRef>
          </c:cat>
          <c:val>
            <c:numRef>
              <c:f>'Cardiac Arrest'!$D$12:$D$134</c:f>
              <c:numCache>
                <c:formatCode>0.00</c:formatCode>
                <c:ptCount val="123"/>
                <c:pt idx="0">
                  <c:v>2.0253704295917281</c:v>
                </c:pt>
                <c:pt idx="1">
                  <c:v>1.4804691948525224</c:v>
                </c:pt>
                <c:pt idx="2">
                  <c:v>2.4732069249793898</c:v>
                </c:pt>
                <c:pt idx="3">
                  <c:v>1.175590467030031</c:v>
                </c:pt>
                <c:pt idx="4">
                  <c:v>1.3932054442181974</c:v>
                </c:pt>
                <c:pt idx="5">
                  <c:v>1.9476303830339754</c:v>
                </c:pt>
                <c:pt idx="6">
                  <c:v>1.291294522759066</c:v>
                </c:pt>
                <c:pt idx="7">
                  <c:v>1.5737410071942446</c:v>
                </c:pt>
                <c:pt idx="8">
                  <c:v>1.8992291364093397</c:v>
                </c:pt>
                <c:pt idx="9">
                  <c:v>1.9148936170212765</c:v>
                </c:pt>
                <c:pt idx="10">
                  <c:v>2.626770214709913</c:v>
                </c:pt>
                <c:pt idx="11">
                  <c:v>2.5177887246852766</c:v>
                </c:pt>
                <c:pt idx="12">
                  <c:v>2.325311010347634</c:v>
                </c:pt>
                <c:pt idx="13">
                  <c:v>2.630005977286312</c:v>
                </c:pt>
                <c:pt idx="14">
                  <c:v>0.96411355115158004</c:v>
                </c:pt>
                <c:pt idx="15">
                  <c:v>1.9348964261324835</c:v>
                </c:pt>
                <c:pt idx="16">
                  <c:v>2.995672916897814</c:v>
                </c:pt>
                <c:pt idx="17">
                  <c:v>1.5739179314221472</c:v>
                </c:pt>
                <c:pt idx="18">
                  <c:v>2.143260011280316</c:v>
                </c:pt>
                <c:pt idx="19">
                  <c:v>2.5131118881118879</c:v>
                </c:pt>
                <c:pt idx="20">
                  <c:v>1.6852039096730704</c:v>
                </c:pt>
                <c:pt idx="21">
                  <c:v>1.3975489142119972</c:v>
                </c:pt>
                <c:pt idx="22">
                  <c:v>1.3505908835115363</c:v>
                </c:pt>
                <c:pt idx="23">
                  <c:v>1.7156582408784169</c:v>
                </c:pt>
                <c:pt idx="24">
                  <c:v>1.4500836586726158</c:v>
                </c:pt>
                <c:pt idx="25">
                  <c:v>1.4992503748125936</c:v>
                </c:pt>
                <c:pt idx="26">
                  <c:v>1.6607847207805688</c:v>
                </c:pt>
                <c:pt idx="27">
                  <c:v>1.4449260864732689</c:v>
                </c:pt>
                <c:pt idx="28">
                  <c:v>2.3776072625094562</c:v>
                </c:pt>
                <c:pt idx="29">
                  <c:v>1.7446298113619017</c:v>
                </c:pt>
                <c:pt idx="30">
                  <c:v>0.78081427774679313</c:v>
                </c:pt>
                <c:pt idx="31">
                  <c:v>2.1626297577854672</c:v>
                </c:pt>
                <c:pt idx="32">
                  <c:v>1.6413174307911149</c:v>
                </c:pt>
                <c:pt idx="33">
                  <c:v>1.6177739430543572</c:v>
                </c:pt>
                <c:pt idx="34">
                  <c:v>0.75220287986245438</c:v>
                </c:pt>
                <c:pt idx="35">
                  <c:v>2.1645021645021645</c:v>
                </c:pt>
                <c:pt idx="36">
                  <c:v>1.1217049915872126</c:v>
                </c:pt>
                <c:pt idx="37">
                  <c:v>2.0637468470534284</c:v>
                </c:pt>
                <c:pt idx="38">
                  <c:v>1.1571638964864297</c:v>
                </c:pt>
                <c:pt idx="39">
                  <c:v>1.392434439545138</c:v>
                </c:pt>
                <c:pt idx="40">
                  <c:v>1.162422064884286</c:v>
                </c:pt>
                <c:pt idx="41">
                  <c:v>1.7323516673884798</c:v>
                </c:pt>
                <c:pt idx="42">
                  <c:v>1.7355461546805511</c:v>
                </c:pt>
                <c:pt idx="43">
                  <c:v>1.1500261369576581</c:v>
                </c:pt>
                <c:pt idx="44">
                  <c:v>0.77330976579761379</c:v>
                </c:pt>
                <c:pt idx="45">
                  <c:v>1.1227926916402979</c:v>
                </c:pt>
                <c:pt idx="46">
                  <c:v>2.1267545725223309</c:v>
                </c:pt>
                <c:pt idx="47">
                  <c:v>2.3732470334412081</c:v>
                </c:pt>
                <c:pt idx="48">
                  <c:v>1.8252093622503758</c:v>
                </c:pt>
                <c:pt idx="49">
                  <c:v>1.62526120269329</c:v>
                </c:pt>
                <c:pt idx="50">
                  <c:v>1.8416206261510129</c:v>
                </c:pt>
                <c:pt idx="51">
                  <c:v>1.4378940382701029</c:v>
                </c:pt>
                <c:pt idx="52">
                  <c:v>1.3464526152252718</c:v>
                </c:pt>
                <c:pt idx="53">
                  <c:v>1.0782833728703904</c:v>
                </c:pt>
                <c:pt idx="54">
                  <c:v>1.5864621893178212</c:v>
                </c:pt>
                <c:pt idx="55">
                  <c:v>1.4685828175810343</c:v>
                </c:pt>
                <c:pt idx="56">
                  <c:v>1.3464991023339319</c:v>
                </c:pt>
                <c:pt idx="57">
                  <c:v>1.5772870662460567</c:v>
                </c:pt>
                <c:pt idx="58">
                  <c:v>1.6235523325035177</c:v>
                </c:pt>
                <c:pt idx="59">
                  <c:v>2.0286141362374548</c:v>
                </c:pt>
                <c:pt idx="60">
                  <c:v>2.4091337592961137</c:v>
                </c:pt>
                <c:pt idx="61">
                  <c:v>1.6603940668585344</c:v>
                </c:pt>
                <c:pt idx="62">
                  <c:v>1.6374987207041245</c:v>
                </c:pt>
                <c:pt idx="63">
                  <c:v>1.7808506180599204</c:v>
                </c:pt>
                <c:pt idx="64">
                  <c:v>0.86330935251798568</c:v>
                </c:pt>
                <c:pt idx="65">
                  <c:v>1.6122531237404274</c:v>
                </c:pt>
                <c:pt idx="66">
                  <c:v>1.1004401760704283</c:v>
                </c:pt>
                <c:pt idx="67">
                  <c:v>1.7178658043654</c:v>
                </c:pt>
                <c:pt idx="68">
                  <c:v>1.836359926545603</c:v>
                </c:pt>
                <c:pt idx="69">
                  <c:v>1.0583028670386763</c:v>
                </c:pt>
                <c:pt idx="70">
                  <c:v>1.3032581453634084</c:v>
                </c:pt>
                <c:pt idx="71">
                  <c:v>2.2005357826253347</c:v>
                </c:pt>
                <c:pt idx="72">
                  <c:v>2.3677979479084454</c:v>
                </c:pt>
                <c:pt idx="73">
                  <c:v>1.9907795473595975</c:v>
                </c:pt>
                <c:pt idx="74">
                  <c:v>1.9184652278177459</c:v>
                </c:pt>
                <c:pt idx="75">
                  <c:v>1.9076305220883534</c:v>
                </c:pt>
                <c:pt idx="76">
                  <c:v>1.4064697609001406</c:v>
                </c:pt>
                <c:pt idx="77">
                  <c:v>1.691542288557214</c:v>
                </c:pt>
                <c:pt idx="78">
                  <c:v>1.8296401707664161</c:v>
                </c:pt>
                <c:pt idx="79">
                  <c:v>1.3474295190713101</c:v>
                </c:pt>
                <c:pt idx="80">
                  <c:v>1.9905709795704556</c:v>
                </c:pt>
                <c:pt idx="81">
                  <c:v>1.0898642623600514</c:v>
                </c:pt>
                <c:pt idx="82">
                  <c:v>1.1419080244991175</c:v>
                </c:pt>
                <c:pt idx="83">
                  <c:v>1.3187259078920672</c:v>
                </c:pt>
                <c:pt idx="84">
                  <c:v>2.1442275138246245</c:v>
                </c:pt>
                <c:pt idx="85">
                  <c:v>2.8080422329551835</c:v>
                </c:pt>
                <c:pt idx="86">
                  <c:v>2.124216063119563</c:v>
                </c:pt>
                <c:pt idx="87">
                  <c:v>1.2029746281714784</c:v>
                </c:pt>
                <c:pt idx="88">
                  <c:v>2.5580681469354345</c:v>
                </c:pt>
                <c:pt idx="89">
                  <c:v>1.5960842732496276</c:v>
                </c:pt>
                <c:pt idx="90">
                  <c:v>1.5921982286794705</c:v>
                </c:pt>
                <c:pt idx="91">
                  <c:v>1.8994301709487154</c:v>
                </c:pt>
                <c:pt idx="92">
                  <c:v>1.6338200755641785</c:v>
                </c:pt>
                <c:pt idx="93">
                  <c:v>1.7991004497751124</c:v>
                </c:pt>
                <c:pt idx="94">
                  <c:v>1.7152658662092624</c:v>
                </c:pt>
                <c:pt idx="95">
                  <c:v>2.3359739995937434</c:v>
                </c:pt>
                <c:pt idx="96">
                  <c:v>2.0137784843667199</c:v>
                </c:pt>
                <c:pt idx="97">
                  <c:v>2.9798035536916454</c:v>
                </c:pt>
                <c:pt idx="98">
                  <c:v>1.4571595103944044</c:v>
                </c:pt>
                <c:pt idx="99">
                  <c:v>1.3595482116711985</c:v>
                </c:pt>
                <c:pt idx="100">
                  <c:v>1.7175572519083968</c:v>
                </c:pt>
                <c:pt idx="101">
                  <c:v>1.2871287128712872</c:v>
                </c:pt>
                <c:pt idx="102">
                  <c:v>1.6498247061249742</c:v>
                </c:pt>
                <c:pt idx="103">
                  <c:v>1.1897679952409281</c:v>
                </c:pt>
              </c:numCache>
            </c:numRef>
          </c:val>
          <c:smooth val="0"/>
        </c:ser>
        <c:ser>
          <c:idx val="4"/>
          <c:order val="1"/>
          <c:tx>
            <c:strRef>
              <c:f>'Cardiac Arrest'!$K$11</c:f>
              <c:strCache>
                <c:ptCount val="1"/>
                <c:pt idx="0">
                  <c:v>Target Median (50% Reduction) to 0.95 (max)</c:v>
                </c:pt>
              </c:strCache>
            </c:strRef>
          </c:tx>
          <c:spPr>
            <a:ln w="25400">
              <a:solidFill>
                <a:srgbClr val="FF0000"/>
              </a:solidFill>
              <a:prstDash val="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numCache>
            </c:numRef>
          </c:cat>
          <c:val>
            <c:numRef>
              <c:f>'Cardiac Arrest'!$K$12:$K$134</c:f>
              <c:numCache>
                <c:formatCode>0.00</c:formatCode>
                <c:ptCount val="123"/>
                <c:pt idx="12">
                  <c:v>0.95353068835765398</c:v>
                </c:pt>
                <c:pt idx="13">
                  <c:v>0.95353068835765398</c:v>
                </c:pt>
                <c:pt idx="14">
                  <c:v>0.95353068835765398</c:v>
                </c:pt>
                <c:pt idx="15">
                  <c:v>0.95353068835765398</c:v>
                </c:pt>
                <c:pt idx="16">
                  <c:v>0.95353068835765398</c:v>
                </c:pt>
                <c:pt idx="17">
                  <c:v>0.95353068835765398</c:v>
                </c:pt>
                <c:pt idx="18">
                  <c:v>0.95353068835765398</c:v>
                </c:pt>
                <c:pt idx="19">
                  <c:v>0.95353068835765398</c:v>
                </c:pt>
                <c:pt idx="20">
                  <c:v>0.95353068835765398</c:v>
                </c:pt>
                <c:pt idx="21">
                  <c:v>0.95353068835765398</c:v>
                </c:pt>
                <c:pt idx="22">
                  <c:v>0.95353068835765398</c:v>
                </c:pt>
                <c:pt idx="23">
                  <c:v>0.95353068835765398</c:v>
                </c:pt>
                <c:pt idx="24">
                  <c:v>0.95353068835765398</c:v>
                </c:pt>
                <c:pt idx="25">
                  <c:v>0.95353068835765398</c:v>
                </c:pt>
                <c:pt idx="26">
                  <c:v>0.95353068835765398</c:v>
                </c:pt>
                <c:pt idx="27">
                  <c:v>0.95353068835765398</c:v>
                </c:pt>
                <c:pt idx="28">
                  <c:v>0.95353068835765398</c:v>
                </c:pt>
                <c:pt idx="29">
                  <c:v>0.95353068835765398</c:v>
                </c:pt>
                <c:pt idx="30">
                  <c:v>0.95353068835765398</c:v>
                </c:pt>
                <c:pt idx="31">
                  <c:v>0.95353068835765398</c:v>
                </c:pt>
                <c:pt idx="32">
                  <c:v>0.95353068835765398</c:v>
                </c:pt>
                <c:pt idx="33">
                  <c:v>0.95353068835765398</c:v>
                </c:pt>
                <c:pt idx="34">
                  <c:v>0.95353068835765398</c:v>
                </c:pt>
                <c:pt idx="35">
                  <c:v>0.95353068835765398</c:v>
                </c:pt>
                <c:pt idx="36">
                  <c:v>0.95353068835765398</c:v>
                </c:pt>
                <c:pt idx="37">
                  <c:v>0.95353068835765398</c:v>
                </c:pt>
                <c:pt idx="38">
                  <c:v>0.95353068835765398</c:v>
                </c:pt>
                <c:pt idx="39">
                  <c:v>0.95353068835765398</c:v>
                </c:pt>
                <c:pt idx="40">
                  <c:v>0.95353068835765398</c:v>
                </c:pt>
                <c:pt idx="41">
                  <c:v>0.95353068835765398</c:v>
                </c:pt>
                <c:pt idx="42">
                  <c:v>0.95353068835765398</c:v>
                </c:pt>
                <c:pt idx="43">
                  <c:v>0.95353068835765398</c:v>
                </c:pt>
                <c:pt idx="44">
                  <c:v>0.95353068835765398</c:v>
                </c:pt>
                <c:pt idx="45">
                  <c:v>0.95353068835765398</c:v>
                </c:pt>
                <c:pt idx="46">
                  <c:v>0.95353068835765398</c:v>
                </c:pt>
                <c:pt idx="47">
                  <c:v>0.95353068835765398</c:v>
                </c:pt>
                <c:pt idx="48">
                  <c:v>0.95353068835765398</c:v>
                </c:pt>
                <c:pt idx="49">
                  <c:v>0.95353068835765398</c:v>
                </c:pt>
                <c:pt idx="50">
                  <c:v>0.95353068835765398</c:v>
                </c:pt>
                <c:pt idx="51">
                  <c:v>0.95353068835765398</c:v>
                </c:pt>
                <c:pt idx="52">
                  <c:v>0.95353068835765398</c:v>
                </c:pt>
                <c:pt idx="53">
                  <c:v>0.95353068835765398</c:v>
                </c:pt>
                <c:pt idx="54">
                  <c:v>0.95353068835765398</c:v>
                </c:pt>
                <c:pt idx="55">
                  <c:v>0.95353068835765398</c:v>
                </c:pt>
                <c:pt idx="56">
                  <c:v>0.95353068835765398</c:v>
                </c:pt>
                <c:pt idx="57">
                  <c:v>0.95353068835765398</c:v>
                </c:pt>
                <c:pt idx="58">
                  <c:v>0.95353068835765398</c:v>
                </c:pt>
                <c:pt idx="59">
                  <c:v>0.95353068835765398</c:v>
                </c:pt>
                <c:pt idx="60">
                  <c:v>0.95353068835765398</c:v>
                </c:pt>
                <c:pt idx="61">
                  <c:v>0.95353068835765398</c:v>
                </c:pt>
                <c:pt idx="62">
                  <c:v>0.95353068835765398</c:v>
                </c:pt>
                <c:pt idx="63">
                  <c:v>0.95353068835765398</c:v>
                </c:pt>
                <c:pt idx="64">
                  <c:v>0.95353068835765398</c:v>
                </c:pt>
                <c:pt idx="65">
                  <c:v>0.95353068835765398</c:v>
                </c:pt>
                <c:pt idx="66">
                  <c:v>0.95353068835765398</c:v>
                </c:pt>
                <c:pt idx="67">
                  <c:v>0.95353068835765398</c:v>
                </c:pt>
                <c:pt idx="68">
                  <c:v>0.95353068835765398</c:v>
                </c:pt>
                <c:pt idx="69">
                  <c:v>0.95353068835765398</c:v>
                </c:pt>
                <c:pt idx="70">
                  <c:v>0.95353068835765398</c:v>
                </c:pt>
                <c:pt idx="71">
                  <c:v>0.95353068835765398</c:v>
                </c:pt>
                <c:pt idx="72">
                  <c:v>0.95353068835765398</c:v>
                </c:pt>
                <c:pt idx="73">
                  <c:v>0.95353068835765398</c:v>
                </c:pt>
                <c:pt idx="74">
                  <c:v>0.95353068835765398</c:v>
                </c:pt>
                <c:pt idx="75">
                  <c:v>0.95353068835765398</c:v>
                </c:pt>
                <c:pt idx="76">
                  <c:v>0.95353068835765398</c:v>
                </c:pt>
                <c:pt idx="77">
                  <c:v>0.95353068835765398</c:v>
                </c:pt>
                <c:pt idx="78">
                  <c:v>0.95353068835765398</c:v>
                </c:pt>
                <c:pt idx="79">
                  <c:v>0.95353068835765398</c:v>
                </c:pt>
                <c:pt idx="80">
                  <c:v>0.95353068835765398</c:v>
                </c:pt>
                <c:pt idx="81">
                  <c:v>0.95353068835765398</c:v>
                </c:pt>
                <c:pt idx="82">
                  <c:v>0.95353068835765398</c:v>
                </c:pt>
                <c:pt idx="83">
                  <c:v>0.95353068835765398</c:v>
                </c:pt>
                <c:pt idx="84">
                  <c:v>0.95353068835765398</c:v>
                </c:pt>
                <c:pt idx="85">
                  <c:v>0.95353068835765398</c:v>
                </c:pt>
                <c:pt idx="86">
                  <c:v>0.95353068835765398</c:v>
                </c:pt>
                <c:pt idx="87">
                  <c:v>0.95353068835765398</c:v>
                </c:pt>
                <c:pt idx="88">
                  <c:v>0.95353068835765398</c:v>
                </c:pt>
                <c:pt idx="89">
                  <c:v>0.95353068835765398</c:v>
                </c:pt>
                <c:pt idx="90">
                  <c:v>0.95353068835765398</c:v>
                </c:pt>
                <c:pt idx="91">
                  <c:v>0.95353068835765398</c:v>
                </c:pt>
                <c:pt idx="92">
                  <c:v>0.95353068835765398</c:v>
                </c:pt>
                <c:pt idx="93">
                  <c:v>0.95353068835765398</c:v>
                </c:pt>
                <c:pt idx="94">
                  <c:v>0.95353068835765398</c:v>
                </c:pt>
                <c:pt idx="95">
                  <c:v>0.95353068835765398</c:v>
                </c:pt>
                <c:pt idx="96">
                  <c:v>0.95353068835765398</c:v>
                </c:pt>
                <c:pt idx="97">
                  <c:v>0.95353068835765398</c:v>
                </c:pt>
                <c:pt idx="98">
                  <c:v>0.95353068835765398</c:v>
                </c:pt>
                <c:pt idx="99">
                  <c:v>0.95353068835765398</c:v>
                </c:pt>
                <c:pt idx="100">
                  <c:v>0.95353068835765398</c:v>
                </c:pt>
                <c:pt idx="101">
                  <c:v>0.95353068835765398</c:v>
                </c:pt>
                <c:pt idx="102">
                  <c:v>0.95353068835765398</c:v>
                </c:pt>
                <c:pt idx="103">
                  <c:v>0.95353068835765398</c:v>
                </c:pt>
                <c:pt idx="104">
                  <c:v>0.95353068835765398</c:v>
                </c:pt>
                <c:pt idx="105">
                  <c:v>0.95353068835765398</c:v>
                </c:pt>
                <c:pt idx="106">
                  <c:v>0.95353068835765398</c:v>
                </c:pt>
                <c:pt idx="107">
                  <c:v>0.95353068835765398</c:v>
                </c:pt>
                <c:pt idx="108">
                  <c:v>0.95353068835765398</c:v>
                </c:pt>
                <c:pt idx="109">
                  <c:v>0.95353068835765398</c:v>
                </c:pt>
                <c:pt idx="110">
                  <c:v>0.95353068835765398</c:v>
                </c:pt>
                <c:pt idx="111">
                  <c:v>0.95353068835765398</c:v>
                </c:pt>
                <c:pt idx="112">
                  <c:v>0.95353068835765398</c:v>
                </c:pt>
                <c:pt idx="113">
                  <c:v>0.95353068835765398</c:v>
                </c:pt>
                <c:pt idx="114">
                  <c:v>0.95353068835765398</c:v>
                </c:pt>
                <c:pt idx="115">
                  <c:v>0.95353068835765398</c:v>
                </c:pt>
                <c:pt idx="116">
                  <c:v>0.95353068835765398</c:v>
                </c:pt>
                <c:pt idx="117">
                  <c:v>0.95353068835765398</c:v>
                </c:pt>
                <c:pt idx="118">
                  <c:v>0.95353068835765398</c:v>
                </c:pt>
                <c:pt idx="119">
                  <c:v>0.95353068835765398</c:v>
                </c:pt>
                <c:pt idx="120">
                  <c:v>0.95353068835765398</c:v>
                </c:pt>
                <c:pt idx="121">
                  <c:v>0.95353068835765398</c:v>
                </c:pt>
                <c:pt idx="122">
                  <c:v>0.95353068835765398</c:v>
                </c:pt>
              </c:numCache>
            </c:numRef>
          </c:val>
          <c:smooth val="0"/>
        </c:ser>
        <c:ser>
          <c:idx val="1"/>
          <c:order val="2"/>
          <c:tx>
            <c:strRef>
              <c:f>'Cardiac Arrest'!$E$11</c:f>
              <c:strCache>
                <c:ptCount val="1"/>
                <c:pt idx="0">
                  <c:v>Baseline Median - 2009 (1.91)</c:v>
                </c:pt>
              </c:strCache>
            </c:strRef>
          </c:tx>
          <c:spPr>
            <a:ln w="25400">
              <a:solidFill>
                <a:srgbClr val="000000"/>
              </a:solidFill>
              <a:prstDash val="solid"/>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numCache>
            </c:numRef>
          </c:cat>
          <c:val>
            <c:numRef>
              <c:f>'Cardiac Arrest'!$E$12:$E$23</c:f>
              <c:numCache>
                <c:formatCode>0.00</c:formatCode>
                <c:ptCount val="12"/>
                <c:pt idx="0">
                  <c:v>1.907061376715308</c:v>
                </c:pt>
                <c:pt idx="1">
                  <c:v>1.907061376715308</c:v>
                </c:pt>
                <c:pt idx="2">
                  <c:v>1.907061376715308</c:v>
                </c:pt>
                <c:pt idx="3">
                  <c:v>1.907061376715308</c:v>
                </c:pt>
                <c:pt idx="4">
                  <c:v>1.907061376715308</c:v>
                </c:pt>
                <c:pt idx="5">
                  <c:v>1.907061376715308</c:v>
                </c:pt>
                <c:pt idx="6">
                  <c:v>1.907061376715308</c:v>
                </c:pt>
                <c:pt idx="7">
                  <c:v>1.907061376715308</c:v>
                </c:pt>
                <c:pt idx="8">
                  <c:v>1.907061376715308</c:v>
                </c:pt>
                <c:pt idx="9">
                  <c:v>1.907061376715308</c:v>
                </c:pt>
                <c:pt idx="10">
                  <c:v>1.907061376715308</c:v>
                </c:pt>
                <c:pt idx="11">
                  <c:v>1.907061376715308</c:v>
                </c:pt>
              </c:numCache>
            </c:numRef>
          </c:val>
          <c:smooth val="0"/>
        </c:ser>
        <c:ser>
          <c:idx val="2"/>
          <c:order val="3"/>
          <c:tx>
            <c:strRef>
              <c:f>'Cardiac Arrest'!$F$11</c:f>
              <c:strCache>
                <c:ptCount val="1"/>
                <c:pt idx="0">
                  <c:v>Extended Baseline Median</c:v>
                </c:pt>
              </c:strCache>
            </c:strRef>
          </c:tx>
          <c:spPr>
            <a:ln w="25400">
              <a:solidFill>
                <a:srgbClr val="000000"/>
              </a:solidFill>
              <a:prstDash val="lg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numCache>
            </c:numRef>
          </c:cat>
          <c:val>
            <c:numRef>
              <c:f>'Cardiac Arrest'!$F$12:$F$59</c:f>
              <c:numCache>
                <c:formatCode>0.00</c:formatCode>
                <c:ptCount val="48"/>
                <c:pt idx="12">
                  <c:v>1.907061376715308</c:v>
                </c:pt>
                <c:pt idx="13">
                  <c:v>1.907061376715308</c:v>
                </c:pt>
                <c:pt idx="14">
                  <c:v>1.907061376715308</c:v>
                </c:pt>
                <c:pt idx="15">
                  <c:v>1.907061376715308</c:v>
                </c:pt>
                <c:pt idx="16">
                  <c:v>1.907061376715308</c:v>
                </c:pt>
                <c:pt idx="17">
                  <c:v>1.907061376715308</c:v>
                </c:pt>
                <c:pt idx="18">
                  <c:v>1.907061376715308</c:v>
                </c:pt>
                <c:pt idx="19">
                  <c:v>1.907061376715308</c:v>
                </c:pt>
                <c:pt idx="20">
                  <c:v>1.907061376715308</c:v>
                </c:pt>
                <c:pt idx="21">
                  <c:v>1.907061376715308</c:v>
                </c:pt>
                <c:pt idx="22">
                  <c:v>1.907061376715308</c:v>
                </c:pt>
                <c:pt idx="23">
                  <c:v>1.907061376715308</c:v>
                </c:pt>
                <c:pt idx="24">
                  <c:v>1.907061376715308</c:v>
                </c:pt>
                <c:pt idx="25">
                  <c:v>1.907061376715308</c:v>
                </c:pt>
                <c:pt idx="26">
                  <c:v>1.907061376715308</c:v>
                </c:pt>
                <c:pt idx="27">
                  <c:v>1.907061376715308</c:v>
                </c:pt>
                <c:pt idx="28">
                  <c:v>1.907061376715308</c:v>
                </c:pt>
                <c:pt idx="29">
                  <c:v>1.907061376715308</c:v>
                </c:pt>
                <c:pt idx="30">
                  <c:v>1.907061376715308</c:v>
                </c:pt>
                <c:pt idx="31">
                  <c:v>1.907061376715308</c:v>
                </c:pt>
                <c:pt idx="32">
                  <c:v>1.907061376715308</c:v>
                </c:pt>
                <c:pt idx="33">
                  <c:v>1.907061376715308</c:v>
                </c:pt>
                <c:pt idx="34">
                  <c:v>1.907061376715308</c:v>
                </c:pt>
                <c:pt idx="35">
                  <c:v>1.907061376715308</c:v>
                </c:pt>
                <c:pt idx="36">
                  <c:v>1.907061376715308</c:v>
                </c:pt>
                <c:pt idx="37">
                  <c:v>1.907061376715308</c:v>
                </c:pt>
                <c:pt idx="38">
                  <c:v>1.907061376715308</c:v>
                </c:pt>
                <c:pt idx="39">
                  <c:v>1.907061376715308</c:v>
                </c:pt>
                <c:pt idx="40">
                  <c:v>1.907061376715308</c:v>
                </c:pt>
                <c:pt idx="41">
                  <c:v>1.907061376715308</c:v>
                </c:pt>
                <c:pt idx="42">
                  <c:v>1.907061376715308</c:v>
                </c:pt>
                <c:pt idx="43">
                  <c:v>1.907061376715308</c:v>
                </c:pt>
                <c:pt idx="44">
                  <c:v>1.907061376715308</c:v>
                </c:pt>
                <c:pt idx="45">
                  <c:v>1.907061376715308</c:v>
                </c:pt>
                <c:pt idx="46">
                  <c:v>1.907061376715308</c:v>
                </c:pt>
                <c:pt idx="47">
                  <c:v>1.907061376715308</c:v>
                </c:pt>
              </c:numCache>
            </c:numRef>
          </c:val>
          <c:smooth val="0"/>
        </c:ser>
        <c:ser>
          <c:idx val="3"/>
          <c:order val="4"/>
          <c:tx>
            <c:strRef>
              <c:f>'Cardiac Arrest'!$G$11</c:f>
              <c:strCache>
                <c:ptCount val="1"/>
                <c:pt idx="0">
                  <c:v>New Median </c:v>
                </c:pt>
              </c:strCache>
            </c:strRef>
          </c:tx>
          <c:spPr>
            <a:ln w="25400">
              <a:solidFill>
                <a:srgbClr val="E69F00"/>
              </a:solidFill>
              <a:prstDash val="solid"/>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numCache>
            </c:numRef>
          </c:cat>
          <c:val>
            <c:numRef>
              <c:f>'Cardiac Arrest'!$G$12:$G$71</c:f>
              <c:numCache>
                <c:formatCode>0.00</c:formatCode>
                <c:ptCount val="60"/>
                <c:pt idx="48">
                  <c:v>1.5818746277819389</c:v>
                </c:pt>
                <c:pt idx="49">
                  <c:v>1.5818746277819389</c:v>
                </c:pt>
                <c:pt idx="50">
                  <c:v>1.5818746277819389</c:v>
                </c:pt>
                <c:pt idx="51">
                  <c:v>1.5818746277819389</c:v>
                </c:pt>
                <c:pt idx="52">
                  <c:v>1.5818746277819389</c:v>
                </c:pt>
                <c:pt idx="53">
                  <c:v>1.5818746277819389</c:v>
                </c:pt>
                <c:pt idx="54">
                  <c:v>1.5818746277819389</c:v>
                </c:pt>
                <c:pt idx="55">
                  <c:v>1.5818746277819389</c:v>
                </c:pt>
                <c:pt idx="56">
                  <c:v>1.5818746277819389</c:v>
                </c:pt>
                <c:pt idx="57">
                  <c:v>1.5818746277819389</c:v>
                </c:pt>
                <c:pt idx="58">
                  <c:v>1.5818746277819389</c:v>
                </c:pt>
                <c:pt idx="59">
                  <c:v>1.5818746277819389</c:v>
                </c:pt>
              </c:numCache>
            </c:numRef>
          </c:val>
          <c:smooth val="0"/>
        </c:ser>
        <c:ser>
          <c:idx val="5"/>
          <c:order val="5"/>
          <c:tx>
            <c:strRef>
              <c:f>'Cardiac Arrest'!$H$11</c:f>
              <c:strCache>
                <c:ptCount val="1"/>
                <c:pt idx="0">
                  <c:v>Extended New Median </c:v>
                </c:pt>
              </c:strCache>
            </c:strRef>
          </c:tx>
          <c:spPr>
            <a:ln w="25400">
              <a:solidFill>
                <a:srgbClr val="E69F00"/>
              </a:solidFill>
              <a:prstDash val="dash"/>
            </a:ln>
          </c:spPr>
          <c:marker>
            <c:symbol val="none"/>
          </c:marker>
          <c:dPt>
            <c:idx val="89"/>
            <c:bubble3D val="0"/>
            <c:spPr>
              <a:ln w="25400">
                <a:noFill/>
                <a:prstDash val="dash"/>
              </a:ln>
            </c:spPr>
          </c:dPt>
          <c:dPt>
            <c:idx val="90"/>
            <c:bubble3D val="0"/>
            <c:spPr>
              <a:ln w="25400">
                <a:noFill/>
                <a:prstDash val="dash"/>
              </a:ln>
            </c:spPr>
          </c:dPt>
          <c:dPt>
            <c:idx val="91"/>
            <c:bubble3D val="0"/>
            <c:spPr>
              <a:ln w="25400">
                <a:noFill/>
                <a:prstDash val="dash"/>
              </a:ln>
            </c:spPr>
          </c:dPt>
          <c:dPt>
            <c:idx val="92"/>
            <c:bubble3D val="0"/>
            <c:spPr>
              <a:ln w="25400">
                <a:noFill/>
                <a:prstDash val="dash"/>
              </a:ln>
            </c:spPr>
          </c:dPt>
          <c:dPt>
            <c:idx val="93"/>
            <c:bubble3D val="0"/>
            <c:spPr>
              <a:ln w="25400">
                <a:noFill/>
                <a:prstDash val="dash"/>
              </a:ln>
            </c:spPr>
          </c:dPt>
          <c:dPt>
            <c:idx val="94"/>
            <c:bubble3D val="0"/>
            <c:spPr>
              <a:ln w="25400">
                <a:noFill/>
                <a:prstDash val="dash"/>
              </a:ln>
            </c:spPr>
          </c:dPt>
          <c:dPt>
            <c:idx val="95"/>
            <c:bubble3D val="0"/>
            <c:spPr>
              <a:ln w="25400">
                <a:noFill/>
                <a:prstDash val="dash"/>
              </a:ln>
            </c:spPr>
          </c:dPt>
          <c:dPt>
            <c:idx val="96"/>
            <c:bubble3D val="0"/>
            <c:spPr>
              <a:ln w="25400">
                <a:noFill/>
                <a:prstDash val="dash"/>
              </a:ln>
            </c:spPr>
          </c:dPt>
          <c:dPt>
            <c:idx val="97"/>
            <c:bubble3D val="0"/>
            <c:spPr>
              <a:ln w="25400">
                <a:noFill/>
                <a:prstDash val="dash"/>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numCache>
            </c:numRef>
          </c:cat>
          <c:val>
            <c:numRef>
              <c:f>'Cardiac Arrest'!$H$12:$H$100</c:f>
              <c:numCache>
                <c:formatCode>0.00</c:formatCode>
                <c:ptCount val="89"/>
                <c:pt idx="60">
                  <c:v>1.5818746277819389</c:v>
                </c:pt>
                <c:pt idx="61">
                  <c:v>1.5818746277819389</c:v>
                </c:pt>
                <c:pt idx="62">
                  <c:v>1.5818746277819389</c:v>
                </c:pt>
                <c:pt idx="63">
                  <c:v>1.5818746277819389</c:v>
                </c:pt>
                <c:pt idx="64">
                  <c:v>1.5818746277819389</c:v>
                </c:pt>
                <c:pt idx="65">
                  <c:v>1.5818746277819389</c:v>
                </c:pt>
                <c:pt idx="66">
                  <c:v>1.5818746277819389</c:v>
                </c:pt>
                <c:pt idx="67">
                  <c:v>1.5818746277819389</c:v>
                </c:pt>
                <c:pt idx="68">
                  <c:v>1.5818746277819389</c:v>
                </c:pt>
                <c:pt idx="69">
                  <c:v>1.5818746277819389</c:v>
                </c:pt>
                <c:pt idx="70">
                  <c:v>1.5818746277819389</c:v>
                </c:pt>
                <c:pt idx="71">
                  <c:v>1.5818746277819389</c:v>
                </c:pt>
                <c:pt idx="72">
                  <c:v>1.5818746277819389</c:v>
                </c:pt>
                <c:pt idx="73">
                  <c:v>1.5818746277819389</c:v>
                </c:pt>
                <c:pt idx="74">
                  <c:v>1.5818746277819389</c:v>
                </c:pt>
                <c:pt idx="75">
                  <c:v>1.5818746277819389</c:v>
                </c:pt>
                <c:pt idx="76">
                  <c:v>1.5818746277819389</c:v>
                </c:pt>
                <c:pt idx="77">
                  <c:v>1.5818746277819389</c:v>
                </c:pt>
                <c:pt idx="78">
                  <c:v>1.5818746277819389</c:v>
                </c:pt>
                <c:pt idx="79">
                  <c:v>1.5818746277819389</c:v>
                </c:pt>
                <c:pt idx="80">
                  <c:v>1.5818746277819389</c:v>
                </c:pt>
                <c:pt idx="81">
                  <c:v>1.5818746277819389</c:v>
                </c:pt>
                <c:pt idx="82">
                  <c:v>1.5818746277819389</c:v>
                </c:pt>
                <c:pt idx="83">
                  <c:v>1.5818746277819389</c:v>
                </c:pt>
                <c:pt idx="84">
                  <c:v>1.5818746277819389</c:v>
                </c:pt>
                <c:pt idx="85">
                  <c:v>1.5818746277819389</c:v>
                </c:pt>
                <c:pt idx="86">
                  <c:v>1.5818746277819389</c:v>
                </c:pt>
                <c:pt idx="87">
                  <c:v>1.5818746277819389</c:v>
                </c:pt>
                <c:pt idx="88">
                  <c:v>1.5818746277819389</c:v>
                </c:pt>
              </c:numCache>
            </c:numRef>
          </c:val>
          <c:smooth val="0"/>
        </c:ser>
        <c:ser>
          <c:idx val="6"/>
          <c:order val="6"/>
          <c:tx>
            <c:strRef>
              <c:f>'Cardiac Arrest'!$I$11</c:f>
              <c:strCache>
                <c:ptCount val="1"/>
                <c:pt idx="0">
                  <c:v>New Median 2</c:v>
                </c:pt>
              </c:strCache>
            </c:strRef>
          </c:tx>
          <c:spPr>
            <a:ln w="25400">
              <a:solidFill>
                <a:srgbClr val="E39F00"/>
              </a:solidFill>
            </a:ln>
          </c:spPr>
          <c:marker>
            <c:symbol val="none"/>
          </c:marker>
          <c:dPt>
            <c:idx val="100"/>
            <c:bubble3D val="0"/>
            <c:spPr>
              <a:ln w="25400">
                <a:noFill/>
              </a:ln>
            </c:spPr>
          </c:dPt>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numCache>
            </c:numRef>
          </c:cat>
          <c:val>
            <c:numRef>
              <c:f>'Cardiac Arrest'!$I$12:$I$134</c:f>
              <c:numCache>
                <c:formatCode>0.00</c:formatCode>
                <c:ptCount val="123"/>
                <c:pt idx="88">
                  <c:v>1.7571831579921873</c:v>
                </c:pt>
                <c:pt idx="89">
                  <c:v>1.7571831579921873</c:v>
                </c:pt>
                <c:pt idx="90">
                  <c:v>1.7571831579921873</c:v>
                </c:pt>
                <c:pt idx="91">
                  <c:v>1.7571831579921873</c:v>
                </c:pt>
                <c:pt idx="92">
                  <c:v>1.7571831579921873</c:v>
                </c:pt>
                <c:pt idx="93">
                  <c:v>1.7571831579921873</c:v>
                </c:pt>
                <c:pt idx="94">
                  <c:v>1.7571831579921873</c:v>
                </c:pt>
                <c:pt idx="95">
                  <c:v>1.7571831579921873</c:v>
                </c:pt>
                <c:pt idx="96">
                  <c:v>1.7571831579921873</c:v>
                </c:pt>
                <c:pt idx="97">
                  <c:v>1.7571831579921873</c:v>
                </c:pt>
                <c:pt idx="98">
                  <c:v>1.7571831579921873</c:v>
                </c:pt>
                <c:pt idx="99">
                  <c:v>1.7571831579921873</c:v>
                </c:pt>
                <c:pt idx="100">
                  <c:v>0</c:v>
                </c:pt>
              </c:numCache>
            </c:numRef>
          </c:val>
          <c:smooth val="0"/>
        </c:ser>
        <c:ser>
          <c:idx val="7"/>
          <c:order val="7"/>
          <c:tx>
            <c:strRef>
              <c:f>'Cardiac Arrest'!$J$11</c:f>
              <c:strCache>
                <c:ptCount val="1"/>
                <c:pt idx="0">
                  <c:v>Extended New Median 2</c:v>
                </c:pt>
              </c:strCache>
            </c:strRef>
          </c:tx>
          <c:spPr>
            <a:ln w="25400">
              <a:solidFill>
                <a:srgbClr val="E39F00"/>
              </a:solidFill>
              <a:prstDash val="dash"/>
            </a:ln>
          </c:spPr>
          <c:marker>
            <c:symbol val="none"/>
          </c:marker>
          <c:cat>
            <c:numRef>
              <c:f>'Cardiac Arrest'!$A$12:$A$134</c:f>
              <c:numCache>
                <c:formatCode>mmm\ yy</c:formatCode>
                <c:ptCount val="123"/>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numCache>
            </c:numRef>
          </c:cat>
          <c:val>
            <c:numRef>
              <c:f>'Cardiac Arrest'!$J$12:$J$134</c:f>
              <c:numCache>
                <c:formatCode>0.00</c:formatCode>
                <c:ptCount val="123"/>
                <c:pt idx="99">
                  <c:v>1.7571831579921873</c:v>
                </c:pt>
                <c:pt idx="100">
                  <c:v>1.7571831579921873</c:v>
                </c:pt>
                <c:pt idx="101">
                  <c:v>1.7571831579921873</c:v>
                </c:pt>
                <c:pt idx="102">
                  <c:v>1.7571831579921873</c:v>
                </c:pt>
                <c:pt idx="103">
                  <c:v>1.7571831579921873</c:v>
                </c:pt>
              </c:numCache>
            </c:numRef>
          </c:val>
          <c:smooth val="0"/>
        </c:ser>
        <c:dLbls>
          <c:showLegendKey val="0"/>
          <c:showVal val="0"/>
          <c:showCatName val="0"/>
          <c:showSerName val="0"/>
          <c:showPercent val="0"/>
          <c:showBubbleSize val="0"/>
        </c:dLbls>
        <c:marker val="1"/>
        <c:smooth val="0"/>
        <c:axId val="129595392"/>
        <c:axId val="129498432"/>
      </c:lineChart>
      <c:dateAx>
        <c:axId val="129595392"/>
        <c:scaling>
          <c:orientation val="minMax"/>
        </c:scaling>
        <c:delete val="0"/>
        <c:axPos val="b"/>
        <c:numFmt formatCode="mmm\ 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29498432"/>
        <c:crosses val="autoZero"/>
        <c:auto val="1"/>
        <c:lblOffset val="100"/>
        <c:baseTimeUnit val="months"/>
        <c:majorUnit val="3"/>
        <c:majorTimeUnit val="months"/>
        <c:minorUnit val="1"/>
        <c:minorTimeUnit val="months"/>
      </c:dateAx>
      <c:valAx>
        <c:axId val="1294984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9595392"/>
        <c:crosses val="autoZero"/>
        <c:crossBetween val="between"/>
      </c:valAx>
      <c:spPr>
        <a:noFill/>
        <a:ln w="25400">
          <a:noFill/>
        </a:ln>
      </c:spPr>
    </c:plotArea>
    <c:legend>
      <c:legendPos val="r"/>
      <c:layout>
        <c:manualLayout>
          <c:xMode val="edge"/>
          <c:yMode val="edge"/>
          <c:x val="3.495576834593582E-2"/>
          <c:y val="0.90474468469220004"/>
          <c:w val="0.92535838202143139"/>
          <c:h val="9.525531530780960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32031710322958E-2"/>
          <c:y val="3.7225042301184452E-2"/>
          <c:w val="0.92690082912568261"/>
          <c:h val="0.74089105613069439"/>
        </c:manualLayout>
      </c:layout>
      <c:lineChart>
        <c:grouping val="standard"/>
        <c:varyColors val="0"/>
        <c:ser>
          <c:idx val="0"/>
          <c:order val="0"/>
          <c:tx>
            <c:strRef>
              <c:f>Complaints!$B$13</c:f>
              <c:strCache>
                <c:ptCount val="1"/>
                <c:pt idx="0">
                  <c:v>Stage 1 - 5 Days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dLbls>
          <c:cat>
            <c:numRef>
              <c:f>Complaints!$A$14:$A$61</c:f>
              <c:numCache>
                <c:formatCode>mmm\ yy</c:formatCode>
                <c:ptCount val="48"/>
                <c:pt idx="0">
                  <c:v>42826</c:v>
                </c:pt>
                <c:pt idx="1">
                  <c:v>42856</c:v>
                </c:pt>
                <c:pt idx="2">
                  <c:v>42887</c:v>
                </c:pt>
              </c:numCache>
            </c:numRef>
          </c:cat>
          <c:val>
            <c:numRef>
              <c:f>Complaints!$B$14:$B$61</c:f>
              <c:numCache>
                <c:formatCode>0.0%</c:formatCode>
                <c:ptCount val="48"/>
                <c:pt idx="0">
                  <c:v>0.51700000000000002</c:v>
                </c:pt>
                <c:pt idx="1">
                  <c:v>0.67500000000000004</c:v>
                </c:pt>
                <c:pt idx="2">
                  <c:v>0.61899999999999999</c:v>
                </c:pt>
              </c:numCache>
            </c:numRef>
          </c:val>
          <c:smooth val="0"/>
        </c:ser>
        <c:ser>
          <c:idx val="1"/>
          <c:order val="1"/>
          <c:tx>
            <c:strRef>
              <c:f>Complaints!$C$13</c:f>
              <c:strCache>
                <c:ptCount val="1"/>
                <c:pt idx="0">
                  <c:v>Target</c:v>
                </c:pt>
              </c:strCache>
            </c:strRef>
          </c:tx>
          <c:spPr>
            <a:ln w="25400">
              <a:solidFill>
                <a:srgbClr val="FF0000"/>
              </a:solidFill>
              <a:prstDash val="dash"/>
            </a:ln>
          </c:spPr>
          <c:marker>
            <c:symbol val="none"/>
          </c:marker>
          <c:cat>
            <c:numRef>
              <c:f>Complaints!$A$14:$A$61</c:f>
              <c:numCache>
                <c:formatCode>mmm\ yy</c:formatCode>
                <c:ptCount val="48"/>
                <c:pt idx="0">
                  <c:v>42826</c:v>
                </c:pt>
                <c:pt idx="1">
                  <c:v>42856</c:v>
                </c:pt>
                <c:pt idx="2">
                  <c:v>42887</c:v>
                </c:pt>
              </c:numCache>
            </c:numRef>
          </c:cat>
          <c:val>
            <c:numRef>
              <c:f>Complaints!$C$14:$C$61</c:f>
              <c:numCache>
                <c:formatCode>0.0%</c:formatCode>
                <c:ptCount val="48"/>
              </c:numCache>
            </c:numRef>
          </c:val>
          <c:smooth val="0"/>
        </c:ser>
        <c:dLbls>
          <c:showLegendKey val="0"/>
          <c:showVal val="0"/>
          <c:showCatName val="0"/>
          <c:showSerName val="0"/>
          <c:showPercent val="0"/>
          <c:showBubbleSize val="0"/>
        </c:dLbls>
        <c:marker val="1"/>
        <c:smooth val="0"/>
        <c:axId val="129513472"/>
        <c:axId val="129885888"/>
      </c:lineChart>
      <c:dateAx>
        <c:axId val="12951347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885888"/>
        <c:crosses val="autoZero"/>
        <c:auto val="1"/>
        <c:lblOffset val="100"/>
        <c:baseTimeUnit val="months"/>
      </c:dateAx>
      <c:valAx>
        <c:axId val="129885888"/>
        <c:scaling>
          <c:orientation val="minMax"/>
          <c:max val="1"/>
          <c:min val="0"/>
        </c:scaling>
        <c:delete val="0"/>
        <c:axPos val="l"/>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9513472"/>
        <c:crosses val="autoZero"/>
        <c:crossBetween val="between"/>
      </c:valAx>
    </c:plotArea>
    <c:legend>
      <c:legendPos val="r"/>
      <c:layout>
        <c:manualLayout>
          <c:xMode val="edge"/>
          <c:yMode val="edge"/>
          <c:x val="0.29108485474597268"/>
          <c:y val="0.91624352511491558"/>
          <c:w val="0.45112779866132979"/>
          <c:h val="6.0913774667055942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094431744420118E-2"/>
          <c:y val="3.6943744752309292E-2"/>
          <c:w val="0.93014116783789114"/>
          <c:h val="0.75180216049382764"/>
        </c:manualLayout>
      </c:layout>
      <c:lineChart>
        <c:grouping val="standard"/>
        <c:varyColors val="0"/>
        <c:ser>
          <c:idx val="0"/>
          <c:order val="0"/>
          <c:tx>
            <c:strRef>
              <c:f>Complaints!$D$13</c:f>
              <c:strCache>
                <c:ptCount val="1"/>
                <c:pt idx="0">
                  <c:v>Stage 2 - 20 Days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dLbls>
          <c:cat>
            <c:numRef>
              <c:f>Complaints!$A$14:$A$61</c:f>
              <c:numCache>
                <c:formatCode>mmm\ yy</c:formatCode>
                <c:ptCount val="48"/>
                <c:pt idx="0">
                  <c:v>42826</c:v>
                </c:pt>
                <c:pt idx="1">
                  <c:v>42856</c:v>
                </c:pt>
                <c:pt idx="2">
                  <c:v>42887</c:v>
                </c:pt>
              </c:numCache>
            </c:numRef>
          </c:cat>
          <c:val>
            <c:numRef>
              <c:f>Complaints!$D$14:$D$61</c:f>
              <c:numCache>
                <c:formatCode>0.0%</c:formatCode>
                <c:ptCount val="48"/>
                <c:pt idx="0">
                  <c:v>0.45200000000000001</c:v>
                </c:pt>
                <c:pt idx="1">
                  <c:v>0.626</c:v>
                </c:pt>
                <c:pt idx="2">
                  <c:v>0.69399999999999995</c:v>
                </c:pt>
              </c:numCache>
            </c:numRef>
          </c:val>
          <c:smooth val="0"/>
        </c:ser>
        <c:ser>
          <c:idx val="1"/>
          <c:order val="1"/>
          <c:tx>
            <c:strRef>
              <c:f>Complaints!$E$13</c:f>
              <c:strCache>
                <c:ptCount val="1"/>
                <c:pt idx="0">
                  <c:v>Target</c:v>
                </c:pt>
              </c:strCache>
            </c:strRef>
          </c:tx>
          <c:spPr>
            <a:ln w="25400">
              <a:solidFill>
                <a:srgbClr val="FF0000"/>
              </a:solidFill>
              <a:prstDash val="dash"/>
            </a:ln>
          </c:spPr>
          <c:marker>
            <c:symbol val="none"/>
          </c:marker>
          <c:cat>
            <c:numRef>
              <c:f>Complaints!$A$14:$A$61</c:f>
              <c:numCache>
                <c:formatCode>mmm\ yy</c:formatCode>
                <c:ptCount val="48"/>
                <c:pt idx="0">
                  <c:v>42826</c:v>
                </c:pt>
                <c:pt idx="1">
                  <c:v>42856</c:v>
                </c:pt>
                <c:pt idx="2">
                  <c:v>42887</c:v>
                </c:pt>
              </c:numCache>
            </c:numRef>
          </c:cat>
          <c:val>
            <c:numRef>
              <c:f>Complaints!$E$14:$E$61</c:f>
              <c:numCache>
                <c:formatCode>0.0%</c:formatCode>
                <c:ptCount val="48"/>
              </c:numCache>
            </c:numRef>
          </c:val>
          <c:smooth val="0"/>
        </c:ser>
        <c:dLbls>
          <c:showLegendKey val="0"/>
          <c:showVal val="0"/>
          <c:showCatName val="0"/>
          <c:showSerName val="0"/>
          <c:showPercent val="0"/>
          <c:showBubbleSize val="0"/>
        </c:dLbls>
        <c:marker val="1"/>
        <c:smooth val="0"/>
        <c:axId val="129515008"/>
        <c:axId val="129888192"/>
      </c:lineChart>
      <c:dateAx>
        <c:axId val="12951500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888192"/>
        <c:crosses val="autoZero"/>
        <c:auto val="1"/>
        <c:lblOffset val="100"/>
        <c:baseTimeUnit val="months"/>
      </c:dateAx>
      <c:valAx>
        <c:axId val="129888192"/>
        <c:scaling>
          <c:orientation val="minMax"/>
          <c:max val="1"/>
          <c:min val="0"/>
        </c:scaling>
        <c:delete val="0"/>
        <c:axPos val="l"/>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9515008"/>
        <c:crosses val="autoZero"/>
        <c:crossBetween val="between"/>
      </c:valAx>
    </c:plotArea>
    <c:legend>
      <c:legendPos val="r"/>
      <c:layout>
        <c:manualLayout>
          <c:xMode val="edge"/>
          <c:yMode val="edge"/>
          <c:x val="0.30290010330848305"/>
          <c:y val="0.92079628935271951"/>
          <c:w val="0.43716431256457011"/>
          <c:h val="6.045327667374947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23010416889085E-2"/>
          <c:y val="4.0618805002315878E-2"/>
          <c:w val="0.92580371309822862"/>
          <c:h val="0.73800506520658449"/>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Pt>
            <c:idx val="9"/>
            <c:bubble3D val="0"/>
          </c:dPt>
          <c:dPt>
            <c:idx val="10"/>
            <c:bubble3D val="0"/>
          </c:dPt>
          <c:dPt>
            <c:idx val="11"/>
            <c:bubble3D val="0"/>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numCache>
            </c:numRef>
          </c:val>
          <c:smooth val="0"/>
        </c:ser>
        <c:ser>
          <c:idx val="0"/>
          <c:order val="2"/>
          <c:tx>
            <c:strRef>
              <c:f>'Delayed Discharges'!$A$139</c:f>
              <c:strCache>
                <c:ptCount val="1"/>
                <c:pt idx="0">
                  <c:v>&gt;3 days (excl. Code 9s &amp; 100s) - post-definition change - Total incl. Other Local Authority Areas - City of Edinburgh</c:v>
                </c:pt>
              </c:strCache>
            </c:strRef>
          </c:tx>
          <c:spPr>
            <a:ln w="25400">
              <a:solidFill>
                <a:srgbClr val="0070C0"/>
              </a:solidFill>
              <a:prstDash val="sysDash"/>
            </a:ln>
          </c:spPr>
          <c:marker>
            <c:spPr>
              <a:solidFill>
                <a:srgbClr val="0070C0"/>
              </a:solidFill>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Discharges'!$H$139:$AW$139</c:f>
              <c:numCache>
                <c:formatCode>0</c:formatCode>
                <c:ptCount val="42"/>
                <c:pt idx="9">
                  <c:v>153</c:v>
                </c:pt>
                <c:pt idx="10">
                  <c:v>144</c:v>
                </c:pt>
                <c:pt idx="11">
                  <c:v>155</c:v>
                </c:pt>
                <c:pt idx="12">
                  <c:v>168</c:v>
                </c:pt>
                <c:pt idx="13">
                  <c:v>148</c:v>
                </c:pt>
                <c:pt idx="14">
                  <c:v>170</c:v>
                </c:pt>
                <c:pt idx="15">
                  <c:v>188</c:v>
                </c:pt>
                <c:pt idx="16">
                  <c:v>171</c:v>
                </c:pt>
                <c:pt idx="17">
                  <c:v>162</c:v>
                </c:pt>
                <c:pt idx="18">
                  <c:v>140</c:v>
                </c:pt>
                <c:pt idx="19">
                  <c:v>132</c:v>
                </c:pt>
                <c:pt idx="20">
                  <c:v>152</c:v>
                </c:pt>
                <c:pt idx="21">
                  <c:v>129</c:v>
                </c:pt>
                <c:pt idx="22">
                  <c:v>141</c:v>
                </c:pt>
              </c:numCache>
            </c:numRef>
          </c:val>
          <c:smooth val="0"/>
        </c:ser>
        <c:dLbls>
          <c:showLegendKey val="0"/>
          <c:showVal val="0"/>
          <c:showCatName val="0"/>
          <c:showSerName val="0"/>
          <c:showPercent val="0"/>
          <c:showBubbleSize val="0"/>
        </c:dLbls>
        <c:marker val="1"/>
        <c:smooth val="0"/>
        <c:axId val="130654208"/>
        <c:axId val="129890496"/>
      </c:lineChart>
      <c:dateAx>
        <c:axId val="130654208"/>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890496"/>
        <c:crosses val="autoZero"/>
        <c:auto val="1"/>
        <c:lblOffset val="100"/>
        <c:baseTimeUnit val="months"/>
      </c:dateAx>
      <c:valAx>
        <c:axId val="129890496"/>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0654208"/>
        <c:crosses val="autoZero"/>
        <c:crossBetween val="between"/>
      </c:valAx>
    </c:plotArea>
    <c:legend>
      <c:legendPos val="r"/>
      <c:layout>
        <c:manualLayout>
          <c:xMode val="edge"/>
          <c:yMode val="edge"/>
          <c:x val="1.4084562472689808E-2"/>
          <c:y val="0.89690733102806597"/>
          <c:w val="0.97074755401991464"/>
          <c:h val="8.505159077337476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309432304714113E-2"/>
          <c:y val="5.1680945369303045E-2"/>
          <c:w val="0.92580371309822862"/>
          <c:h val="0.7211245990084576"/>
        </c:manualLayout>
      </c:layout>
      <c:lineChart>
        <c:grouping val="standard"/>
        <c:varyColors val="0"/>
        <c:ser>
          <c:idx val="0"/>
          <c:order val="0"/>
          <c:tx>
            <c:strRef>
              <c:f>'Delayed Discharges'!$A$136</c:f>
              <c:strCache>
                <c:ptCount val="1"/>
                <c:pt idx="0">
                  <c:v>Total Delayed Discharges (incl. Code 9s, excl. Code 100s)</c:v>
                </c:pt>
              </c:strCache>
            </c:strRef>
          </c:tx>
          <c:spPr>
            <a:ln w="19050">
              <a:solidFill>
                <a:srgbClr val="002060"/>
              </a:solidFill>
            </a:ln>
          </c:spPr>
          <c:marker>
            <c:symbol val="none"/>
          </c:marker>
          <c:dLbls>
            <c:spPr>
              <a:noFill/>
              <a:ln w="25400">
                <a:noFill/>
              </a:ln>
            </c:sp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Discharges'!$H$136:$AW$136</c:f>
              <c:numCache>
                <c:formatCode>0</c:formatCode>
                <c:ptCount val="42"/>
                <c:pt idx="0">
                  <c:v>281</c:v>
                </c:pt>
                <c:pt idx="1">
                  <c:v>275</c:v>
                </c:pt>
                <c:pt idx="2">
                  <c:v>269</c:v>
                </c:pt>
                <c:pt idx="3">
                  <c:v>260</c:v>
                </c:pt>
                <c:pt idx="4">
                  <c:v>251</c:v>
                </c:pt>
                <c:pt idx="5">
                  <c:v>238</c:v>
                </c:pt>
                <c:pt idx="6">
                  <c:v>220</c:v>
                </c:pt>
                <c:pt idx="7">
                  <c:v>227</c:v>
                </c:pt>
                <c:pt idx="8">
                  <c:v>262</c:v>
                </c:pt>
                <c:pt idx="9">
                  <c:v>308</c:v>
                </c:pt>
                <c:pt idx="10">
                  <c:v>323</c:v>
                </c:pt>
                <c:pt idx="11">
                  <c:v>335</c:v>
                </c:pt>
                <c:pt idx="12">
                  <c:v>326</c:v>
                </c:pt>
                <c:pt idx="13">
                  <c:v>287</c:v>
                </c:pt>
                <c:pt idx="14">
                  <c:v>299</c:v>
                </c:pt>
                <c:pt idx="15">
                  <c:v>336</c:v>
                </c:pt>
                <c:pt idx="16">
                  <c:v>317</c:v>
                </c:pt>
                <c:pt idx="17">
                  <c:v>281</c:v>
                </c:pt>
                <c:pt idx="18">
                  <c:v>326</c:v>
                </c:pt>
                <c:pt idx="19">
                  <c:v>287</c:v>
                </c:pt>
                <c:pt idx="20">
                  <c:v>274</c:v>
                </c:pt>
                <c:pt idx="21">
                  <c:v>245</c:v>
                </c:pt>
                <c:pt idx="22">
                  <c:v>259</c:v>
                </c:pt>
              </c:numCache>
            </c:numRef>
          </c:val>
          <c:smooth val="0"/>
        </c:ser>
        <c:ser>
          <c:idx val="1"/>
          <c:order val="1"/>
          <c:tx>
            <c:strRef>
              <c:f>'Delayed Discharges'!$A$142</c:f>
              <c:strCache>
                <c:ptCount val="1"/>
                <c:pt idx="0">
                  <c:v>&gt;3 days (excl. Code 9s &amp; 100s) - pre-definition change - Total incl. Other Local Authority Areas - NHS Lothian</c:v>
                </c:pt>
              </c:strCache>
            </c:strRef>
          </c:tx>
          <c:spPr>
            <a:ln w="19050">
              <a:solidFill>
                <a:srgbClr val="00A2F2"/>
              </a:solidFill>
            </a:ln>
          </c:spPr>
          <c:marker>
            <c:symbol val="none"/>
          </c:marker>
          <c:dLbls>
            <c:spPr>
              <a:noFill/>
              <a:ln w="25400">
                <a:noFill/>
              </a:ln>
            </c:sp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Discharges'!$H$142:$Y$142</c:f>
              <c:numCache>
                <c:formatCode>0</c:formatCode>
                <c:ptCount val="18"/>
                <c:pt idx="0">
                  <c:v>169</c:v>
                </c:pt>
                <c:pt idx="1">
                  <c:v>181</c:v>
                </c:pt>
                <c:pt idx="2">
                  <c:v>167</c:v>
                </c:pt>
                <c:pt idx="3">
                  <c:v>131</c:v>
                </c:pt>
                <c:pt idx="4">
                  <c:v>147</c:v>
                </c:pt>
                <c:pt idx="5">
                  <c:v>124</c:v>
                </c:pt>
                <c:pt idx="6">
                  <c:v>82</c:v>
                </c:pt>
                <c:pt idx="7">
                  <c:v>113</c:v>
                </c:pt>
                <c:pt idx="8">
                  <c:v>147</c:v>
                </c:pt>
              </c:numCache>
            </c:numRef>
          </c:val>
          <c:smooth val="0"/>
        </c:ser>
        <c:ser>
          <c:idx val="2"/>
          <c:order val="2"/>
          <c:tx>
            <c:strRef>
              <c:f>'Delayed Discharges'!$A$137</c:f>
              <c:strCache>
                <c:ptCount val="1"/>
                <c:pt idx="0">
                  <c:v>&gt;3 days (excl. Code 9s &amp; 100s) - post-definition change - Total incl. Other Local Authority Areas - NHS Lothian</c:v>
                </c:pt>
              </c:strCache>
            </c:strRef>
          </c:tx>
          <c:spPr>
            <a:ln w="19050">
              <a:solidFill>
                <a:srgbClr val="0070C0"/>
              </a:solidFill>
            </a:ln>
          </c:spPr>
          <c:marker>
            <c:symbol val="none"/>
          </c:marker>
          <c:dLbls>
            <c:dLbl>
              <c:idx val="15"/>
              <c:delete val="1"/>
            </c:dLbl>
            <c:dLbl>
              <c:idx val="16"/>
              <c:delete val="1"/>
            </c:dLbl>
            <c:dLbl>
              <c:idx val="17"/>
              <c:delete val="1"/>
            </c:dLbl>
            <c:spPr>
              <a:noFill/>
              <a:ln w="25400">
                <a:noFill/>
              </a:ln>
            </c:sp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numCache>
            </c:numRef>
          </c:val>
          <c:smooth val="0"/>
        </c:ser>
        <c:dLbls>
          <c:showLegendKey val="0"/>
          <c:showVal val="0"/>
          <c:showCatName val="0"/>
          <c:showSerName val="0"/>
          <c:showPercent val="0"/>
          <c:showBubbleSize val="0"/>
        </c:dLbls>
        <c:marker val="1"/>
        <c:smooth val="0"/>
        <c:axId val="130656768"/>
        <c:axId val="129688128"/>
      </c:lineChart>
      <c:dateAx>
        <c:axId val="130656768"/>
        <c:scaling>
          <c:orientation val="minMax"/>
        </c:scaling>
        <c:delete val="0"/>
        <c:axPos val="b"/>
        <c:numFmt formatCode="mmm\ yy" sourceLinked="0"/>
        <c:majorTickMark val="none"/>
        <c:minorTickMark val="none"/>
        <c:tickLblPos val="nextTo"/>
        <c:txPr>
          <a:bodyPr rot="-5400000" vert="horz"/>
          <a:lstStyle/>
          <a:p>
            <a:pPr>
              <a:defRPr/>
            </a:pPr>
            <a:endParaRPr lang="en-US"/>
          </a:p>
        </c:txPr>
        <c:crossAx val="129688128"/>
        <c:crosses val="autoZero"/>
        <c:auto val="1"/>
        <c:lblOffset val="100"/>
        <c:baseTimeUnit val="months"/>
      </c:dateAx>
      <c:valAx>
        <c:axId val="129688128"/>
        <c:scaling>
          <c:orientation val="minMax"/>
        </c:scaling>
        <c:delete val="0"/>
        <c:axPos val="l"/>
        <c:numFmt formatCode="0" sourceLinked="1"/>
        <c:majorTickMark val="out"/>
        <c:minorTickMark val="none"/>
        <c:tickLblPos val="nextTo"/>
        <c:txPr>
          <a:bodyPr rot="0" vert="horz"/>
          <a:lstStyle/>
          <a:p>
            <a:pPr>
              <a:defRPr/>
            </a:pPr>
            <a:endParaRPr lang="en-US"/>
          </a:p>
        </c:txPr>
        <c:crossAx val="130656768"/>
        <c:crosses val="autoZero"/>
        <c:crossBetween val="between"/>
      </c:valAx>
    </c:plotArea>
    <c:legend>
      <c:legendPos val="r"/>
      <c:layout>
        <c:manualLayout>
          <c:xMode val="edge"/>
          <c:yMode val="edge"/>
          <c:x val="1.2643629581308187E-2"/>
          <c:y val="0.89387755102040811"/>
          <c:w val="0.97931035750052864"/>
          <c:h val="8.9795918367348349E-2"/>
        </c:manualLayout>
      </c:layout>
      <c:overlay val="0"/>
    </c:legend>
    <c:plotVisOnly val="1"/>
    <c:dispBlanksAs val="gap"/>
    <c:showDLblsOverMax val="0"/>
  </c:chart>
  <c:spPr>
    <a:ln>
      <a:noFill/>
    </a:ln>
  </c:spPr>
  <c:txPr>
    <a:bodyPr/>
    <a:lstStyle/>
    <a:p>
      <a:pPr>
        <a:defRPr sz="800" b="0" i="0" u="none" strike="noStrike" baseline="0">
          <a:solidFill>
            <a:sysClr val="windowText" lastClr="000000"/>
          </a:solidFill>
          <a:latin typeface="Arial" pitchFamily="34" charset="0"/>
          <a:ea typeface="Calibri"/>
          <a:cs typeface="Arial" pitchFamily="34" charset="0"/>
        </a:defRPr>
      </a:pPr>
      <a:endParaRPr lang="en-US"/>
    </a:p>
  </c:txPr>
  <c:printSettings>
    <c:headerFooter/>
    <c:pageMargins b="0.75000000000001377" l="0.70000000000000062" r="0.70000000000000062" t="0.75000000000001377"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71379141625164E-2"/>
          <c:y val="4.1971112637288845E-2"/>
          <c:w val="0.92580371309822862"/>
          <c:h val="0.70137510588954155"/>
        </c:manualLayout>
      </c:layout>
      <c:lineChart>
        <c:grouping val="standard"/>
        <c:varyColors val="0"/>
        <c:ser>
          <c:idx val="0"/>
          <c:order val="0"/>
          <c:tx>
            <c:strRef>
              <c:f>'Delayed Discharges'!$A$46</c:f>
              <c:strCache>
                <c:ptCount val="1"/>
                <c:pt idx="0">
                  <c:v>Total Delayed Discharges (incl. Code 9s, excl. Code 100s)</c:v>
                </c:pt>
              </c:strCache>
            </c:strRef>
          </c:tx>
          <c:spPr>
            <a:ln w="25400"/>
          </c:spPr>
          <c:marker>
            <c:symbol val="circle"/>
            <c:size val="5"/>
            <c:spPr>
              <a:ln w="25400"/>
            </c:spPr>
          </c:marker>
          <c:dPt>
            <c:idx val="0"/>
            <c:marker>
              <c:spPr>
                <a:solidFill>
                  <a:srgbClr val="0070C0"/>
                </a:solidFill>
                <a:ln w="25400"/>
              </c:spPr>
            </c:marker>
            <c:bubble3D val="0"/>
            <c:spPr>
              <a:ln w="25400">
                <a:solidFill>
                  <a:srgbClr val="0070C0"/>
                </a:solidFill>
              </a:ln>
            </c:spPr>
          </c:dPt>
          <c:dPt>
            <c:idx val="1"/>
            <c:marker>
              <c:spPr>
                <a:solidFill>
                  <a:srgbClr val="0070C0"/>
                </a:solidFill>
                <a:ln w="25400"/>
              </c:spPr>
            </c:marker>
            <c:bubble3D val="0"/>
            <c:spPr>
              <a:ln w="25400">
                <a:solidFill>
                  <a:srgbClr val="0070C0"/>
                </a:solidFill>
              </a:ln>
            </c:spPr>
          </c:dPt>
          <c:dPt>
            <c:idx val="2"/>
            <c:marker>
              <c:spPr>
                <a:solidFill>
                  <a:srgbClr val="0070C0"/>
                </a:solidFill>
                <a:ln w="25400"/>
              </c:spPr>
            </c:marker>
            <c:bubble3D val="0"/>
            <c:spPr>
              <a:ln w="25400">
                <a:solidFill>
                  <a:srgbClr val="0070C0"/>
                </a:solidFill>
              </a:ln>
            </c:spPr>
          </c:dPt>
          <c:dPt>
            <c:idx val="3"/>
            <c:marker>
              <c:spPr>
                <a:solidFill>
                  <a:srgbClr val="0070C0"/>
                </a:solidFill>
                <a:ln w="25400"/>
              </c:spPr>
            </c:marker>
            <c:bubble3D val="0"/>
            <c:spPr>
              <a:ln w="25400">
                <a:solidFill>
                  <a:srgbClr val="0070C0"/>
                </a:solidFill>
              </a:ln>
            </c:spPr>
          </c:dPt>
          <c:dPt>
            <c:idx val="4"/>
            <c:marker>
              <c:spPr>
                <a:solidFill>
                  <a:srgbClr val="0070C0"/>
                </a:solidFill>
                <a:ln w="25400"/>
              </c:spPr>
            </c:marker>
            <c:bubble3D val="0"/>
            <c:spPr>
              <a:ln w="25400">
                <a:solidFill>
                  <a:srgbClr val="0070C0"/>
                </a:solidFill>
              </a:ln>
            </c:spPr>
          </c:dPt>
          <c:dPt>
            <c:idx val="5"/>
            <c:marker>
              <c:spPr>
                <a:solidFill>
                  <a:srgbClr val="0070C0"/>
                </a:solidFill>
                <a:ln w="25400"/>
              </c:spPr>
            </c:marker>
            <c:bubble3D val="0"/>
            <c:spPr>
              <a:ln w="25400">
                <a:solidFill>
                  <a:srgbClr val="0070C0"/>
                </a:solidFill>
              </a:ln>
            </c:spPr>
          </c:dPt>
          <c:dPt>
            <c:idx val="6"/>
            <c:marker>
              <c:spPr>
                <a:solidFill>
                  <a:srgbClr val="0070C0"/>
                </a:solidFill>
                <a:ln w="25400"/>
              </c:spPr>
            </c:marker>
            <c:bubble3D val="0"/>
            <c:spPr>
              <a:ln w="25400">
                <a:solidFill>
                  <a:srgbClr val="0070C0"/>
                </a:solidFill>
              </a:ln>
            </c:spPr>
          </c:dPt>
          <c:dPt>
            <c:idx val="7"/>
            <c:marker>
              <c:spPr>
                <a:solidFill>
                  <a:srgbClr val="0070C0"/>
                </a:solidFill>
                <a:ln w="25400"/>
              </c:spPr>
            </c:marker>
            <c:bubble3D val="0"/>
            <c:spPr>
              <a:ln w="25400">
                <a:solidFill>
                  <a:srgbClr val="0070C0"/>
                </a:solidFill>
              </a:ln>
            </c:spPr>
          </c:dPt>
          <c:dPt>
            <c:idx val="8"/>
            <c:marker>
              <c:spPr>
                <a:solidFill>
                  <a:srgbClr val="0070C0"/>
                </a:solidFill>
                <a:ln w="25400"/>
              </c:spPr>
            </c:marker>
            <c:bubble3D val="0"/>
            <c:spPr>
              <a:ln w="25400">
                <a:solidFill>
                  <a:srgbClr val="0070C0"/>
                </a:solidFill>
              </a:ln>
            </c:spPr>
          </c:dPt>
          <c:dPt>
            <c:idx val="9"/>
            <c:marker>
              <c:spPr>
                <a:solidFill>
                  <a:srgbClr val="0070C0"/>
                </a:solidFill>
                <a:ln w="25400"/>
              </c:spPr>
            </c:marker>
            <c:bubble3D val="0"/>
            <c:spPr>
              <a:ln w="25400">
                <a:solidFill>
                  <a:srgbClr val="0070C0"/>
                </a:solidFill>
              </a:ln>
            </c:spPr>
          </c:dPt>
          <c:dPt>
            <c:idx val="10"/>
            <c:marker>
              <c:spPr>
                <a:solidFill>
                  <a:srgbClr val="0070C0"/>
                </a:solidFill>
                <a:ln w="25400"/>
              </c:spPr>
            </c:marker>
            <c:bubble3D val="0"/>
            <c:spPr>
              <a:ln w="25400">
                <a:solidFill>
                  <a:srgbClr val="0070C0"/>
                </a:solidFill>
              </a:ln>
            </c:spPr>
          </c:dPt>
          <c:dPt>
            <c:idx val="11"/>
            <c:marker>
              <c:spPr>
                <a:solidFill>
                  <a:srgbClr val="0070C0"/>
                </a:solidFill>
                <a:ln w="25400"/>
              </c:spPr>
            </c:marker>
            <c:bubble3D val="0"/>
            <c:spPr>
              <a:ln w="25400">
                <a:solidFill>
                  <a:srgbClr val="0070C0"/>
                </a:solidFill>
              </a:ln>
            </c:spPr>
          </c:dPt>
          <c:dPt>
            <c:idx val="12"/>
            <c:marker>
              <c:spPr>
                <a:solidFill>
                  <a:srgbClr val="0070C0"/>
                </a:solidFill>
                <a:ln w="25400"/>
              </c:spPr>
            </c:marker>
            <c:bubble3D val="0"/>
            <c:spPr>
              <a:ln w="25400">
                <a:solidFill>
                  <a:srgbClr val="0070C0"/>
                </a:solidFill>
              </a:ln>
            </c:spPr>
          </c:dPt>
          <c:dPt>
            <c:idx val="13"/>
            <c:marker>
              <c:spPr>
                <a:solidFill>
                  <a:srgbClr val="0070C0"/>
                </a:solidFill>
                <a:ln w="25400"/>
              </c:spPr>
            </c:marker>
            <c:bubble3D val="0"/>
            <c:spPr>
              <a:ln w="25400">
                <a:solidFill>
                  <a:srgbClr val="00B050"/>
                </a:solidFill>
              </a:ln>
            </c:spPr>
          </c:dPt>
          <c:dPt>
            <c:idx val="14"/>
            <c:marker>
              <c:spPr>
                <a:solidFill>
                  <a:srgbClr val="0070C0"/>
                </a:solidFill>
                <a:ln w="25400"/>
              </c:spPr>
            </c:marker>
            <c:bubble3D val="0"/>
            <c:spPr>
              <a:ln w="25400">
                <a:solidFill>
                  <a:srgbClr val="00B050"/>
                </a:solidFill>
              </a:ln>
            </c:spPr>
          </c:dPt>
          <c:dPt>
            <c:idx val="15"/>
            <c:marker>
              <c:spPr>
                <a:solidFill>
                  <a:srgbClr val="0070C0"/>
                </a:solidFill>
                <a:ln w="25400"/>
              </c:spPr>
            </c:marker>
            <c:bubble3D val="0"/>
            <c:spPr>
              <a:ln w="25400">
                <a:solidFill>
                  <a:srgbClr val="00B050"/>
                </a:solidFill>
              </a:ln>
            </c:spPr>
          </c:dPt>
          <c:dPt>
            <c:idx val="16"/>
            <c:marker>
              <c:spPr>
                <a:solidFill>
                  <a:srgbClr val="0070C0"/>
                </a:solidFill>
                <a:ln w="25400"/>
              </c:spPr>
            </c:marker>
            <c:bubble3D val="0"/>
            <c:spPr>
              <a:ln w="25400">
                <a:solidFill>
                  <a:srgbClr val="00B050"/>
                </a:solidFill>
              </a:ln>
            </c:spPr>
          </c:dPt>
          <c:dPt>
            <c:idx val="17"/>
            <c:marker>
              <c:spPr>
                <a:solidFill>
                  <a:srgbClr val="0070C0"/>
                </a:solidFill>
                <a:ln w="25400"/>
              </c:spPr>
            </c:marker>
            <c:bubble3D val="0"/>
            <c:spPr>
              <a:ln w="25400">
                <a:solidFill>
                  <a:srgbClr val="00B050"/>
                </a:solidFill>
              </a:ln>
            </c:spPr>
          </c:dPt>
          <c:dPt>
            <c:idx val="18"/>
            <c:marker>
              <c:spPr>
                <a:solidFill>
                  <a:srgbClr val="0070C0"/>
                </a:solidFill>
                <a:ln w="25400"/>
              </c:spPr>
            </c:marker>
            <c:bubble3D val="0"/>
            <c:spPr>
              <a:ln w="25400">
                <a:solidFill>
                  <a:srgbClr val="00B050"/>
                </a:solidFill>
              </a:ln>
            </c:spPr>
          </c:dPt>
          <c:dPt>
            <c:idx val="19"/>
            <c:marker>
              <c:spPr>
                <a:solidFill>
                  <a:srgbClr val="0070C0"/>
                </a:solidFill>
                <a:ln w="25400"/>
              </c:spPr>
            </c:marker>
            <c:bubble3D val="0"/>
            <c:spPr>
              <a:ln w="25400">
                <a:solidFill>
                  <a:srgbClr val="00B050"/>
                </a:solidFill>
              </a:ln>
            </c:spPr>
          </c:dPt>
          <c:dPt>
            <c:idx val="20"/>
            <c:marker>
              <c:spPr>
                <a:solidFill>
                  <a:srgbClr val="0070C0"/>
                </a:solidFill>
                <a:ln w="25400"/>
              </c:spPr>
            </c:marker>
            <c:bubble3D val="0"/>
            <c:spPr>
              <a:ln w="25400">
                <a:solidFill>
                  <a:srgbClr val="00B050"/>
                </a:solidFill>
              </a:ln>
            </c:spPr>
          </c:dPt>
          <c:dPt>
            <c:idx val="21"/>
            <c:marker>
              <c:spPr>
                <a:solidFill>
                  <a:srgbClr val="0070C0"/>
                </a:solidFill>
                <a:ln w="25400"/>
              </c:spPr>
            </c:marker>
            <c:bubble3D val="0"/>
            <c:spPr>
              <a:ln w="25400">
                <a:solidFill>
                  <a:srgbClr val="0070C0"/>
                </a:solidFill>
              </a:ln>
            </c:spPr>
          </c:dPt>
          <c:dPt>
            <c:idx val="22"/>
            <c:marker>
              <c:spPr>
                <a:solidFill>
                  <a:srgbClr val="0070C0"/>
                </a:solidFill>
                <a:ln w="25400"/>
              </c:spPr>
            </c:marker>
            <c:bubble3D val="0"/>
            <c:spPr>
              <a:ln w="25400">
                <a:solidFill>
                  <a:srgbClr val="0070C0"/>
                </a:solidFill>
              </a:ln>
            </c:spPr>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Discharges'!$B$46:$AQ$46</c:f>
              <c:numCache>
                <c:formatCode>0</c:formatCode>
                <c:ptCount val="42"/>
                <c:pt idx="0">
                  <c:v>281</c:v>
                </c:pt>
                <c:pt idx="1">
                  <c:v>275</c:v>
                </c:pt>
                <c:pt idx="2">
                  <c:v>269</c:v>
                </c:pt>
                <c:pt idx="3">
                  <c:v>260</c:v>
                </c:pt>
                <c:pt idx="4">
                  <c:v>251</c:v>
                </c:pt>
                <c:pt idx="5">
                  <c:v>238</c:v>
                </c:pt>
                <c:pt idx="6">
                  <c:v>220</c:v>
                </c:pt>
                <c:pt idx="7">
                  <c:v>227</c:v>
                </c:pt>
                <c:pt idx="8">
                  <c:v>262</c:v>
                </c:pt>
                <c:pt idx="9">
                  <c:v>308</c:v>
                </c:pt>
                <c:pt idx="10">
                  <c:v>323</c:v>
                </c:pt>
                <c:pt idx="11">
                  <c:v>335</c:v>
                </c:pt>
                <c:pt idx="12">
                  <c:v>326</c:v>
                </c:pt>
                <c:pt idx="13">
                  <c:v>287</c:v>
                </c:pt>
                <c:pt idx="14">
                  <c:v>299</c:v>
                </c:pt>
                <c:pt idx="15">
                  <c:v>336</c:v>
                </c:pt>
                <c:pt idx="16">
                  <c:v>317</c:v>
                </c:pt>
                <c:pt idx="17">
                  <c:v>281</c:v>
                </c:pt>
                <c:pt idx="18">
                  <c:v>326</c:v>
                </c:pt>
                <c:pt idx="19" formatCode="#,##0">
                  <c:v>287</c:v>
                </c:pt>
                <c:pt idx="20" formatCode="#,##0">
                  <c:v>274</c:v>
                </c:pt>
                <c:pt idx="21" formatCode="#,##0">
                  <c:v>245</c:v>
                </c:pt>
                <c:pt idx="22" formatCode="#,##0">
                  <c:v>259</c:v>
                </c:pt>
              </c:numCache>
            </c:numRef>
          </c:val>
          <c:smooth val="0"/>
        </c:ser>
        <c:ser>
          <c:idx val="1"/>
          <c:order val="1"/>
          <c:tx>
            <c:strRef>
              <c:f>'Delayed Discharges'!$A$47</c:f>
              <c:strCache>
                <c:ptCount val="1"/>
                <c:pt idx="0">
                  <c:v>Baseline Median </c:v>
                </c:pt>
              </c:strCache>
            </c:strRef>
          </c:tx>
          <c:spPr>
            <a:ln w="25400">
              <a:solidFill>
                <a:schemeClr val="tx1"/>
              </a:solidFill>
              <a:prstDash val="solid"/>
            </a:ln>
          </c:spPr>
          <c:marker>
            <c:symbol val="none"/>
          </c:marker>
          <c:dPt>
            <c:idx val="12"/>
            <c:bubble3D val="0"/>
            <c:spPr>
              <a:ln w="25400">
                <a:noFill/>
                <a:prstDash val="solid"/>
              </a:ln>
            </c:spPr>
          </c:dPt>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Discharges'!$B$47:$M$47</c:f>
              <c:numCache>
                <c:formatCode>0</c:formatCode>
                <c:ptCount val="12"/>
                <c:pt idx="0">
                  <c:v>265.5</c:v>
                </c:pt>
                <c:pt idx="1">
                  <c:v>265.5</c:v>
                </c:pt>
                <c:pt idx="2">
                  <c:v>265.5</c:v>
                </c:pt>
                <c:pt idx="3">
                  <c:v>265.5</c:v>
                </c:pt>
                <c:pt idx="4">
                  <c:v>265.5</c:v>
                </c:pt>
                <c:pt idx="5">
                  <c:v>265.5</c:v>
                </c:pt>
                <c:pt idx="6">
                  <c:v>265.5</c:v>
                </c:pt>
                <c:pt idx="7">
                  <c:v>265.5</c:v>
                </c:pt>
                <c:pt idx="8">
                  <c:v>265.5</c:v>
                </c:pt>
                <c:pt idx="9">
                  <c:v>265.5</c:v>
                </c:pt>
                <c:pt idx="10">
                  <c:v>265.5</c:v>
                </c:pt>
                <c:pt idx="11">
                  <c:v>265.5</c:v>
                </c:pt>
              </c:numCache>
            </c:numRef>
          </c:val>
          <c:smooth val="0"/>
        </c:ser>
        <c:ser>
          <c:idx val="3"/>
          <c:order val="2"/>
          <c:tx>
            <c:strRef>
              <c:f>'Delayed Discharges'!$A$48</c:f>
              <c:strCache>
                <c:ptCount val="1"/>
                <c:pt idx="0">
                  <c:v>Extended Baseline Median</c:v>
                </c:pt>
              </c:strCache>
            </c:strRef>
          </c:tx>
          <c:spPr>
            <a:ln w="25400">
              <a:solidFill>
                <a:schemeClr val="tx1"/>
              </a:solidFill>
              <a:prstDash val="dash"/>
            </a:ln>
          </c:spPr>
          <c:marker>
            <c:symbol val="none"/>
          </c:marker>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Discharges'!$B$48:$N$48</c:f>
              <c:numCache>
                <c:formatCode>0</c:formatCode>
                <c:ptCount val="13"/>
                <c:pt idx="11">
                  <c:v>265.5</c:v>
                </c:pt>
                <c:pt idx="12">
                  <c:v>265.5</c:v>
                </c:pt>
              </c:numCache>
            </c:numRef>
          </c:val>
          <c:smooth val="0"/>
        </c:ser>
        <c:ser>
          <c:idx val="2"/>
          <c:order val="3"/>
          <c:tx>
            <c:strRef>
              <c:f>'Delayed Discharges'!$A$49</c:f>
              <c:strCache>
                <c:ptCount val="1"/>
                <c:pt idx="0">
                  <c:v>Temporary New Median</c:v>
                </c:pt>
              </c:strCache>
            </c:strRef>
          </c:tx>
          <c:spPr>
            <a:ln w="25400">
              <a:solidFill>
                <a:srgbClr val="E69F00"/>
              </a:solidFill>
              <a:prstDash val="solid"/>
            </a:ln>
          </c:spPr>
          <c:marker>
            <c:symbol val="none"/>
          </c:marker>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Discharges'!$B$49:$AQ$49</c:f>
              <c:numCache>
                <c:formatCode>0</c:formatCode>
                <c:ptCount val="42"/>
                <c:pt idx="12">
                  <c:v>287</c:v>
                </c:pt>
                <c:pt idx="13">
                  <c:v>287</c:v>
                </c:pt>
                <c:pt idx="14">
                  <c:v>287</c:v>
                </c:pt>
                <c:pt idx="15">
                  <c:v>287</c:v>
                </c:pt>
                <c:pt idx="16">
                  <c:v>287</c:v>
                </c:pt>
                <c:pt idx="17">
                  <c:v>287</c:v>
                </c:pt>
                <c:pt idx="18">
                  <c:v>287</c:v>
                </c:pt>
                <c:pt idx="19">
                  <c:v>287</c:v>
                </c:pt>
                <c:pt idx="20">
                  <c:v>287</c:v>
                </c:pt>
                <c:pt idx="21">
                  <c:v>287</c:v>
                </c:pt>
                <c:pt idx="22">
                  <c:v>287</c:v>
                </c:pt>
              </c:numCache>
            </c:numRef>
          </c:val>
          <c:smooth val="0"/>
        </c:ser>
        <c:dLbls>
          <c:showLegendKey val="0"/>
          <c:showVal val="0"/>
          <c:showCatName val="0"/>
          <c:showSerName val="0"/>
          <c:showPercent val="0"/>
          <c:showBubbleSize val="0"/>
        </c:dLbls>
        <c:marker val="1"/>
        <c:smooth val="0"/>
        <c:axId val="130657280"/>
        <c:axId val="129690432"/>
      </c:lineChart>
      <c:dateAx>
        <c:axId val="130657280"/>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690432"/>
        <c:crosses val="autoZero"/>
        <c:auto val="1"/>
        <c:lblOffset val="100"/>
        <c:baseTimeUnit val="months"/>
      </c:dateAx>
      <c:valAx>
        <c:axId val="129690432"/>
        <c:scaling>
          <c:orientation val="minMax"/>
          <c:min val="2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0657280"/>
        <c:crosses val="autoZero"/>
        <c:crossBetween val="between"/>
      </c:valAx>
    </c:plotArea>
    <c:legend>
      <c:legendPos val="r"/>
      <c:layout>
        <c:manualLayout>
          <c:xMode val="edge"/>
          <c:yMode val="edge"/>
          <c:x val="1.3733371531425165E-2"/>
          <c:y val="0.85681150967240205"/>
          <c:w val="0.97242329273339156"/>
          <c:h val="0.14318849032759795"/>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23010416889085E-2"/>
          <c:y val="4.0618805002315878E-2"/>
          <c:w val="0.92580371309822862"/>
          <c:h val="0.73800506520658482"/>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Pt>
            <c:idx val="9"/>
            <c:bubble3D val="0"/>
          </c:dPt>
          <c:dPt>
            <c:idx val="10"/>
            <c:bubble3D val="0"/>
          </c:dPt>
          <c:dPt>
            <c:idx val="11"/>
            <c:bubble3D val="0"/>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numCache>
            </c:numRef>
          </c:val>
          <c:smooth val="0"/>
        </c:ser>
        <c:ser>
          <c:idx val="0"/>
          <c:order val="2"/>
          <c:tx>
            <c:strRef>
              <c:f>'Delayed Discharges'!$A$138</c:f>
              <c:strCache>
                <c:ptCount val="1"/>
                <c:pt idx="0">
                  <c:v>&gt;3 days (excl. Code 9s &amp; 100s) - post-definition change - Total incl. Other Local Authority Areas - East Lothian</c:v>
                </c:pt>
              </c:strCache>
            </c:strRef>
          </c:tx>
          <c:spPr>
            <a:ln w="25400">
              <a:solidFill>
                <a:srgbClr val="0070C0"/>
              </a:solidFill>
              <a:prstDash val="sysDash"/>
            </a:ln>
          </c:spPr>
          <c:marker>
            <c:spPr>
              <a:solidFill>
                <a:srgbClr val="0070C0"/>
              </a:solidFill>
            </c:spPr>
          </c:marker>
          <c:dLbls>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Discharges'!$H$138:$AW$138</c:f>
              <c:numCache>
                <c:formatCode>0</c:formatCode>
                <c:ptCount val="42"/>
                <c:pt idx="9">
                  <c:v>35</c:v>
                </c:pt>
                <c:pt idx="10">
                  <c:v>47</c:v>
                </c:pt>
                <c:pt idx="11">
                  <c:v>44</c:v>
                </c:pt>
                <c:pt idx="12">
                  <c:v>31</c:v>
                </c:pt>
                <c:pt idx="13">
                  <c:v>21</c:v>
                </c:pt>
                <c:pt idx="14">
                  <c:v>35</c:v>
                </c:pt>
                <c:pt idx="15">
                  <c:v>28</c:v>
                </c:pt>
                <c:pt idx="16">
                  <c:v>24</c:v>
                </c:pt>
                <c:pt idx="17">
                  <c:v>15</c:v>
                </c:pt>
                <c:pt idx="18">
                  <c:v>17</c:v>
                </c:pt>
                <c:pt idx="19">
                  <c:v>8</c:v>
                </c:pt>
                <c:pt idx="20">
                  <c:v>11</c:v>
                </c:pt>
                <c:pt idx="21">
                  <c:v>12</c:v>
                </c:pt>
                <c:pt idx="22">
                  <c:v>17</c:v>
                </c:pt>
              </c:numCache>
            </c:numRef>
          </c:val>
          <c:smooth val="0"/>
        </c:ser>
        <c:dLbls>
          <c:showLegendKey val="0"/>
          <c:showVal val="0"/>
          <c:showCatName val="0"/>
          <c:showSerName val="0"/>
          <c:showPercent val="0"/>
          <c:showBubbleSize val="0"/>
        </c:dLbls>
        <c:marker val="1"/>
        <c:smooth val="0"/>
        <c:axId val="130303488"/>
        <c:axId val="129692736"/>
      </c:lineChart>
      <c:dateAx>
        <c:axId val="130303488"/>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692736"/>
        <c:crosses val="autoZero"/>
        <c:auto val="1"/>
        <c:lblOffset val="100"/>
        <c:baseTimeUnit val="months"/>
      </c:dateAx>
      <c:valAx>
        <c:axId val="129692736"/>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0303488"/>
        <c:crosses val="autoZero"/>
        <c:crossBetween val="between"/>
      </c:valAx>
    </c:plotArea>
    <c:legend>
      <c:legendPos val="r"/>
      <c:layout>
        <c:manualLayout>
          <c:xMode val="edge"/>
          <c:yMode val="edge"/>
          <c:x val="2.8230241892310392E-2"/>
          <c:y val="0.89876543209877979"/>
          <c:w val="0.92616725555391566"/>
          <c:h val="9.382716049382802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937556825004824E-2"/>
          <c:y val="4.0618711723534574E-2"/>
          <c:w val="0.91999393866616364"/>
          <c:h val="0.72411608705161856"/>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Pt>
            <c:idx val="9"/>
            <c:bubble3D val="0"/>
          </c:dPt>
          <c:dPt>
            <c:idx val="10"/>
            <c:bubble3D val="0"/>
          </c:dPt>
          <c:dPt>
            <c:idx val="11"/>
            <c:bubble3D val="0"/>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numCache>
            </c:numRef>
          </c:val>
          <c:smooth val="0"/>
        </c:ser>
        <c:ser>
          <c:idx val="0"/>
          <c:order val="2"/>
          <c:tx>
            <c:strRef>
              <c:f>'Delayed Discharges'!$A$140</c:f>
              <c:strCache>
                <c:ptCount val="1"/>
                <c:pt idx="0">
                  <c:v>&gt;3 days (excl. Code 9s &amp; 100s) - post-definition change - Total incl. Other Local Authority Areas - Midlothian</c:v>
                </c:pt>
              </c:strCache>
            </c:strRef>
          </c:tx>
          <c:spPr>
            <a:ln w="25400">
              <a:solidFill>
                <a:srgbClr val="0070C0"/>
              </a:solidFill>
              <a:prstDash val="sysDash"/>
            </a:ln>
          </c:spPr>
          <c:marker>
            <c:spPr>
              <a:solidFill>
                <a:srgbClr val="0070C0"/>
              </a:solidFill>
            </c:spPr>
          </c:marker>
          <c:dLbls>
            <c:dLbl>
              <c:idx val="37"/>
              <c:delete val="1"/>
            </c:dLbl>
            <c:dLbl>
              <c:idx val="38"/>
              <c:delete val="1"/>
            </c:dLbl>
            <c:dLbl>
              <c:idx val="39"/>
              <c:delete val="1"/>
            </c:dLbl>
            <c:dLbl>
              <c:idx val="40"/>
              <c:delete val="1"/>
            </c:dLbl>
            <c:dLbl>
              <c:idx val="41"/>
              <c:delete val="1"/>
            </c:dLbl>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Discharges'!$H$140:$AW$140</c:f>
              <c:numCache>
                <c:formatCode>0</c:formatCode>
                <c:ptCount val="42"/>
                <c:pt idx="9">
                  <c:v>15</c:v>
                </c:pt>
                <c:pt idx="10">
                  <c:v>13</c:v>
                </c:pt>
                <c:pt idx="11">
                  <c:v>25</c:v>
                </c:pt>
                <c:pt idx="12">
                  <c:v>12</c:v>
                </c:pt>
                <c:pt idx="13">
                  <c:v>13</c:v>
                </c:pt>
                <c:pt idx="14">
                  <c:v>17</c:v>
                </c:pt>
                <c:pt idx="15">
                  <c:v>9</c:v>
                </c:pt>
                <c:pt idx="16">
                  <c:v>10</c:v>
                </c:pt>
                <c:pt idx="17">
                  <c:v>20</c:v>
                </c:pt>
                <c:pt idx="18">
                  <c:v>22</c:v>
                </c:pt>
                <c:pt idx="19">
                  <c:v>29</c:v>
                </c:pt>
                <c:pt idx="20">
                  <c:v>24</c:v>
                </c:pt>
                <c:pt idx="21">
                  <c:v>24</c:v>
                </c:pt>
                <c:pt idx="22">
                  <c:v>17</c:v>
                </c:pt>
              </c:numCache>
            </c:numRef>
          </c:val>
          <c:smooth val="0"/>
        </c:ser>
        <c:dLbls>
          <c:showLegendKey val="0"/>
          <c:showVal val="0"/>
          <c:showCatName val="0"/>
          <c:showSerName val="0"/>
          <c:showPercent val="0"/>
          <c:showBubbleSize val="0"/>
        </c:dLbls>
        <c:marker val="1"/>
        <c:smooth val="0"/>
        <c:axId val="130304512"/>
        <c:axId val="129695040"/>
      </c:lineChart>
      <c:dateAx>
        <c:axId val="130304512"/>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695040"/>
        <c:crosses val="autoZero"/>
        <c:auto val="1"/>
        <c:lblOffset val="100"/>
        <c:baseTimeUnit val="months"/>
      </c:dateAx>
      <c:valAx>
        <c:axId val="129695040"/>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0304512"/>
        <c:crosses val="autoZero"/>
        <c:crossBetween val="between"/>
      </c:valAx>
    </c:plotArea>
    <c:legend>
      <c:legendPos val="r"/>
      <c:layout>
        <c:manualLayout>
          <c:xMode val="edge"/>
          <c:yMode val="edge"/>
          <c:x val="1.3071850031976445E-2"/>
          <c:y val="0.87239595050620222"/>
          <c:w val="0.96187367428024162"/>
          <c:h val="0.11979169270507529"/>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424290198049114E-2"/>
          <c:y val="4.0618805002315878E-2"/>
          <c:w val="0.91260240984728358"/>
          <c:h val="0.72761550260762864"/>
        </c:manualLayout>
      </c:layout>
      <c:lineChart>
        <c:grouping val="standard"/>
        <c:varyColors val="0"/>
        <c:ser>
          <c:idx val="1"/>
          <c:order val="0"/>
          <c:tx>
            <c:strRef>
              <c:f>'Delayed Discharges'!$A$142</c:f>
              <c:strCache>
                <c:ptCount val="1"/>
                <c:pt idx="0">
                  <c:v>&gt;3 days (excl. Code 9s &amp; 100s) - pre-definition change - Total incl. Other Local Authority Areas - NHS Lothian</c:v>
                </c:pt>
              </c:strCache>
            </c:strRef>
          </c:tx>
          <c:spPr>
            <a:ln w="25400">
              <a:solidFill>
                <a:srgbClr val="0070C0"/>
              </a:solidFill>
              <a:prstDash val="dashDot"/>
            </a:ln>
          </c:spPr>
          <c:marker>
            <c:symbol val="none"/>
          </c:marker>
          <c:dPt>
            <c:idx val="9"/>
            <c:bubble3D val="0"/>
          </c:dPt>
          <c:dPt>
            <c:idx val="10"/>
            <c:bubble3D val="0"/>
          </c:dPt>
          <c:dPt>
            <c:idx val="11"/>
            <c:bubble3D val="0"/>
          </c:dPt>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Discharges'!$H$142:$P$142</c:f>
              <c:numCache>
                <c:formatCode>0</c:formatCode>
                <c:ptCount val="9"/>
                <c:pt idx="0">
                  <c:v>169</c:v>
                </c:pt>
                <c:pt idx="1">
                  <c:v>181</c:v>
                </c:pt>
                <c:pt idx="2">
                  <c:v>167</c:v>
                </c:pt>
                <c:pt idx="3">
                  <c:v>131</c:v>
                </c:pt>
                <c:pt idx="4">
                  <c:v>147</c:v>
                </c:pt>
                <c:pt idx="5">
                  <c:v>124</c:v>
                </c:pt>
                <c:pt idx="6">
                  <c:v>82</c:v>
                </c:pt>
                <c:pt idx="7">
                  <c:v>113</c:v>
                </c:pt>
                <c:pt idx="8">
                  <c:v>147</c:v>
                </c:pt>
              </c:numCache>
            </c:numRef>
          </c:val>
          <c:smooth val="0"/>
        </c:ser>
        <c:ser>
          <c:idx val="2"/>
          <c:order val="1"/>
          <c:tx>
            <c:strRef>
              <c:f>'Delayed Discharges'!$A$137</c:f>
              <c:strCache>
                <c:ptCount val="1"/>
                <c:pt idx="0">
                  <c:v>&gt;3 days (excl. Code 9s &amp; 100s) - post-definition change - Total incl. Other Local Authority Areas - NHS Lothian</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Discharges'!$H$137:$AW$137</c:f>
              <c:numCache>
                <c:formatCode>0</c:formatCode>
                <c:ptCount val="42"/>
                <c:pt idx="9">
                  <c:v>241</c:v>
                </c:pt>
                <c:pt idx="10">
                  <c:v>232</c:v>
                </c:pt>
                <c:pt idx="11">
                  <c:v>249</c:v>
                </c:pt>
                <c:pt idx="12">
                  <c:v>236</c:v>
                </c:pt>
                <c:pt idx="13">
                  <c:v>208</c:v>
                </c:pt>
                <c:pt idx="14">
                  <c:v>240</c:v>
                </c:pt>
                <c:pt idx="15">
                  <c:v>261</c:v>
                </c:pt>
                <c:pt idx="16">
                  <c:v>230</c:v>
                </c:pt>
                <c:pt idx="17">
                  <c:v>225</c:v>
                </c:pt>
                <c:pt idx="18">
                  <c:v>204</c:v>
                </c:pt>
                <c:pt idx="19">
                  <c:v>186</c:v>
                </c:pt>
                <c:pt idx="20">
                  <c:v>213</c:v>
                </c:pt>
                <c:pt idx="21">
                  <c:v>200</c:v>
                </c:pt>
                <c:pt idx="22">
                  <c:v>218</c:v>
                </c:pt>
              </c:numCache>
            </c:numRef>
          </c:val>
          <c:smooth val="0"/>
        </c:ser>
        <c:ser>
          <c:idx val="0"/>
          <c:order val="2"/>
          <c:tx>
            <c:strRef>
              <c:f>'Delayed Discharges'!$A$141</c:f>
              <c:strCache>
                <c:ptCount val="1"/>
                <c:pt idx="0">
                  <c:v>&gt;3 days (excl. Code 9s &amp; 100s) - post-definition change - Total incl. Other Local Authority Areas - West Lothian</c:v>
                </c:pt>
              </c:strCache>
            </c:strRef>
          </c:tx>
          <c:spPr>
            <a:ln w="25400">
              <a:solidFill>
                <a:srgbClr val="0070C0"/>
              </a:solidFill>
              <a:prstDash val="sysDash"/>
            </a:ln>
          </c:spPr>
          <c:marker>
            <c:spPr>
              <a:solidFill>
                <a:srgbClr val="0070C0"/>
              </a:solidFill>
            </c:spPr>
          </c:marker>
          <c:dLbls>
            <c:dLbl>
              <c:idx val="30"/>
              <c:delete val="1"/>
            </c:dLbl>
            <c:dLbl>
              <c:idx val="31"/>
              <c:delete val="1"/>
            </c:dLbl>
            <c:dLbl>
              <c:idx val="32"/>
              <c:delete val="1"/>
            </c:dLbl>
            <c:dLbl>
              <c:idx val="33"/>
              <c:delete val="1"/>
            </c:dLbl>
            <c:dLbl>
              <c:idx val="34"/>
              <c:delete val="1"/>
            </c:dLbl>
            <c:dLbl>
              <c:idx val="35"/>
              <c:delete val="1"/>
            </c:dLbl>
            <c:dLbl>
              <c:idx val="36"/>
              <c:delete val="1"/>
            </c:dLbl>
            <c:dLbl>
              <c:idx val="37"/>
              <c:delete val="1"/>
            </c:dLbl>
            <c:dLbl>
              <c:idx val="38"/>
              <c:delete val="1"/>
            </c:dLbl>
            <c:dLbl>
              <c:idx val="39"/>
              <c:delete val="1"/>
            </c:dLbl>
            <c:dLbl>
              <c:idx val="40"/>
              <c:delete val="1"/>
            </c:dLbl>
            <c:dLbl>
              <c:idx val="41"/>
              <c:delete val="1"/>
            </c:dLbl>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'Delayed Discharges'!$B$9:$AQ$9</c:f>
              <c:numCache>
                <c:formatCode>mmm\ yy</c:formatCode>
                <c:ptCount val="42"/>
                <c:pt idx="0">
                  <c:v>42278</c:v>
                </c:pt>
                <c:pt idx="1">
                  <c:v>42309</c:v>
                </c:pt>
                <c:pt idx="2">
                  <c:v>42339</c:v>
                </c:pt>
                <c:pt idx="3">
                  <c:v>42370</c:v>
                </c:pt>
                <c:pt idx="4">
                  <c:v>42401</c:v>
                </c:pt>
                <c:pt idx="5">
                  <c:v>42430</c:v>
                </c:pt>
                <c:pt idx="6">
                  <c:v>42461</c:v>
                </c:pt>
                <c:pt idx="7">
                  <c:v>42491</c:v>
                </c:pt>
                <c:pt idx="8">
                  <c:v>42522</c:v>
                </c:pt>
                <c:pt idx="9">
                  <c:v>42552</c:v>
                </c:pt>
                <c:pt idx="10">
                  <c:v>42583</c:v>
                </c:pt>
                <c:pt idx="11">
                  <c:v>42614</c:v>
                </c:pt>
                <c:pt idx="12">
                  <c:v>42644</c:v>
                </c:pt>
                <c:pt idx="13">
                  <c:v>42675</c:v>
                </c:pt>
                <c:pt idx="14">
                  <c:v>42705</c:v>
                </c:pt>
                <c:pt idx="15">
                  <c:v>42736</c:v>
                </c:pt>
                <c:pt idx="16">
                  <c:v>42767</c:v>
                </c:pt>
                <c:pt idx="17">
                  <c:v>42795</c:v>
                </c:pt>
                <c:pt idx="18">
                  <c:v>42826</c:v>
                </c:pt>
                <c:pt idx="19">
                  <c:v>42856</c:v>
                </c:pt>
                <c:pt idx="20">
                  <c:v>42887</c:v>
                </c:pt>
                <c:pt idx="21">
                  <c:v>42917</c:v>
                </c:pt>
                <c:pt idx="22">
                  <c:v>42948</c:v>
                </c:pt>
              </c:numCache>
            </c:numRef>
          </c:cat>
          <c:val>
            <c:numRef>
              <c:f>'Delayed Discharges'!$H$141:$AW$141</c:f>
              <c:numCache>
                <c:formatCode>0</c:formatCode>
                <c:ptCount val="42"/>
                <c:pt idx="9">
                  <c:v>33</c:v>
                </c:pt>
                <c:pt idx="10">
                  <c:v>23</c:v>
                </c:pt>
                <c:pt idx="11">
                  <c:v>23</c:v>
                </c:pt>
                <c:pt idx="12">
                  <c:v>23</c:v>
                </c:pt>
                <c:pt idx="13">
                  <c:v>26</c:v>
                </c:pt>
                <c:pt idx="14">
                  <c:v>17</c:v>
                </c:pt>
                <c:pt idx="15">
                  <c:v>36</c:v>
                </c:pt>
                <c:pt idx="16">
                  <c:v>24</c:v>
                </c:pt>
                <c:pt idx="17">
                  <c:v>27</c:v>
                </c:pt>
                <c:pt idx="18">
                  <c:v>24</c:v>
                </c:pt>
                <c:pt idx="19">
                  <c:v>16</c:v>
                </c:pt>
                <c:pt idx="20">
                  <c:v>24</c:v>
                </c:pt>
                <c:pt idx="21">
                  <c:v>30</c:v>
                </c:pt>
                <c:pt idx="22">
                  <c:v>40</c:v>
                </c:pt>
              </c:numCache>
            </c:numRef>
          </c:val>
          <c:smooth val="0"/>
        </c:ser>
        <c:dLbls>
          <c:showLegendKey val="0"/>
          <c:showVal val="0"/>
          <c:showCatName val="0"/>
          <c:showSerName val="0"/>
          <c:showPercent val="0"/>
          <c:showBubbleSize val="0"/>
        </c:dLbls>
        <c:marker val="1"/>
        <c:smooth val="0"/>
        <c:axId val="130305536"/>
        <c:axId val="131991232"/>
      </c:lineChart>
      <c:dateAx>
        <c:axId val="130305536"/>
        <c:scaling>
          <c:orientation val="minMax"/>
        </c:scaling>
        <c:delete val="0"/>
        <c:axPos val="b"/>
        <c:numFmt formatCode="mmm\ yy" sourceLinked="0"/>
        <c:majorTickMark val="none"/>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1991232"/>
        <c:crosses val="autoZero"/>
        <c:auto val="1"/>
        <c:lblOffset val="100"/>
        <c:baseTimeUnit val="months"/>
      </c:dateAx>
      <c:valAx>
        <c:axId val="131991232"/>
        <c:scaling>
          <c:orientation val="minMax"/>
          <c:max val="400"/>
        </c:scaling>
        <c:delete val="0"/>
        <c:axPos val="l"/>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0305536"/>
        <c:crosses val="autoZero"/>
        <c:crossBetween val="between"/>
      </c:valAx>
    </c:plotArea>
    <c:legend>
      <c:legendPos val="r"/>
      <c:layout>
        <c:manualLayout>
          <c:xMode val="edge"/>
          <c:yMode val="edge"/>
          <c:x val="5.5005252237626924E-3"/>
          <c:y val="0.88516907608771123"/>
          <c:w val="0.94279430616929194"/>
          <c:h val="0.10703884236692636"/>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6811"/>
        </c:manualLayout>
      </c:layout>
      <c:lineChart>
        <c:grouping val="standard"/>
        <c:varyColors val="0"/>
        <c:ser>
          <c:idx val="1"/>
          <c:order val="0"/>
          <c:tx>
            <c:strRef>
              <c:f>Dementia!$A$12</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Dementia!$B$12:$AW$12</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2"/>
          <c:order val="1"/>
          <c:tx>
            <c:strRef>
              <c:f>Dementia!$A$13</c:f>
              <c:strCache>
                <c:ptCount val="1"/>
                <c:pt idx="0">
                  <c:v>East Lothian IJB</c:v>
                </c:pt>
              </c:strCache>
            </c:strRef>
          </c:tx>
          <c:spPr>
            <a:ln w="25400">
              <a:solidFill>
                <a:srgbClr val="0070C0"/>
              </a:solidFill>
              <a:prstDash val="sysDash"/>
            </a:ln>
          </c:spPr>
          <c:marker>
            <c:symbol val="none"/>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Dementia!$B$13:$AW$13</c:f>
              <c:numCache>
                <c:formatCode>0.0</c:formatCode>
                <c:ptCount val="48"/>
                <c:pt idx="0">
                  <c:v>4.8413021166172854</c:v>
                </c:pt>
                <c:pt idx="1">
                  <c:v>7.7460833865876566</c:v>
                </c:pt>
                <c:pt idx="2">
                  <c:v>14.523906349851856</c:v>
                </c:pt>
                <c:pt idx="3">
                  <c:v>5.8095625399407425</c:v>
                </c:pt>
                <c:pt idx="4">
                  <c:v>7.7460833865876566</c:v>
                </c:pt>
                <c:pt idx="5">
                  <c:v>7.7460833865876566</c:v>
                </c:pt>
                <c:pt idx="6">
                  <c:v>18.396948043145684</c:v>
                </c:pt>
                <c:pt idx="7">
                  <c:v>18.396948043145684</c:v>
                </c:pt>
                <c:pt idx="8">
                  <c:v>14.523906349851856</c:v>
                </c:pt>
                <c:pt idx="9">
                  <c:v>13.555645926528397</c:v>
                </c:pt>
                <c:pt idx="10">
                  <c:v>25.174771006409884</c:v>
                </c:pt>
                <c:pt idx="11">
                  <c:v>20.333468889792599</c:v>
                </c:pt>
                <c:pt idx="12">
                  <c:v>10.563211216209726</c:v>
                </c:pt>
                <c:pt idx="13">
                  <c:v>18.24554664618044</c:v>
                </c:pt>
                <c:pt idx="14">
                  <c:v>11.523503144956067</c:v>
                </c:pt>
                <c:pt idx="15">
                  <c:v>11.523503144956067</c:v>
                </c:pt>
                <c:pt idx="16">
                  <c:v>12.483795073702407</c:v>
                </c:pt>
                <c:pt idx="17">
                  <c:v>10.563211216209726</c:v>
                </c:pt>
                <c:pt idx="18">
                  <c:v>7.6823354299707107</c:v>
                </c:pt>
                <c:pt idx="19">
                  <c:v>17.2852547174341</c:v>
                </c:pt>
              </c:numCache>
            </c:numRef>
          </c:val>
          <c:smooth val="0"/>
        </c:ser>
        <c:dLbls>
          <c:showLegendKey val="0"/>
          <c:showVal val="0"/>
          <c:showCatName val="0"/>
          <c:showSerName val="0"/>
          <c:showPercent val="0"/>
          <c:showBubbleSize val="0"/>
        </c:dLbls>
        <c:marker val="1"/>
        <c:smooth val="0"/>
        <c:axId val="132063744"/>
        <c:axId val="131993536"/>
      </c:lineChart>
      <c:dateAx>
        <c:axId val="13206374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1993536"/>
        <c:crosses val="autoZero"/>
        <c:auto val="1"/>
        <c:lblOffset val="100"/>
        <c:baseTimeUnit val="months"/>
      </c:dateAx>
      <c:valAx>
        <c:axId val="13199353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2063744"/>
        <c:crosses val="autoZero"/>
        <c:crossBetween val="between"/>
      </c:valAx>
    </c:plotArea>
    <c:legend>
      <c:legendPos val="r"/>
      <c:layout>
        <c:manualLayout>
          <c:xMode val="edge"/>
          <c:yMode val="edge"/>
          <c:x val="0.11184210526315792"/>
          <c:y val="0.93121693121692095"/>
          <c:w val="0.72478070175438802"/>
          <c:h val="4.49735449735527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095238095238121E-2"/>
          <c:y val="3.333333333333334E-2"/>
          <c:w val="0.91190476190475656"/>
          <c:h val="0.76904761904761965"/>
        </c:manualLayout>
      </c:layout>
      <c:lineChart>
        <c:grouping val="standard"/>
        <c:varyColors val="0"/>
        <c:ser>
          <c:idx val="4"/>
          <c:order val="0"/>
          <c:tx>
            <c:v>NHS Lothian 2015/16</c:v>
          </c:tx>
          <c:spPr>
            <a:ln w="25400" cap="rnd">
              <a:solidFill>
                <a:srgbClr val="0070C0"/>
              </a:solidFill>
              <a:prstDash val="sysDot"/>
              <a:round/>
              <a:headEnd type="none"/>
            </a:ln>
            <a:effectLst/>
          </c:spPr>
          <c:marker>
            <c:symbol val="circle"/>
            <c:size val="4"/>
            <c:spPr>
              <a:solidFill>
                <a:srgbClr val="0070C0"/>
              </a:solidFill>
              <a:ln w="6350">
                <a:solidFill>
                  <a:schemeClr val="accent1">
                    <a:shade val="76000"/>
                    <a:shade val="95000"/>
                    <a:satMod val="105000"/>
                  </a:schemeClr>
                </a:solidFill>
              </a:ln>
            </c:spPr>
          </c:marker>
          <c:cat>
            <c:strRef>
              <c:f>'A&amp;E WT'!$I$10:$I$21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WT'!$F$10:$F$21</c:f>
              <c:numCache>
                <c:formatCode>0.0%</c:formatCode>
                <c:ptCount val="12"/>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numCache>
            </c:numRef>
          </c:val>
          <c:smooth val="0"/>
        </c:ser>
        <c:ser>
          <c:idx val="0"/>
          <c:order val="1"/>
          <c:tx>
            <c:v>NHS Lothian 2016/17</c:v>
          </c:tx>
          <c:spPr>
            <a:ln w="25400">
              <a:solidFill>
                <a:srgbClr val="0070C0"/>
              </a:solidFill>
              <a:prstDash val="sysDash"/>
            </a:ln>
          </c:spPr>
          <c:marker>
            <c:symbol val="circle"/>
            <c:size val="4"/>
            <c:spPr>
              <a:solidFill>
                <a:srgbClr val="0070C0"/>
              </a:solidFill>
              <a:ln w="12700"/>
            </c:spPr>
          </c:marker>
          <c:cat>
            <c:strRef>
              <c:f>'A&amp;E WT'!$I$10:$I$21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WT'!$F$22:$F$33</c:f>
              <c:numCache>
                <c:formatCode>0.0%</c:formatCode>
                <c:ptCount val="12"/>
                <c:pt idx="0">
                  <c:v>0.9341058215831356</c:v>
                </c:pt>
                <c:pt idx="1">
                  <c:v>0.93313856427378961</c:v>
                </c:pt>
                <c:pt idx="2">
                  <c:v>0.95496629213483142</c:v>
                </c:pt>
                <c:pt idx="3">
                  <c:v>0.97109172365008256</c:v>
                </c:pt>
                <c:pt idx="4">
                  <c:v>0.94399999999999995</c:v>
                </c:pt>
                <c:pt idx="5">
                  <c:v>0.93200000000000005</c:v>
                </c:pt>
                <c:pt idx="6">
                  <c:v>0.93102696099816773</c:v>
                </c:pt>
                <c:pt idx="7">
                  <c:v>0.94499999999999995</c:v>
                </c:pt>
                <c:pt idx="8">
                  <c:v>0.92400000000000004</c:v>
                </c:pt>
                <c:pt idx="9">
                  <c:v>0.92800000000000005</c:v>
                </c:pt>
                <c:pt idx="10">
                  <c:v>0.93200000000000005</c:v>
                </c:pt>
                <c:pt idx="11">
                  <c:v>0.95699999999999996</c:v>
                </c:pt>
              </c:numCache>
            </c:numRef>
          </c:val>
          <c:smooth val="0"/>
        </c:ser>
        <c:ser>
          <c:idx val="1"/>
          <c:order val="2"/>
          <c:tx>
            <c:v>NHS Lothian 2017/18</c:v>
          </c:tx>
          <c:spPr>
            <a:ln w="25400">
              <a:solidFill>
                <a:srgbClr val="0070C0"/>
              </a:solidFill>
            </a:ln>
          </c:spPr>
          <c:marker>
            <c:symbol val="circle"/>
            <c:size val="4"/>
            <c:spPr>
              <a:solidFill>
                <a:srgbClr val="0070C0"/>
              </a:solidFill>
              <a:ln w="25400">
                <a:solidFill>
                  <a:srgbClr val="0070C0"/>
                </a:solidFill>
              </a:ln>
            </c:spPr>
          </c:marker>
          <c:cat>
            <c:strRef>
              <c:f>'A&amp;E WT'!$I$10:$I$21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WT'!$F$34:$F$45</c:f>
              <c:numCache>
                <c:formatCode>0.0%</c:formatCode>
                <c:ptCount val="12"/>
                <c:pt idx="0">
                  <c:v>0.95199999999999996</c:v>
                </c:pt>
                <c:pt idx="1">
                  <c:v>0.95099999999999996</c:v>
                </c:pt>
                <c:pt idx="2">
                  <c:v>0.95699999999999996</c:v>
                </c:pt>
                <c:pt idx="3">
                  <c:v>0.96</c:v>
                </c:pt>
                <c:pt idx="4">
                  <c:v>0.95099999999999996</c:v>
                </c:pt>
              </c:numCache>
            </c:numRef>
          </c:val>
          <c:smooth val="0"/>
        </c:ser>
        <c:ser>
          <c:idx val="6"/>
          <c:order val="3"/>
          <c:tx>
            <c:strRef>
              <c:f>'A&amp;E WT'!$H$9</c:f>
              <c:strCache>
                <c:ptCount val="1"/>
                <c:pt idx="0">
                  <c:v>Interim Target (min)</c:v>
                </c:pt>
              </c:strCache>
            </c:strRef>
          </c:tx>
          <c:spPr>
            <a:ln w="25400">
              <a:solidFill>
                <a:srgbClr val="CC79A7"/>
              </a:solidFill>
              <a:prstDash val="dash"/>
            </a:ln>
          </c:spPr>
          <c:marker>
            <c:symbol val="none"/>
          </c:marker>
          <c:cat>
            <c:strRef>
              <c:f>'A&amp;E WT'!$I$10:$I$21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WT'!$H$10:$H$21</c:f>
              <c:numCache>
                <c:formatCode>0.0%</c:formatCode>
                <c:ptCount val="12"/>
                <c:pt idx="0">
                  <c:v>0.95</c:v>
                </c:pt>
                <c:pt idx="1">
                  <c:v>0.95</c:v>
                </c:pt>
                <c:pt idx="2">
                  <c:v>0.95</c:v>
                </c:pt>
                <c:pt idx="3">
                  <c:v>0.95</c:v>
                </c:pt>
                <c:pt idx="4">
                  <c:v>0.95</c:v>
                </c:pt>
                <c:pt idx="5">
                  <c:v>0.95</c:v>
                </c:pt>
                <c:pt idx="6">
                  <c:v>0.95</c:v>
                </c:pt>
                <c:pt idx="7">
                  <c:v>0.95</c:v>
                </c:pt>
                <c:pt idx="8">
                  <c:v>0.95</c:v>
                </c:pt>
                <c:pt idx="9">
                  <c:v>0.95</c:v>
                </c:pt>
                <c:pt idx="10">
                  <c:v>0.95</c:v>
                </c:pt>
                <c:pt idx="11">
                  <c:v>0.95</c:v>
                </c:pt>
              </c:numCache>
            </c:numRef>
          </c:val>
          <c:smooth val="0"/>
        </c:ser>
        <c:ser>
          <c:idx val="5"/>
          <c:order val="4"/>
          <c:tx>
            <c:strRef>
              <c:f>'A&amp;E WT'!$G$9</c:f>
              <c:strCache>
                <c:ptCount val="1"/>
                <c:pt idx="0">
                  <c:v>Target (min)</c:v>
                </c:pt>
              </c:strCache>
            </c:strRef>
          </c:tx>
          <c:spPr>
            <a:ln w="25400">
              <a:solidFill>
                <a:srgbClr val="FF0000"/>
              </a:solidFill>
              <a:prstDash val="dash"/>
            </a:ln>
          </c:spPr>
          <c:marker>
            <c:symbol val="none"/>
          </c:marker>
          <c:cat>
            <c:strRef>
              <c:f>'A&amp;E WT'!$I$10:$I$21</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'A&amp;E WT'!$G$10:$G$21</c:f>
              <c:numCache>
                <c:formatCode>0.0%</c:formatCode>
                <c:ptCount val="12"/>
                <c:pt idx="0">
                  <c:v>0.98</c:v>
                </c:pt>
                <c:pt idx="1">
                  <c:v>0.98</c:v>
                </c:pt>
                <c:pt idx="2">
                  <c:v>0.98</c:v>
                </c:pt>
                <c:pt idx="3">
                  <c:v>0.98</c:v>
                </c:pt>
                <c:pt idx="4">
                  <c:v>0.98</c:v>
                </c:pt>
                <c:pt idx="5">
                  <c:v>0.98</c:v>
                </c:pt>
                <c:pt idx="6">
                  <c:v>0.98</c:v>
                </c:pt>
                <c:pt idx="7">
                  <c:v>0.98</c:v>
                </c:pt>
                <c:pt idx="8">
                  <c:v>0.98</c:v>
                </c:pt>
                <c:pt idx="9">
                  <c:v>0.98</c:v>
                </c:pt>
                <c:pt idx="10">
                  <c:v>0.98</c:v>
                </c:pt>
                <c:pt idx="11">
                  <c:v>0.98</c:v>
                </c:pt>
              </c:numCache>
            </c:numRef>
          </c:val>
          <c:smooth val="0"/>
        </c:ser>
        <c:dLbls>
          <c:showLegendKey val="0"/>
          <c:showVal val="0"/>
          <c:showCatName val="0"/>
          <c:showSerName val="0"/>
          <c:showPercent val="0"/>
          <c:showBubbleSize val="0"/>
        </c:dLbls>
        <c:marker val="1"/>
        <c:smooth val="0"/>
        <c:axId val="124217344"/>
        <c:axId val="102220352"/>
      </c:lineChart>
      <c:catAx>
        <c:axId val="12421734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2220352"/>
        <c:crosses val="autoZero"/>
        <c:auto val="1"/>
        <c:lblAlgn val="ctr"/>
        <c:lblOffset val="100"/>
        <c:noMultiLvlLbl val="0"/>
      </c:catAx>
      <c:valAx>
        <c:axId val="102220352"/>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217344"/>
        <c:crosses val="autoZero"/>
        <c:crossBetween val="between"/>
        <c:majorUnit val="2.0000000000000011E-2"/>
      </c:valAx>
    </c:plotArea>
    <c:legend>
      <c:legendPos val="r"/>
      <c:layout>
        <c:manualLayout>
          <c:xMode val="edge"/>
          <c:yMode val="edge"/>
          <c:x val="1.4700406038988721E-2"/>
          <c:y val="0.87565555555555552"/>
          <c:w val="0.96574432870370375"/>
          <c:h val="0.12434444444444444"/>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6811"/>
        </c:manualLayout>
      </c:layout>
      <c:lineChart>
        <c:grouping val="standard"/>
        <c:varyColors val="0"/>
        <c:ser>
          <c:idx val="1"/>
          <c:order val="0"/>
          <c:tx>
            <c:strRef>
              <c:f>Dementia!$A$12</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Dementia!$B$12:$AW$12</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4"/>
          <c:order val="1"/>
          <c:tx>
            <c:strRef>
              <c:f>Dementia!$A$15</c:f>
              <c:strCache>
                <c:ptCount val="1"/>
                <c:pt idx="0">
                  <c:v>Midlothian IJB</c:v>
                </c:pt>
              </c:strCache>
            </c:strRef>
          </c:tx>
          <c:spPr>
            <a:ln w="25400">
              <a:solidFill>
                <a:srgbClr val="0070C0"/>
              </a:solidFill>
              <a:prstDash val="lgDashDot"/>
            </a:ln>
          </c:spPr>
          <c:marker>
            <c:symbol val="none"/>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Dementia!$B$15:$AW$15</c:f>
              <c:numCache>
                <c:formatCode>0.0</c:formatCode>
                <c:ptCount val="48"/>
                <c:pt idx="0">
                  <c:v>13.98960106320968</c:v>
                </c:pt>
                <c:pt idx="1">
                  <c:v>13.98960106320968</c:v>
                </c:pt>
                <c:pt idx="2">
                  <c:v>20.984401594814521</c:v>
                </c:pt>
                <c:pt idx="3">
                  <c:v>12.823800974608872</c:v>
                </c:pt>
                <c:pt idx="4">
                  <c:v>11.658000886008068</c:v>
                </c:pt>
                <c:pt idx="5">
                  <c:v>12.823800974608872</c:v>
                </c:pt>
                <c:pt idx="6">
                  <c:v>12.823800974608872</c:v>
                </c:pt>
                <c:pt idx="7">
                  <c:v>18.65280141761291</c:v>
                </c:pt>
                <c:pt idx="8">
                  <c:v>17.487001329012102</c:v>
                </c:pt>
                <c:pt idx="9">
                  <c:v>5.8290004430040341</c:v>
                </c:pt>
                <c:pt idx="10">
                  <c:v>11.658000886008068</c:v>
                </c:pt>
                <c:pt idx="11">
                  <c:v>16.321201240411295</c:v>
                </c:pt>
                <c:pt idx="12">
                  <c:v>4.6309159951838481</c:v>
                </c:pt>
                <c:pt idx="13">
                  <c:v>9.2618319903676962</c:v>
                </c:pt>
                <c:pt idx="14">
                  <c:v>11.577289987959619</c:v>
                </c:pt>
                <c:pt idx="15">
                  <c:v>5.7886449939798093</c:v>
                </c:pt>
                <c:pt idx="16">
                  <c:v>12.735018986755579</c:v>
                </c:pt>
                <c:pt idx="17">
                  <c:v>6.9463739927757704</c:v>
                </c:pt>
                <c:pt idx="18">
                  <c:v>9.2618319903676962</c:v>
                </c:pt>
                <c:pt idx="19">
                  <c:v>11.577289987959619</c:v>
                </c:pt>
              </c:numCache>
            </c:numRef>
          </c:val>
          <c:smooth val="0"/>
        </c:ser>
        <c:dLbls>
          <c:showLegendKey val="0"/>
          <c:showVal val="0"/>
          <c:showCatName val="0"/>
          <c:showSerName val="0"/>
          <c:showPercent val="0"/>
          <c:showBubbleSize val="0"/>
        </c:dLbls>
        <c:marker val="1"/>
        <c:smooth val="0"/>
        <c:axId val="131448832"/>
        <c:axId val="131995840"/>
      </c:lineChart>
      <c:dateAx>
        <c:axId val="1314488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1995840"/>
        <c:crosses val="autoZero"/>
        <c:auto val="1"/>
        <c:lblOffset val="100"/>
        <c:baseTimeUnit val="months"/>
      </c:dateAx>
      <c:valAx>
        <c:axId val="13199584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1448832"/>
        <c:crosses val="autoZero"/>
        <c:crossBetween val="between"/>
      </c:valAx>
    </c:plotArea>
    <c:legend>
      <c:legendPos val="r"/>
      <c:layout>
        <c:manualLayout>
          <c:xMode val="edge"/>
          <c:yMode val="edge"/>
          <c:x val="0.11184210526315792"/>
          <c:y val="0.93121693121692095"/>
          <c:w val="0.72478070175438813"/>
          <c:h val="4.497354497355309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6811"/>
        </c:manualLayout>
      </c:layout>
      <c:lineChart>
        <c:grouping val="standard"/>
        <c:varyColors val="0"/>
        <c:ser>
          <c:idx val="1"/>
          <c:order val="0"/>
          <c:tx>
            <c:strRef>
              <c:f>Dementia!$A$12</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Dementia!$B$12:$AW$12</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5"/>
          <c:order val="1"/>
          <c:tx>
            <c:strRef>
              <c:f>Dementia!$A$16</c:f>
              <c:strCache>
                <c:ptCount val="1"/>
                <c:pt idx="0">
                  <c:v>West Lothian IJB</c:v>
                </c:pt>
              </c:strCache>
            </c:strRef>
          </c:tx>
          <c:spPr>
            <a:ln w="25400">
              <a:solidFill>
                <a:srgbClr val="0070C0"/>
              </a:solidFill>
              <a:prstDash val="lgDashDotDot"/>
            </a:ln>
          </c:spPr>
          <c:marker>
            <c:symbol val="none"/>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Dementia!$B$16:$AW$16</c:f>
              <c:numCache>
                <c:formatCode>0.0</c:formatCode>
                <c:ptCount val="48"/>
                <c:pt idx="0">
                  <c:v>6.7222371605270235</c:v>
                </c:pt>
                <c:pt idx="1">
                  <c:v>8.40279645065878</c:v>
                </c:pt>
                <c:pt idx="2">
                  <c:v>6.7222371605270235</c:v>
                </c:pt>
                <c:pt idx="3">
                  <c:v>3.9213050103074303</c:v>
                </c:pt>
                <c:pt idx="4">
                  <c:v>6.7222371605270235</c:v>
                </c:pt>
                <c:pt idx="5">
                  <c:v>10.083355740790536</c:v>
                </c:pt>
                <c:pt idx="6">
                  <c:v>8.9629828807026968</c:v>
                </c:pt>
                <c:pt idx="7">
                  <c:v>5.6018643004391864</c:v>
                </c:pt>
                <c:pt idx="8">
                  <c:v>6.7222371605270235</c:v>
                </c:pt>
                <c:pt idx="9">
                  <c:v>8.9629828807026968</c:v>
                </c:pt>
                <c:pt idx="10">
                  <c:v>4.4814914403513484</c:v>
                </c:pt>
                <c:pt idx="11">
                  <c:v>8.40279645065878</c:v>
                </c:pt>
                <c:pt idx="12">
                  <c:v>9.4770877466830203</c:v>
                </c:pt>
                <c:pt idx="13">
                  <c:v>5.574757498048835</c:v>
                </c:pt>
                <c:pt idx="14">
                  <c:v>11.14951499609767</c:v>
                </c:pt>
                <c:pt idx="15">
                  <c:v>4.4598059984390677</c:v>
                </c:pt>
                <c:pt idx="16">
                  <c:v>6.6897089976586015</c:v>
                </c:pt>
                <c:pt idx="17">
                  <c:v>5.574757498048835</c:v>
                </c:pt>
                <c:pt idx="18">
                  <c:v>6.6897089976586015</c:v>
                </c:pt>
                <c:pt idx="19">
                  <c:v>5.0172817482439518</c:v>
                </c:pt>
              </c:numCache>
            </c:numRef>
          </c:val>
          <c:smooth val="0"/>
        </c:ser>
        <c:dLbls>
          <c:showLegendKey val="0"/>
          <c:showVal val="0"/>
          <c:showCatName val="0"/>
          <c:showSerName val="0"/>
          <c:showPercent val="0"/>
          <c:showBubbleSize val="0"/>
        </c:dLbls>
        <c:marker val="1"/>
        <c:smooth val="0"/>
        <c:axId val="131449344"/>
        <c:axId val="131498560"/>
      </c:lineChart>
      <c:dateAx>
        <c:axId val="13144934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1498560"/>
        <c:crosses val="autoZero"/>
        <c:auto val="1"/>
        <c:lblOffset val="100"/>
        <c:baseTimeUnit val="months"/>
      </c:dateAx>
      <c:valAx>
        <c:axId val="13149856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1449344"/>
        <c:crosses val="autoZero"/>
        <c:crossBetween val="between"/>
      </c:valAx>
    </c:plotArea>
    <c:legend>
      <c:legendPos val="r"/>
      <c:layout>
        <c:manualLayout>
          <c:xMode val="edge"/>
          <c:yMode val="edge"/>
          <c:x val="0.11184210526315792"/>
          <c:y val="0.93121693121692095"/>
          <c:w val="0.72478070175438813"/>
          <c:h val="4.497354497355309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936459909228437E-2"/>
          <c:y val="2.5782688766114201E-2"/>
          <c:w val="0.96127392912480669"/>
          <c:h val="0.76695925925926811"/>
        </c:manualLayout>
      </c:layout>
      <c:lineChart>
        <c:grouping val="standard"/>
        <c:varyColors val="0"/>
        <c:ser>
          <c:idx val="1"/>
          <c:order val="0"/>
          <c:tx>
            <c:strRef>
              <c:f>Dementia!$A$12</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Dementia!$B$12:$AW$12</c:f>
              <c:numCache>
                <c:formatCode>0.0</c:formatCode>
                <c:ptCount val="48"/>
                <c:pt idx="0">
                  <c:v>7.053246227669538</c:v>
                </c:pt>
                <c:pt idx="1">
                  <c:v>7.8626351390414513</c:v>
                </c:pt>
                <c:pt idx="2">
                  <c:v>9.5970399491241256</c:v>
                </c:pt>
                <c:pt idx="3">
                  <c:v>8.3251430883968318</c:v>
                </c:pt>
                <c:pt idx="4">
                  <c:v>8.2095161010579876</c:v>
                </c:pt>
                <c:pt idx="5">
                  <c:v>8.9032780250910566</c:v>
                </c:pt>
                <c:pt idx="6">
                  <c:v>11.215817771867954</c:v>
                </c:pt>
                <c:pt idx="7">
                  <c:v>11.10019078452911</c:v>
                </c:pt>
                <c:pt idx="8">
                  <c:v>10.753309822512575</c:v>
                </c:pt>
                <c:pt idx="9">
                  <c:v>10.175174885818349</c:v>
                </c:pt>
                <c:pt idx="10">
                  <c:v>10.637682835173729</c:v>
                </c:pt>
                <c:pt idx="11">
                  <c:v>12.372087645256402</c:v>
                </c:pt>
                <c:pt idx="12">
                  <c:v>11.215817771867954</c:v>
                </c:pt>
                <c:pt idx="13">
                  <c:v>10.637682835173729</c:v>
                </c:pt>
                <c:pt idx="14">
                  <c:v>10.984563797190264</c:v>
                </c:pt>
                <c:pt idx="15">
                  <c:v>8.0938891137191433</c:v>
                </c:pt>
                <c:pt idx="16">
                  <c:v>9.9439209111406601</c:v>
                </c:pt>
                <c:pt idx="17">
                  <c:v>7.5157541770249177</c:v>
                </c:pt>
                <c:pt idx="18">
                  <c:v>8.4407700757356778</c:v>
                </c:pt>
                <c:pt idx="19">
                  <c:v>9.1345319997687469</c:v>
                </c:pt>
              </c:numCache>
            </c:numRef>
          </c:val>
          <c:smooth val="0"/>
        </c:ser>
        <c:ser>
          <c:idx val="3"/>
          <c:order val="1"/>
          <c:tx>
            <c:strRef>
              <c:f>Dementia!$A$14</c:f>
              <c:strCache>
                <c:ptCount val="1"/>
                <c:pt idx="0">
                  <c:v>Edinburgh IJB</c:v>
                </c:pt>
              </c:strCache>
            </c:strRef>
          </c:tx>
          <c:spPr>
            <a:ln w="25400">
              <a:solidFill>
                <a:srgbClr val="0070C0"/>
              </a:solidFill>
              <a:prstDash val="sysDot"/>
            </a:ln>
          </c:spPr>
          <c:marker>
            <c:symbol val="none"/>
          </c:marker>
          <c:cat>
            <c:numRef>
              <c:f>Dementia!$B$11:$AW$11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numCache>
            </c:numRef>
          </c:cat>
          <c:val>
            <c:numRef>
              <c:f>Dementia!$B$14:$AW$14</c:f>
              <c:numCache>
                <c:formatCode>0.0</c:formatCode>
                <c:ptCount val="48"/>
                <c:pt idx="0">
                  <c:v>6.0327942696498162</c:v>
                </c:pt>
                <c:pt idx="1">
                  <c:v>6.6360736966147984</c:v>
                </c:pt>
                <c:pt idx="2">
                  <c:v>7.6415394082231005</c:v>
                </c:pt>
                <c:pt idx="3">
                  <c:v>9.4513776891180452</c:v>
                </c:pt>
                <c:pt idx="4">
                  <c:v>8.2448188351880827</c:v>
                </c:pt>
                <c:pt idx="5">
                  <c:v>7.8426325505447609</c:v>
                </c:pt>
                <c:pt idx="6">
                  <c:v>9.4513776891180452</c:v>
                </c:pt>
                <c:pt idx="7">
                  <c:v>10.255750258404687</c:v>
                </c:pt>
                <c:pt idx="8">
                  <c:v>10.054657116083026</c:v>
                </c:pt>
                <c:pt idx="9">
                  <c:v>10.65793654304801</c:v>
                </c:pt>
                <c:pt idx="10">
                  <c:v>9.2502845467963866</c:v>
                </c:pt>
                <c:pt idx="11">
                  <c:v>10.85902968536967</c:v>
                </c:pt>
                <c:pt idx="12">
                  <c:v>12.932363737652079</c:v>
                </c:pt>
                <c:pt idx="13">
                  <c:v>10.942769316474838</c:v>
                </c:pt>
                <c:pt idx="14">
                  <c:v>10.544850432239388</c:v>
                </c:pt>
                <c:pt idx="15">
                  <c:v>8.9531748952975931</c:v>
                </c:pt>
                <c:pt idx="16">
                  <c:v>9.9479721058862154</c:v>
                </c:pt>
                <c:pt idx="17">
                  <c:v>7.3614993583557986</c:v>
                </c:pt>
                <c:pt idx="18">
                  <c:v>8.9531748952975931</c:v>
                </c:pt>
                <c:pt idx="19">
                  <c:v>8.3562965689444209</c:v>
                </c:pt>
              </c:numCache>
            </c:numRef>
          </c:val>
          <c:smooth val="0"/>
        </c:ser>
        <c:dLbls>
          <c:showLegendKey val="0"/>
          <c:showVal val="0"/>
          <c:showCatName val="0"/>
          <c:showSerName val="0"/>
          <c:showPercent val="0"/>
          <c:showBubbleSize val="0"/>
        </c:dLbls>
        <c:marker val="1"/>
        <c:smooth val="0"/>
        <c:axId val="131449856"/>
        <c:axId val="131500864"/>
      </c:lineChart>
      <c:dateAx>
        <c:axId val="13144985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1500864"/>
        <c:crosses val="autoZero"/>
        <c:auto val="1"/>
        <c:lblOffset val="100"/>
        <c:baseTimeUnit val="months"/>
      </c:dateAx>
      <c:valAx>
        <c:axId val="13150086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1449856"/>
        <c:crosses val="autoZero"/>
        <c:crossBetween val="between"/>
      </c:valAx>
    </c:plotArea>
    <c:legend>
      <c:legendPos val="r"/>
      <c:layout>
        <c:manualLayout>
          <c:xMode val="edge"/>
          <c:yMode val="edge"/>
          <c:x val="0.11184210526315792"/>
          <c:y val="0.93121693121692095"/>
          <c:w val="0.72478070175438802"/>
          <c:h val="4.49735449735527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DCE!$A$13</c:f>
              <c:strCache>
                <c:ptCount val="1"/>
                <c:pt idx="0">
                  <c:v>NHS Scotland</c:v>
                </c:pt>
              </c:strCache>
            </c:strRef>
          </c:tx>
          <c:spPr>
            <a:solidFill>
              <a:srgbClr val="00A2F2"/>
            </a:solidFill>
            <a:ln w="25400"/>
          </c:spPr>
          <c:invertIfNegative val="0"/>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DCE!$B$13:$G$13</c:f>
              <c:numCache>
                <c:formatCode>0.0%</c:formatCode>
                <c:ptCount val="6"/>
                <c:pt idx="0">
                  <c:v>0.23300000000000001</c:v>
                </c:pt>
                <c:pt idx="1">
                  <c:v>0.24199999999999999</c:v>
                </c:pt>
                <c:pt idx="2">
                  <c:v>0.246</c:v>
                </c:pt>
                <c:pt idx="3">
                  <c:v>0.25</c:v>
                </c:pt>
                <c:pt idx="4">
                  <c:v>0.253</c:v>
                </c:pt>
                <c:pt idx="5">
                  <c:v>0.255</c:v>
                </c:pt>
              </c:numCache>
            </c:numRef>
          </c:val>
        </c:ser>
        <c:ser>
          <c:idx val="1"/>
          <c:order val="1"/>
          <c:tx>
            <c:strRef>
              <c:f>DCE!$A$14</c:f>
              <c:strCache>
                <c:ptCount val="1"/>
                <c:pt idx="0">
                  <c:v>NHS Lothian</c:v>
                </c:pt>
              </c:strCache>
            </c:strRef>
          </c:tx>
          <c:spPr>
            <a:solidFill>
              <a:srgbClr val="0070C0"/>
            </a:solidFill>
          </c:spPr>
          <c:invertIfNegative val="0"/>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DCE!$B$14:$G$14</c:f>
              <c:numCache>
                <c:formatCode>0.0%</c:formatCode>
                <c:ptCount val="6"/>
                <c:pt idx="0">
                  <c:v>0.22700000000000001</c:v>
                </c:pt>
                <c:pt idx="1">
                  <c:v>0.249</c:v>
                </c:pt>
                <c:pt idx="2">
                  <c:v>0.25800000000000001</c:v>
                </c:pt>
                <c:pt idx="3">
                  <c:v>0.26200000000000001</c:v>
                </c:pt>
                <c:pt idx="4">
                  <c:v>0.27100000000000002</c:v>
                </c:pt>
                <c:pt idx="5">
                  <c:v>0.26900000000000002</c:v>
                </c:pt>
              </c:numCache>
            </c:numRef>
          </c:val>
        </c:ser>
        <c:dLbls>
          <c:showLegendKey val="0"/>
          <c:showVal val="0"/>
          <c:showCatName val="0"/>
          <c:showSerName val="0"/>
          <c:showPercent val="0"/>
          <c:showBubbleSize val="0"/>
        </c:dLbls>
        <c:gapWidth val="150"/>
        <c:axId val="131796992"/>
        <c:axId val="131503168"/>
      </c:barChart>
      <c:lineChart>
        <c:grouping val="standard"/>
        <c:varyColors val="0"/>
        <c:ser>
          <c:idx val="2"/>
          <c:order val="2"/>
          <c:tx>
            <c:strRef>
              <c:f>DCE!$A$15</c:f>
              <c:strCache>
                <c:ptCount val="1"/>
                <c:pt idx="0">
                  <c:v>Target (min)</c:v>
                </c:pt>
              </c:strCache>
            </c:strRef>
          </c:tx>
          <c:spPr>
            <a:ln w="25400">
              <a:solidFill>
                <a:srgbClr val="FF0000"/>
              </a:solidFill>
              <a:prstDash val="dash"/>
            </a:ln>
          </c:spPr>
          <c:marker>
            <c:symbol val="none"/>
          </c:marker>
          <c:cat>
            <c:strRef>
              <c:f>DCE!$B$12:$G$12</c:f>
              <c:strCache>
                <c:ptCount val="6"/>
                <c:pt idx="0">
                  <c:v>2010 &amp; 2011 (Baseline Period)</c:v>
                </c:pt>
                <c:pt idx="1">
                  <c:v>2011 &amp; 2012</c:v>
                </c:pt>
                <c:pt idx="2">
                  <c:v>2012 &amp; 2013</c:v>
                </c:pt>
                <c:pt idx="3">
                  <c:v>2013 &amp; 2014</c:v>
                </c:pt>
                <c:pt idx="4">
                  <c:v>2014 &amp; 2015</c:v>
                </c:pt>
                <c:pt idx="5">
                  <c:v>2015 &amp; 2016</c:v>
                </c:pt>
              </c:strCache>
            </c:strRef>
          </c:cat>
          <c:val>
            <c:numRef>
              <c:f>DCE!$B$15:$G$15</c:f>
              <c:numCache>
                <c:formatCode>0.0%</c:formatCode>
                <c:ptCount val="6"/>
                <c:pt idx="0">
                  <c:v>0.28999999999999998</c:v>
                </c:pt>
                <c:pt idx="1">
                  <c:v>0.28999999999999998</c:v>
                </c:pt>
                <c:pt idx="2">
                  <c:v>0.28999999999999998</c:v>
                </c:pt>
                <c:pt idx="3">
                  <c:v>0.28999999999999998</c:v>
                </c:pt>
                <c:pt idx="4">
                  <c:v>0.28999999999999998</c:v>
                </c:pt>
                <c:pt idx="5">
                  <c:v>0.28999999999999998</c:v>
                </c:pt>
              </c:numCache>
            </c:numRef>
          </c:val>
          <c:smooth val="0"/>
        </c:ser>
        <c:dLbls>
          <c:showLegendKey val="0"/>
          <c:showVal val="0"/>
          <c:showCatName val="0"/>
          <c:showSerName val="0"/>
          <c:showPercent val="0"/>
          <c:showBubbleSize val="0"/>
        </c:dLbls>
        <c:marker val="1"/>
        <c:smooth val="0"/>
        <c:axId val="131799040"/>
        <c:axId val="131503744"/>
      </c:lineChart>
      <c:catAx>
        <c:axId val="13179699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1503168"/>
        <c:crosses val="autoZero"/>
        <c:auto val="1"/>
        <c:lblAlgn val="ctr"/>
        <c:lblOffset val="100"/>
        <c:noMultiLvlLbl val="0"/>
      </c:catAx>
      <c:valAx>
        <c:axId val="131503168"/>
        <c:scaling>
          <c:orientation val="minMax"/>
          <c:max val="0.30000000000000032"/>
          <c:min val="0.2"/>
        </c:scaling>
        <c:delete val="0"/>
        <c:axPos val="l"/>
        <c:majorGridlines/>
        <c:title>
          <c:tx>
            <c:rich>
              <a:bodyPr/>
              <a:lstStyle/>
              <a:p>
                <a:pPr>
                  <a:defRPr sz="800" b="0" i="0" u="none" strike="noStrike" baseline="0">
                    <a:solidFill>
                      <a:srgbClr val="000000"/>
                    </a:solidFill>
                    <a:latin typeface="Arial"/>
                    <a:ea typeface="Arial"/>
                    <a:cs typeface="Arial"/>
                  </a:defRPr>
                </a:pPr>
                <a:r>
                  <a:rPr lang="en-GB"/>
                  <a:t>Proportion of Cancers Diagnosed at Stage 1</a:t>
                </a:r>
              </a:p>
            </c:rich>
          </c:tx>
          <c:layout>
            <c:manualLayout>
              <c:xMode val="edge"/>
              <c:yMode val="edge"/>
              <c:x val="4.3451429164109703E-3"/>
              <c:y val="0.22621588968045694"/>
            </c:manualLayout>
          </c:layout>
          <c:overlay val="0"/>
          <c:spPr>
            <a:noFill/>
            <a:ln w="25400">
              <a:noFill/>
            </a:ln>
          </c:spPr>
        </c:title>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1796992"/>
        <c:crosses val="autoZero"/>
        <c:crossBetween val="between"/>
        <c:majorUnit val="1.0000000000000005E-2"/>
      </c:valAx>
      <c:catAx>
        <c:axId val="131799040"/>
        <c:scaling>
          <c:orientation val="minMax"/>
        </c:scaling>
        <c:delete val="1"/>
        <c:axPos val="b"/>
        <c:majorTickMark val="out"/>
        <c:minorTickMark val="none"/>
        <c:tickLblPos val="none"/>
        <c:crossAx val="131503744"/>
        <c:crosses val="autoZero"/>
        <c:auto val="1"/>
        <c:lblAlgn val="ctr"/>
        <c:lblOffset val="100"/>
        <c:noMultiLvlLbl val="0"/>
      </c:catAx>
      <c:valAx>
        <c:axId val="131503744"/>
        <c:scaling>
          <c:orientation val="minMax"/>
        </c:scaling>
        <c:delete val="1"/>
        <c:axPos val="r"/>
        <c:numFmt formatCode="0.0%" sourceLinked="1"/>
        <c:majorTickMark val="out"/>
        <c:minorTickMark val="none"/>
        <c:tickLblPos val="none"/>
        <c:crossAx val="131799040"/>
        <c:crosses val="max"/>
        <c:crossBetween val="between"/>
      </c:valAx>
    </c:plotArea>
    <c:legend>
      <c:legendPos val="r"/>
      <c:layout>
        <c:manualLayout>
          <c:xMode val="edge"/>
          <c:yMode val="edge"/>
          <c:x val="0.88254665203073568"/>
          <c:y val="0.33333333333333331"/>
          <c:w val="0.10647639956092182"/>
          <c:h val="0.2671957671957678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026647869889834"/>
          <c:h val="0.74034690108180923"/>
        </c:manualLayout>
      </c:layout>
      <c:lineChart>
        <c:grouping val="standard"/>
        <c:varyColors val="0"/>
        <c:ser>
          <c:idx val="4"/>
          <c:order val="0"/>
          <c:tx>
            <c:strRef>
              <c:f>Diagnostics!$A$411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Diagnostics!$B$411:$AW$411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numCache>
            </c:numRef>
          </c:val>
          <c:smooth val="0"/>
        </c:ser>
        <c:ser>
          <c:idx val="0"/>
          <c:order val="1"/>
          <c:tx>
            <c:strRef>
              <c:f>Diagnostics!$A$412</c:f>
              <c:strCache>
                <c:ptCount val="1"/>
                <c:pt idx="0">
                  <c:v>Target (max)</c:v>
                </c:pt>
              </c:strCache>
            </c:strRef>
          </c:tx>
          <c:spPr>
            <a:ln w="25400">
              <a:solidFill>
                <a:srgbClr val="FF0000"/>
              </a:solidFill>
              <a:prstDash val="dash"/>
            </a:ln>
          </c:spPr>
          <c:marker>
            <c:symbol val="none"/>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32345856"/>
        <c:axId val="139486336"/>
      </c:lineChart>
      <c:dateAx>
        <c:axId val="13234585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9486336"/>
        <c:crosses val="autoZero"/>
        <c:auto val="1"/>
        <c:lblOffset val="100"/>
        <c:baseTimeUnit val="months"/>
      </c:dateAx>
      <c:valAx>
        <c:axId val="139486336"/>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2345856"/>
        <c:crosses val="autoZero"/>
        <c:crossBetween val="between"/>
        <c:majorUnit val="250"/>
      </c:valAx>
    </c:plotArea>
    <c:legend>
      <c:legendPos val="r"/>
      <c:layout>
        <c:manualLayout>
          <c:xMode val="edge"/>
          <c:yMode val="edge"/>
          <c:x val="5.4824561403508934E-3"/>
          <c:y val="0.91887125220459087"/>
          <c:w val="0.98409849969627161"/>
          <c:h val="6.5255731922398821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299"/>
          <c:h val="0.75092891166382381"/>
        </c:manualLayout>
      </c:layout>
      <c:lineChart>
        <c:grouping val="standard"/>
        <c:varyColors val="0"/>
        <c:ser>
          <c:idx val="4"/>
          <c:order val="0"/>
          <c:tx>
            <c:strRef>
              <c:f>Diagnostics!$A$411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Diagnostics!$B$411:$AW$411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numCache>
            </c:numRef>
          </c:val>
          <c:smooth val="0"/>
        </c:ser>
        <c:ser>
          <c:idx val="1"/>
          <c:order val="1"/>
          <c:tx>
            <c:strRef>
              <c:f>Diagnostics!$A$270</c:f>
              <c:strCache>
                <c:ptCount val="1"/>
                <c:pt idx="0">
                  <c:v>Total Gastroenterology/ Urology Diagnostics Patients Over 6 Week Standard</c:v>
                </c:pt>
              </c:strCache>
            </c:strRef>
          </c:tx>
          <c:spPr>
            <a:ln w="25400">
              <a:solidFill>
                <a:srgbClr val="0070C0"/>
              </a:solidFill>
              <a:prstDash val="lgDashDotDot"/>
            </a:ln>
          </c:spPr>
          <c:marker>
            <c:symbol val="none"/>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Diagnostics!$B$270:$AW$270</c:f>
              <c:numCache>
                <c:formatCode>#,##0</c:formatCode>
                <c:ptCount val="48"/>
                <c:pt idx="0">
                  <c:v>1448</c:v>
                </c:pt>
                <c:pt idx="1">
                  <c:v>1572</c:v>
                </c:pt>
                <c:pt idx="2">
                  <c:v>1852</c:v>
                </c:pt>
                <c:pt idx="3">
                  <c:v>2352</c:v>
                </c:pt>
                <c:pt idx="4">
                  <c:v>2268</c:v>
                </c:pt>
                <c:pt idx="5">
                  <c:v>2180</c:v>
                </c:pt>
                <c:pt idx="6">
                  <c:v>2306</c:v>
                </c:pt>
                <c:pt idx="7">
                  <c:v>1348</c:v>
                </c:pt>
                <c:pt idx="8">
                  <c:v>1162</c:v>
                </c:pt>
                <c:pt idx="9">
                  <c:v>1123</c:v>
                </c:pt>
                <c:pt idx="10">
                  <c:v>768</c:v>
                </c:pt>
                <c:pt idx="11">
                  <c:v>861</c:v>
                </c:pt>
                <c:pt idx="12">
                  <c:v>1252</c:v>
                </c:pt>
                <c:pt idx="13">
                  <c:v>1345</c:v>
                </c:pt>
                <c:pt idx="14">
                  <c:v>1436</c:v>
                </c:pt>
                <c:pt idx="15">
                  <c:v>1755</c:v>
                </c:pt>
                <c:pt idx="16">
                  <c:v>1828</c:v>
                </c:pt>
                <c:pt idx="17">
                  <c:v>2020</c:v>
                </c:pt>
                <c:pt idx="18">
                  <c:v>2270</c:v>
                </c:pt>
                <c:pt idx="19">
                  <c:v>2275</c:v>
                </c:pt>
                <c:pt idx="20">
                  <c:v>2166</c:v>
                </c:pt>
                <c:pt idx="21">
                  <c:v>2322</c:v>
                </c:pt>
                <c:pt idx="22">
                  <c:v>2146</c:v>
                </c:pt>
                <c:pt idx="23">
                  <c:v>2143</c:v>
                </c:pt>
                <c:pt idx="24">
                  <c:v>2478</c:v>
                </c:pt>
                <c:pt idx="25">
                  <c:v>2732</c:v>
                </c:pt>
                <c:pt idx="26">
                  <c:v>2982</c:v>
                </c:pt>
                <c:pt idx="27">
                  <c:v>3253</c:v>
                </c:pt>
                <c:pt idx="28">
                  <c:v>3502</c:v>
                </c:pt>
              </c:numCache>
            </c:numRef>
          </c:val>
          <c:smooth val="0"/>
        </c:ser>
        <c:ser>
          <c:idx val="0"/>
          <c:order val="2"/>
          <c:tx>
            <c:strRef>
              <c:f>Diagnostics!$A$412</c:f>
              <c:strCache>
                <c:ptCount val="1"/>
                <c:pt idx="0">
                  <c:v>Target (max)</c:v>
                </c:pt>
              </c:strCache>
            </c:strRef>
          </c:tx>
          <c:spPr>
            <a:ln w="25400">
              <a:solidFill>
                <a:srgbClr val="FF0000"/>
              </a:solidFill>
              <a:prstDash val="dash"/>
            </a:ln>
          </c:spPr>
          <c:marker>
            <c:symbol val="none"/>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32347392"/>
        <c:axId val="139488640"/>
      </c:lineChart>
      <c:dateAx>
        <c:axId val="13234739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9488640"/>
        <c:crosses val="autoZero"/>
        <c:auto val="1"/>
        <c:lblOffset val="100"/>
        <c:baseTimeUnit val="months"/>
      </c:dateAx>
      <c:valAx>
        <c:axId val="13948864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2347392"/>
        <c:crosses val="autoZero"/>
        <c:crossBetween val="between"/>
        <c:majorUnit val="250"/>
      </c:valAx>
    </c:plotArea>
    <c:legend>
      <c:legendPos val="r"/>
      <c:layout>
        <c:manualLayout>
          <c:xMode val="edge"/>
          <c:yMode val="edge"/>
          <c:x val="5.4824561403508934E-3"/>
          <c:y val="0.91534391534391535"/>
          <c:w val="0.98428362573099137"/>
          <c:h val="6.8783068783068779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900010315304461"/>
          <c:h val="0.74387423794248253"/>
        </c:manualLayout>
      </c:layout>
      <c:lineChart>
        <c:grouping val="standard"/>
        <c:varyColors val="0"/>
        <c:ser>
          <c:idx val="4"/>
          <c:order val="0"/>
          <c:tx>
            <c:strRef>
              <c:f>Diagnostics!$A$411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Diagnostics!$B$411:$AW$411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numCache>
            </c:numRef>
          </c:val>
          <c:smooth val="0"/>
        </c:ser>
        <c:ser>
          <c:idx val="2"/>
          <c:order val="1"/>
          <c:tx>
            <c:strRef>
              <c:f>Diagnostics!$A$333</c:f>
              <c:strCache>
                <c:ptCount val="1"/>
                <c:pt idx="0">
                  <c:v>Total Radiology Patients Over 6 Week Standard excl. Vascular Labs</c:v>
                </c:pt>
              </c:strCache>
            </c:strRef>
          </c:tx>
          <c:spPr>
            <a:ln w="25400">
              <a:solidFill>
                <a:srgbClr val="0070C0"/>
              </a:solidFill>
              <a:prstDash val="dashDot"/>
            </a:ln>
          </c:spPr>
          <c:marker>
            <c:symbol val="none"/>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Diagnostics!$B$333:$AW$333</c:f>
              <c:numCache>
                <c:formatCode>General</c:formatCode>
                <c:ptCount val="48"/>
                <c:pt idx="0">
                  <c:v>146</c:v>
                </c:pt>
                <c:pt idx="1">
                  <c:v>144</c:v>
                </c:pt>
                <c:pt idx="2">
                  <c:v>142</c:v>
                </c:pt>
                <c:pt idx="3">
                  <c:v>76</c:v>
                </c:pt>
                <c:pt idx="4">
                  <c:v>52</c:v>
                </c:pt>
                <c:pt idx="5">
                  <c:v>130</c:v>
                </c:pt>
                <c:pt idx="6">
                  <c:v>81</c:v>
                </c:pt>
                <c:pt idx="7">
                  <c:v>13</c:v>
                </c:pt>
                <c:pt idx="8">
                  <c:v>22</c:v>
                </c:pt>
                <c:pt idx="9">
                  <c:v>17</c:v>
                </c:pt>
                <c:pt idx="10">
                  <c:v>31</c:v>
                </c:pt>
                <c:pt idx="11">
                  <c:v>25</c:v>
                </c:pt>
                <c:pt idx="12">
                  <c:v>214</c:v>
                </c:pt>
                <c:pt idx="13">
                  <c:v>178</c:v>
                </c:pt>
                <c:pt idx="14">
                  <c:v>198</c:v>
                </c:pt>
                <c:pt idx="15">
                  <c:v>55</c:v>
                </c:pt>
                <c:pt idx="16">
                  <c:v>55</c:v>
                </c:pt>
                <c:pt idx="17">
                  <c:v>27</c:v>
                </c:pt>
                <c:pt idx="18">
                  <c:v>38</c:v>
                </c:pt>
                <c:pt idx="19">
                  <c:v>33</c:v>
                </c:pt>
                <c:pt idx="20">
                  <c:v>80</c:v>
                </c:pt>
                <c:pt idx="21">
                  <c:v>106</c:v>
                </c:pt>
                <c:pt idx="22">
                  <c:v>41</c:v>
                </c:pt>
                <c:pt idx="23">
                  <c:v>33</c:v>
                </c:pt>
                <c:pt idx="24">
                  <c:v>78</c:v>
                </c:pt>
                <c:pt idx="25">
                  <c:v>50</c:v>
                </c:pt>
                <c:pt idx="26">
                  <c:v>52</c:v>
                </c:pt>
                <c:pt idx="27">
                  <c:v>76</c:v>
                </c:pt>
                <c:pt idx="28">
                  <c:v>47</c:v>
                </c:pt>
              </c:numCache>
            </c:numRef>
          </c:val>
          <c:smooth val="0"/>
        </c:ser>
        <c:ser>
          <c:idx val="0"/>
          <c:order val="2"/>
          <c:tx>
            <c:strRef>
              <c:f>Diagnostics!$A$412</c:f>
              <c:strCache>
                <c:ptCount val="1"/>
                <c:pt idx="0">
                  <c:v>Target (max)</c:v>
                </c:pt>
              </c:strCache>
            </c:strRef>
          </c:tx>
          <c:spPr>
            <a:ln w="25400">
              <a:solidFill>
                <a:srgbClr val="FF0000"/>
              </a:solidFill>
              <a:prstDash val="dash"/>
            </a:ln>
          </c:spPr>
          <c:marker>
            <c:symbol val="none"/>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32347904"/>
        <c:axId val="139490944"/>
      </c:lineChart>
      <c:dateAx>
        <c:axId val="13234790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9490944"/>
        <c:crosses val="autoZero"/>
        <c:auto val="1"/>
        <c:lblOffset val="100"/>
        <c:baseTimeUnit val="months"/>
      </c:dateAx>
      <c:valAx>
        <c:axId val="139490944"/>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2347904"/>
        <c:crosses val="autoZero"/>
        <c:crossBetween val="between"/>
        <c:majorUnit val="250"/>
      </c:valAx>
    </c:plotArea>
    <c:legend>
      <c:legendPos val="r"/>
      <c:layout>
        <c:manualLayout>
          <c:xMode val="edge"/>
          <c:yMode val="edge"/>
          <c:x val="5.4824561403508934E-3"/>
          <c:y val="0.90828924162257563"/>
          <c:w val="0.9826428956205826"/>
          <c:h val="7.583774250440916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299"/>
          <c:h val="0.75092891166382381"/>
        </c:manualLayout>
      </c:layout>
      <c:lineChart>
        <c:grouping val="standard"/>
        <c:varyColors val="0"/>
        <c:ser>
          <c:idx val="4"/>
          <c:order val="0"/>
          <c:tx>
            <c:strRef>
              <c:f>Diagnostics!$A$411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Diagnostics!$B$411:$AW$411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numCache>
            </c:numRef>
          </c:val>
          <c:smooth val="0"/>
        </c:ser>
        <c:ser>
          <c:idx val="3"/>
          <c:order val="1"/>
          <c:tx>
            <c:strRef>
              <c:f>Diagnostics!$A$393</c:f>
              <c:strCache>
                <c:ptCount val="1"/>
                <c:pt idx="0">
                  <c:v>Total Vascular Labs Patients Over 6 Weeks Standard </c:v>
                </c:pt>
              </c:strCache>
            </c:strRef>
          </c:tx>
          <c:spPr>
            <a:ln w="25400">
              <a:solidFill>
                <a:srgbClr val="0070C0"/>
              </a:solidFill>
              <a:prstDash val="sysDash"/>
            </a:ln>
          </c:spPr>
          <c:marker>
            <c:symbol val="none"/>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Diagnostics!$B$393:$AW$393</c:f>
              <c:numCache>
                <c:formatCode>General</c:formatCode>
                <c:ptCount val="48"/>
                <c:pt idx="0">
                  <c:v>0</c:v>
                </c:pt>
                <c:pt idx="1">
                  <c:v>0</c:v>
                </c:pt>
                <c:pt idx="2">
                  <c:v>0</c:v>
                </c:pt>
                <c:pt idx="3">
                  <c:v>0</c:v>
                </c:pt>
                <c:pt idx="4">
                  <c:v>0</c:v>
                </c:pt>
                <c:pt idx="5">
                  <c:v>0</c:v>
                </c:pt>
                <c:pt idx="6">
                  <c:v>11</c:v>
                </c:pt>
                <c:pt idx="7">
                  <c:v>22</c:v>
                </c:pt>
                <c:pt idx="8">
                  <c:v>29</c:v>
                </c:pt>
                <c:pt idx="9">
                  <c:v>55</c:v>
                </c:pt>
                <c:pt idx="10">
                  <c:v>27</c:v>
                </c:pt>
                <c:pt idx="11">
                  <c:v>29</c:v>
                </c:pt>
                <c:pt idx="12">
                  <c:v>47</c:v>
                </c:pt>
                <c:pt idx="13">
                  <c:v>26</c:v>
                </c:pt>
                <c:pt idx="14">
                  <c:v>6</c:v>
                </c:pt>
                <c:pt idx="15">
                  <c:v>0</c:v>
                </c:pt>
                <c:pt idx="16">
                  <c:v>4</c:v>
                </c:pt>
                <c:pt idx="17">
                  <c:v>0</c:v>
                </c:pt>
                <c:pt idx="18">
                  <c:v>0</c:v>
                </c:pt>
                <c:pt idx="19">
                  <c:v>0</c:v>
                </c:pt>
                <c:pt idx="20">
                  <c:v>4</c:v>
                </c:pt>
                <c:pt idx="21">
                  <c:v>11</c:v>
                </c:pt>
                <c:pt idx="22">
                  <c:v>22</c:v>
                </c:pt>
                <c:pt idx="23">
                  <c:v>11</c:v>
                </c:pt>
                <c:pt idx="24">
                  <c:v>5</c:v>
                </c:pt>
                <c:pt idx="25">
                  <c:v>5</c:v>
                </c:pt>
                <c:pt idx="26">
                  <c:v>4</c:v>
                </c:pt>
                <c:pt idx="27">
                  <c:v>0</c:v>
                </c:pt>
                <c:pt idx="28">
                  <c:v>4</c:v>
                </c:pt>
              </c:numCache>
            </c:numRef>
          </c:val>
          <c:smooth val="0"/>
        </c:ser>
        <c:ser>
          <c:idx val="0"/>
          <c:order val="2"/>
          <c:tx>
            <c:strRef>
              <c:f>Diagnostics!$A$412</c:f>
              <c:strCache>
                <c:ptCount val="1"/>
                <c:pt idx="0">
                  <c:v>Target (max)</c:v>
                </c:pt>
              </c:strCache>
            </c:strRef>
          </c:tx>
          <c:spPr>
            <a:ln w="25400">
              <a:solidFill>
                <a:srgbClr val="FF0000"/>
              </a:solidFill>
              <a:prstDash val="dash"/>
            </a:ln>
          </c:spPr>
          <c:marker>
            <c:symbol val="none"/>
          </c:marker>
          <c:cat>
            <c:numRef>
              <c:f>Diagnostics!$B$392:$AW$392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32348416"/>
        <c:axId val="132423680"/>
      </c:lineChart>
      <c:dateAx>
        <c:axId val="13234841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2423680"/>
        <c:crosses val="autoZero"/>
        <c:auto val="1"/>
        <c:lblOffset val="100"/>
        <c:baseTimeUnit val="months"/>
      </c:dateAx>
      <c:valAx>
        <c:axId val="13242368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2348416"/>
        <c:crosses val="autoZero"/>
        <c:crossBetween val="between"/>
        <c:majorUnit val="250"/>
      </c:valAx>
    </c:plotArea>
    <c:legend>
      <c:legendPos val="r"/>
      <c:layout>
        <c:manualLayout>
          <c:xMode val="edge"/>
          <c:yMode val="edge"/>
          <c:x val="5.4824561403508934E-3"/>
          <c:y val="0.91181657848324449"/>
          <c:w val="0.98428362573099137"/>
          <c:h val="7.2310405643739195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317768685027913"/>
          <c:h val="0.74387423794248253"/>
        </c:manualLayout>
      </c:layout>
      <c:lineChart>
        <c:grouping val="standard"/>
        <c:varyColors val="0"/>
        <c:ser>
          <c:idx val="4"/>
          <c:order val="0"/>
          <c:tx>
            <c:strRef>
              <c:f>Diagnostics!$A$266</c:f>
              <c:strCache>
                <c:ptCount val="1"/>
                <c:pt idx="0">
                  <c:v>Upper Endoscopy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2"/>
            <c:bubble3D val="0"/>
            <c:spPr>
              <a:ln w="25400" cap="rnd">
                <a:solidFill>
                  <a:srgbClr val="00B050"/>
                </a:solidFill>
                <a:round/>
                <a:headEnd type="none"/>
              </a:ln>
              <a:effectLst/>
            </c:spPr>
          </c:dPt>
          <c:dPt>
            <c:idx val="3"/>
            <c:bubble3D val="0"/>
            <c:spPr>
              <a:ln w="25400" cap="rnd">
                <a:solidFill>
                  <a:srgbClr val="00B050"/>
                </a:solidFill>
                <a:round/>
                <a:headEnd type="none"/>
              </a:ln>
              <a:effectLst/>
            </c:spPr>
          </c:dPt>
          <c:dPt>
            <c:idx val="4"/>
            <c:bubble3D val="0"/>
            <c:spPr>
              <a:ln w="25400" cap="rnd">
                <a:solidFill>
                  <a:srgbClr val="00B050"/>
                </a:solidFill>
                <a:round/>
                <a:headEnd type="none"/>
              </a:ln>
              <a:effectLst/>
            </c:spPr>
          </c:dPt>
          <c:dPt>
            <c:idx val="5"/>
            <c:bubble3D val="0"/>
            <c:spPr>
              <a:ln w="25400" cap="rnd">
                <a:solidFill>
                  <a:srgbClr val="00B050"/>
                </a:solidFill>
                <a:round/>
                <a:headEnd type="none"/>
              </a:ln>
              <a:effectLst/>
            </c:spPr>
          </c:dPt>
          <c:dPt>
            <c:idx val="6"/>
            <c:bubble3D val="0"/>
            <c:spPr>
              <a:ln w="25400" cap="rnd">
                <a:solidFill>
                  <a:srgbClr val="00B050"/>
                </a:solidFill>
                <a:round/>
                <a:headEnd type="none"/>
              </a:ln>
              <a:effectLst/>
            </c:spPr>
          </c:dPt>
          <c:dPt>
            <c:idx val="7"/>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4"/>
            <c:marker>
              <c:spPr>
                <a:solidFill>
                  <a:srgbClr val="00B0F0"/>
                </a:solidFill>
                <a:ln w="25400">
                  <a:solidFill>
                    <a:srgbClr val="0070C0"/>
                  </a:solidFill>
                </a:ln>
              </c:spPr>
            </c:marker>
            <c:bubble3D val="0"/>
          </c:dPt>
          <c:dPt>
            <c:idx val="26"/>
            <c:bubble3D val="0"/>
          </c:dPt>
          <c:dPt>
            <c:idx val="27"/>
            <c:marker>
              <c:spPr>
                <a:solidFill>
                  <a:schemeClr val="bg1"/>
                </a:solidFill>
                <a:ln w="25400">
                  <a:solidFill>
                    <a:srgbClr val="0070C0"/>
                  </a:solidFill>
                </a:ln>
              </c:spPr>
            </c:marker>
            <c:bubble3D val="0"/>
          </c:dPt>
          <c:dPt>
            <c:idx val="28"/>
            <c:marker>
              <c:spPr>
                <a:solidFill>
                  <a:schemeClr val="bg1"/>
                </a:solidFill>
                <a:ln w="25400">
                  <a:solidFill>
                    <a:srgbClr val="0070C0"/>
                  </a:solidFill>
                </a:ln>
              </c:spPr>
            </c:marker>
            <c:bubble3D val="0"/>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Diagnostics!$B$266:$AW$266</c:f>
              <c:numCache>
                <c:formatCode>#,##0</c:formatCode>
                <c:ptCount val="48"/>
                <c:pt idx="0">
                  <c:v>654</c:v>
                </c:pt>
                <c:pt idx="1">
                  <c:v>761</c:v>
                </c:pt>
                <c:pt idx="2">
                  <c:v>841</c:v>
                </c:pt>
                <c:pt idx="3">
                  <c:v>978</c:v>
                </c:pt>
                <c:pt idx="4">
                  <c:v>846</c:v>
                </c:pt>
                <c:pt idx="5">
                  <c:v>778</c:v>
                </c:pt>
                <c:pt idx="6">
                  <c:v>850</c:v>
                </c:pt>
                <c:pt idx="7">
                  <c:v>592</c:v>
                </c:pt>
                <c:pt idx="8">
                  <c:v>497</c:v>
                </c:pt>
                <c:pt idx="9">
                  <c:v>504</c:v>
                </c:pt>
                <c:pt idx="10">
                  <c:v>389</c:v>
                </c:pt>
                <c:pt idx="11">
                  <c:v>433</c:v>
                </c:pt>
                <c:pt idx="12">
                  <c:v>552</c:v>
                </c:pt>
                <c:pt idx="13">
                  <c:v>567</c:v>
                </c:pt>
                <c:pt idx="14">
                  <c:v>620</c:v>
                </c:pt>
                <c:pt idx="15">
                  <c:v>730</c:v>
                </c:pt>
                <c:pt idx="16">
                  <c:v>710</c:v>
                </c:pt>
                <c:pt idx="17">
                  <c:v>792</c:v>
                </c:pt>
                <c:pt idx="18">
                  <c:v>922</c:v>
                </c:pt>
                <c:pt idx="19">
                  <c:v>873</c:v>
                </c:pt>
                <c:pt idx="20">
                  <c:v>786</c:v>
                </c:pt>
                <c:pt idx="21">
                  <c:v>807</c:v>
                </c:pt>
                <c:pt idx="22">
                  <c:v>758</c:v>
                </c:pt>
                <c:pt idx="23">
                  <c:v>668</c:v>
                </c:pt>
                <c:pt idx="24">
                  <c:v>774</c:v>
                </c:pt>
                <c:pt idx="25">
                  <c:v>871</c:v>
                </c:pt>
                <c:pt idx="26">
                  <c:v>992</c:v>
                </c:pt>
                <c:pt idx="27">
                  <c:v>1120</c:v>
                </c:pt>
                <c:pt idx="28">
                  <c:v>1225</c:v>
                </c:pt>
              </c:numCache>
            </c:numRef>
          </c:val>
          <c:smooth val="0"/>
        </c:ser>
        <c:ser>
          <c:idx val="3"/>
          <c:order val="1"/>
          <c:tx>
            <c:strRef>
              <c:f>Diagnostics!$A$276</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Diagnostics!$B$276:$AW$276</c:f>
              <c:numCache>
                <c:formatCode>#,##0</c:formatCode>
                <c:ptCount val="48"/>
                <c:pt idx="0">
                  <c:v>754.82758620689651</c:v>
                </c:pt>
                <c:pt idx="1">
                  <c:v>754.82758620689651</c:v>
                </c:pt>
                <c:pt idx="2">
                  <c:v>754.82758620689651</c:v>
                </c:pt>
                <c:pt idx="3">
                  <c:v>754.82758620689651</c:v>
                </c:pt>
                <c:pt idx="4">
                  <c:v>754.82758620689651</c:v>
                </c:pt>
                <c:pt idx="5">
                  <c:v>754.82758620689651</c:v>
                </c:pt>
                <c:pt idx="6">
                  <c:v>754.82758620689651</c:v>
                </c:pt>
                <c:pt idx="7">
                  <c:v>754.82758620689651</c:v>
                </c:pt>
                <c:pt idx="8">
                  <c:v>754.82758620689651</c:v>
                </c:pt>
                <c:pt idx="9">
                  <c:v>754.82758620689651</c:v>
                </c:pt>
                <c:pt idx="10">
                  <c:v>754.82758620689651</c:v>
                </c:pt>
                <c:pt idx="11">
                  <c:v>754.82758620689651</c:v>
                </c:pt>
                <c:pt idx="12">
                  <c:v>754.82758620689651</c:v>
                </c:pt>
                <c:pt idx="13">
                  <c:v>754.82758620689651</c:v>
                </c:pt>
                <c:pt idx="14">
                  <c:v>754.82758620689651</c:v>
                </c:pt>
                <c:pt idx="15">
                  <c:v>754.82758620689651</c:v>
                </c:pt>
                <c:pt idx="16">
                  <c:v>754.82758620689651</c:v>
                </c:pt>
                <c:pt idx="17">
                  <c:v>754.82758620689651</c:v>
                </c:pt>
                <c:pt idx="18">
                  <c:v>754.82758620689651</c:v>
                </c:pt>
                <c:pt idx="19">
                  <c:v>754.82758620689651</c:v>
                </c:pt>
                <c:pt idx="20">
                  <c:v>754.82758620689651</c:v>
                </c:pt>
                <c:pt idx="21">
                  <c:v>754.82758620689651</c:v>
                </c:pt>
                <c:pt idx="22">
                  <c:v>754.82758620689651</c:v>
                </c:pt>
                <c:pt idx="23">
                  <c:v>754.82758620689651</c:v>
                </c:pt>
                <c:pt idx="24">
                  <c:v>754.82758620689651</c:v>
                </c:pt>
                <c:pt idx="25">
                  <c:v>754.82758620689651</c:v>
                </c:pt>
                <c:pt idx="26">
                  <c:v>754.82758620689651</c:v>
                </c:pt>
                <c:pt idx="27">
                  <c:v>754.82758620689651</c:v>
                </c:pt>
                <c:pt idx="28">
                  <c:v>754.82758620689651</c:v>
                </c:pt>
                <c:pt idx="29">
                  <c:v>754.82758620689651</c:v>
                </c:pt>
                <c:pt idx="30">
                  <c:v>754.82758620689651</c:v>
                </c:pt>
                <c:pt idx="31">
                  <c:v>754.82758620689651</c:v>
                </c:pt>
                <c:pt idx="32">
                  <c:v>754.82758620689651</c:v>
                </c:pt>
                <c:pt idx="33">
                  <c:v>754.82758620689651</c:v>
                </c:pt>
                <c:pt idx="34">
                  <c:v>754.82758620689651</c:v>
                </c:pt>
                <c:pt idx="35">
                  <c:v>754.82758620689651</c:v>
                </c:pt>
                <c:pt idx="36">
                  <c:v>754.82758620689651</c:v>
                </c:pt>
                <c:pt idx="37">
                  <c:v>754.82758620689651</c:v>
                </c:pt>
                <c:pt idx="38">
                  <c:v>754.82758620689651</c:v>
                </c:pt>
                <c:pt idx="39">
                  <c:v>754.82758620689651</c:v>
                </c:pt>
                <c:pt idx="40">
                  <c:v>754.82758620689651</c:v>
                </c:pt>
                <c:pt idx="41">
                  <c:v>754.82758620689651</c:v>
                </c:pt>
                <c:pt idx="42">
                  <c:v>754.82758620689651</c:v>
                </c:pt>
                <c:pt idx="43">
                  <c:v>754.82758620689651</c:v>
                </c:pt>
                <c:pt idx="44">
                  <c:v>754.82758620689651</c:v>
                </c:pt>
                <c:pt idx="45">
                  <c:v>754.82758620689651</c:v>
                </c:pt>
                <c:pt idx="46">
                  <c:v>754.82758620689651</c:v>
                </c:pt>
                <c:pt idx="47">
                  <c:v>754.82758620689651</c:v>
                </c:pt>
              </c:numCache>
            </c:numRef>
          </c:val>
          <c:smooth val="0"/>
        </c:ser>
        <c:ser>
          <c:idx val="1"/>
          <c:order val="2"/>
          <c:tx>
            <c:strRef>
              <c:f>Diagnostics!$A$279</c:f>
              <c:strCache>
                <c:ptCount val="1"/>
                <c:pt idx="0">
                  <c:v>Upper Control Limit </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Diagnostics!$B$279:$AW$279</c:f>
              <c:numCache>
                <c:formatCode>#,##0</c:formatCode>
                <c:ptCount val="48"/>
                <c:pt idx="0">
                  <c:v>992.00463787862907</c:v>
                </c:pt>
                <c:pt idx="1">
                  <c:v>992.00463787862907</c:v>
                </c:pt>
                <c:pt idx="2">
                  <c:v>992.00463787862907</c:v>
                </c:pt>
                <c:pt idx="3">
                  <c:v>992.00463787862907</c:v>
                </c:pt>
                <c:pt idx="4">
                  <c:v>992.00463787862907</c:v>
                </c:pt>
                <c:pt idx="5">
                  <c:v>992.00463787862907</c:v>
                </c:pt>
                <c:pt idx="6">
                  <c:v>992.00463787862907</c:v>
                </c:pt>
                <c:pt idx="7">
                  <c:v>992.00463787862907</c:v>
                </c:pt>
                <c:pt idx="8">
                  <c:v>992.00463787862907</c:v>
                </c:pt>
                <c:pt idx="9">
                  <c:v>992.00463787862907</c:v>
                </c:pt>
                <c:pt idx="10">
                  <c:v>992.00463787862907</c:v>
                </c:pt>
                <c:pt idx="11">
                  <c:v>992.00463787862907</c:v>
                </c:pt>
                <c:pt idx="12">
                  <c:v>992.00463787862907</c:v>
                </c:pt>
                <c:pt idx="13">
                  <c:v>992.00463787862907</c:v>
                </c:pt>
                <c:pt idx="14">
                  <c:v>992.00463787862907</c:v>
                </c:pt>
                <c:pt idx="15">
                  <c:v>992.00463787862907</c:v>
                </c:pt>
                <c:pt idx="16">
                  <c:v>992.00463787862907</c:v>
                </c:pt>
                <c:pt idx="17">
                  <c:v>992.00463787862907</c:v>
                </c:pt>
                <c:pt idx="18">
                  <c:v>992.00463787862907</c:v>
                </c:pt>
                <c:pt idx="19">
                  <c:v>992.00463787862907</c:v>
                </c:pt>
                <c:pt idx="20">
                  <c:v>992.00463787862907</c:v>
                </c:pt>
                <c:pt idx="21">
                  <c:v>992.00463787862907</c:v>
                </c:pt>
                <c:pt idx="22">
                  <c:v>992.00463787862907</c:v>
                </c:pt>
                <c:pt idx="23">
                  <c:v>992.00463787862907</c:v>
                </c:pt>
                <c:pt idx="24">
                  <c:v>992.00463787862907</c:v>
                </c:pt>
                <c:pt idx="25">
                  <c:v>992.00463787862907</c:v>
                </c:pt>
                <c:pt idx="26">
                  <c:v>992.00463787862907</c:v>
                </c:pt>
                <c:pt idx="27">
                  <c:v>992.00463787862907</c:v>
                </c:pt>
                <c:pt idx="28">
                  <c:v>992.00463787862907</c:v>
                </c:pt>
                <c:pt idx="29">
                  <c:v>992.00463787862907</c:v>
                </c:pt>
                <c:pt idx="30">
                  <c:v>992.00463787862907</c:v>
                </c:pt>
                <c:pt idx="31">
                  <c:v>992.00463787862907</c:v>
                </c:pt>
                <c:pt idx="32">
                  <c:v>992.00463787862907</c:v>
                </c:pt>
                <c:pt idx="33">
                  <c:v>992.00463787862907</c:v>
                </c:pt>
                <c:pt idx="34">
                  <c:v>992.00463787862907</c:v>
                </c:pt>
                <c:pt idx="35">
                  <c:v>992.00463787862907</c:v>
                </c:pt>
                <c:pt idx="36">
                  <c:v>992.00463787862907</c:v>
                </c:pt>
                <c:pt idx="37">
                  <c:v>992.00463787862907</c:v>
                </c:pt>
                <c:pt idx="38">
                  <c:v>992.00463787862907</c:v>
                </c:pt>
                <c:pt idx="39">
                  <c:v>992.00463787862907</c:v>
                </c:pt>
                <c:pt idx="40">
                  <c:v>992.00463787862907</c:v>
                </c:pt>
                <c:pt idx="41">
                  <c:v>992.00463787862907</c:v>
                </c:pt>
                <c:pt idx="42">
                  <c:v>992.00463787862907</c:v>
                </c:pt>
                <c:pt idx="43">
                  <c:v>992.00463787862907</c:v>
                </c:pt>
                <c:pt idx="44">
                  <c:v>992.00463787862907</c:v>
                </c:pt>
                <c:pt idx="45">
                  <c:v>992.00463787862907</c:v>
                </c:pt>
                <c:pt idx="46">
                  <c:v>992.00463787862907</c:v>
                </c:pt>
                <c:pt idx="47">
                  <c:v>992.00463787862907</c:v>
                </c:pt>
              </c:numCache>
            </c:numRef>
          </c:val>
          <c:smooth val="0"/>
        </c:ser>
        <c:ser>
          <c:idx val="2"/>
          <c:order val="3"/>
          <c:tx>
            <c:strRef>
              <c:f>Diagnostics!$A$280</c:f>
              <c:strCache>
                <c:ptCount val="1"/>
                <c:pt idx="0">
                  <c:v>Lower Control Limit</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Diagnostics!$B$280:$AW$280</c:f>
              <c:numCache>
                <c:formatCode>#,##0</c:formatCode>
                <c:ptCount val="48"/>
                <c:pt idx="0">
                  <c:v>517.65053453516396</c:v>
                </c:pt>
                <c:pt idx="1">
                  <c:v>517.65053453516396</c:v>
                </c:pt>
                <c:pt idx="2">
                  <c:v>517.65053453516396</c:v>
                </c:pt>
                <c:pt idx="3">
                  <c:v>517.65053453516396</c:v>
                </c:pt>
                <c:pt idx="4">
                  <c:v>517.65053453516396</c:v>
                </c:pt>
                <c:pt idx="5">
                  <c:v>517.65053453516396</c:v>
                </c:pt>
                <c:pt idx="6">
                  <c:v>517.65053453516396</c:v>
                </c:pt>
                <c:pt idx="7">
                  <c:v>517.65053453516396</c:v>
                </c:pt>
                <c:pt idx="8">
                  <c:v>517.65053453516396</c:v>
                </c:pt>
                <c:pt idx="9">
                  <c:v>517.65053453516396</c:v>
                </c:pt>
                <c:pt idx="10">
                  <c:v>517.65053453516396</c:v>
                </c:pt>
                <c:pt idx="11">
                  <c:v>517.65053453516396</c:v>
                </c:pt>
                <c:pt idx="12">
                  <c:v>517.65053453516396</c:v>
                </c:pt>
                <c:pt idx="13">
                  <c:v>517.65053453516396</c:v>
                </c:pt>
                <c:pt idx="14">
                  <c:v>517.65053453516396</c:v>
                </c:pt>
                <c:pt idx="15">
                  <c:v>517.65053453516396</c:v>
                </c:pt>
                <c:pt idx="16">
                  <c:v>517.65053453516396</c:v>
                </c:pt>
                <c:pt idx="17">
                  <c:v>517.65053453516396</c:v>
                </c:pt>
                <c:pt idx="18">
                  <c:v>517.65053453516396</c:v>
                </c:pt>
                <c:pt idx="19">
                  <c:v>517.65053453516396</c:v>
                </c:pt>
                <c:pt idx="20">
                  <c:v>517.65053453516396</c:v>
                </c:pt>
                <c:pt idx="21">
                  <c:v>517.65053453516396</c:v>
                </c:pt>
                <c:pt idx="22">
                  <c:v>517.65053453516396</c:v>
                </c:pt>
                <c:pt idx="23">
                  <c:v>517.65053453516396</c:v>
                </c:pt>
                <c:pt idx="24">
                  <c:v>517.65053453516396</c:v>
                </c:pt>
                <c:pt idx="25">
                  <c:v>517.65053453516396</c:v>
                </c:pt>
                <c:pt idx="26">
                  <c:v>517.65053453516396</c:v>
                </c:pt>
                <c:pt idx="27">
                  <c:v>517.65053453516396</c:v>
                </c:pt>
                <c:pt idx="28">
                  <c:v>517.65053453516396</c:v>
                </c:pt>
                <c:pt idx="29">
                  <c:v>517.65053453516396</c:v>
                </c:pt>
                <c:pt idx="30">
                  <c:v>517.65053453516396</c:v>
                </c:pt>
                <c:pt idx="31">
                  <c:v>517.65053453516396</c:v>
                </c:pt>
                <c:pt idx="32">
                  <c:v>517.65053453516396</c:v>
                </c:pt>
                <c:pt idx="33">
                  <c:v>517.65053453516396</c:v>
                </c:pt>
                <c:pt idx="34">
                  <c:v>517.65053453516396</c:v>
                </c:pt>
                <c:pt idx="35">
                  <c:v>517.65053453516396</c:v>
                </c:pt>
                <c:pt idx="36">
                  <c:v>517.65053453516396</c:v>
                </c:pt>
                <c:pt idx="37">
                  <c:v>517.65053453516396</c:v>
                </c:pt>
                <c:pt idx="38">
                  <c:v>517.65053453516396</c:v>
                </c:pt>
                <c:pt idx="39">
                  <c:v>517.65053453516396</c:v>
                </c:pt>
                <c:pt idx="40">
                  <c:v>517.65053453516396</c:v>
                </c:pt>
                <c:pt idx="41">
                  <c:v>517.65053453516396</c:v>
                </c:pt>
                <c:pt idx="42">
                  <c:v>517.65053453516396</c:v>
                </c:pt>
                <c:pt idx="43">
                  <c:v>517.65053453516396</c:v>
                </c:pt>
                <c:pt idx="44">
                  <c:v>517.65053453516396</c:v>
                </c:pt>
                <c:pt idx="45">
                  <c:v>517.65053453516396</c:v>
                </c:pt>
                <c:pt idx="46">
                  <c:v>517.65053453516396</c:v>
                </c:pt>
                <c:pt idx="47">
                  <c:v>517.65053453516396</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32349440"/>
        <c:axId val="132425984"/>
      </c:lineChart>
      <c:dateAx>
        <c:axId val="13234944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2425984"/>
        <c:crosses val="autoZero"/>
        <c:auto val="1"/>
        <c:lblOffset val="100"/>
        <c:baseTimeUnit val="months"/>
      </c:dateAx>
      <c:valAx>
        <c:axId val="13242598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2349440"/>
        <c:crosses val="autoZero"/>
        <c:crossBetween val="between"/>
      </c:valAx>
    </c:plotArea>
    <c:legend>
      <c:legendPos val="r"/>
      <c:layout>
        <c:manualLayout>
          <c:xMode val="edge"/>
          <c:yMode val="edge"/>
          <c:x val="5.4824561403508934E-3"/>
          <c:y val="0.91181657848324449"/>
          <c:w val="0.98372015725108664"/>
          <c:h val="8.8183421516754831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299"/>
          <c:h val="0.754456248524492"/>
        </c:manualLayout>
      </c:layout>
      <c:lineChart>
        <c:grouping val="standard"/>
        <c:varyColors val="0"/>
        <c:ser>
          <c:idx val="4"/>
          <c:order val="0"/>
          <c:tx>
            <c:strRef>
              <c:f>Diagnostics!$A$267</c:f>
              <c:strCache>
                <c:ptCount val="1"/>
                <c:pt idx="0">
                  <c:v>Colonoscopy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bubble3D val="0"/>
          </c:dPt>
          <c:dPt>
            <c:idx val="1"/>
            <c:marker>
              <c:spPr>
                <a:solidFill>
                  <a:schemeClr val="bg1"/>
                </a:solidFill>
                <a:ln w="25400">
                  <a:solidFill>
                    <a:srgbClr val="0070C0"/>
                  </a:solidFill>
                </a:ln>
              </c:spPr>
            </c:marker>
            <c:bubble3D val="0"/>
          </c:dPt>
          <c:dPt>
            <c:idx val="2"/>
            <c:bubble3D val="0"/>
          </c:dPt>
          <c:dPt>
            <c:idx val="3"/>
            <c:bubble3D val="0"/>
          </c:dPt>
          <c:dPt>
            <c:idx val="4"/>
            <c:bubble3D val="0"/>
          </c:dPt>
          <c:dPt>
            <c:idx val="5"/>
            <c:bubble3D val="0"/>
          </c:dPt>
          <c:dPt>
            <c:idx val="7"/>
            <c:marker>
              <c:spPr>
                <a:solidFill>
                  <a:schemeClr val="bg1"/>
                </a:solidFill>
                <a:ln w="25400">
                  <a:solidFill>
                    <a:srgbClr val="0070C0"/>
                  </a:solidFill>
                </a:ln>
              </c:spPr>
            </c:marker>
            <c:bubble3D val="0"/>
          </c:dPt>
          <c:dPt>
            <c:idx val="8"/>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Diagnostics!$B$267:$AW$267</c:f>
              <c:numCache>
                <c:formatCode>#,##0</c:formatCode>
                <c:ptCount val="48"/>
                <c:pt idx="0">
                  <c:v>285</c:v>
                </c:pt>
                <c:pt idx="1">
                  <c:v>303</c:v>
                </c:pt>
                <c:pt idx="2">
                  <c:v>421</c:v>
                </c:pt>
                <c:pt idx="3">
                  <c:v>654</c:v>
                </c:pt>
                <c:pt idx="4">
                  <c:v>674</c:v>
                </c:pt>
                <c:pt idx="5">
                  <c:v>680</c:v>
                </c:pt>
                <c:pt idx="6">
                  <c:v>639</c:v>
                </c:pt>
                <c:pt idx="7">
                  <c:v>406</c:v>
                </c:pt>
                <c:pt idx="8">
                  <c:v>457</c:v>
                </c:pt>
                <c:pt idx="9">
                  <c:v>418</c:v>
                </c:pt>
                <c:pt idx="10">
                  <c:v>210</c:v>
                </c:pt>
                <c:pt idx="11">
                  <c:v>229</c:v>
                </c:pt>
                <c:pt idx="12">
                  <c:v>448</c:v>
                </c:pt>
                <c:pt idx="13">
                  <c:v>507</c:v>
                </c:pt>
                <c:pt idx="14">
                  <c:v>568</c:v>
                </c:pt>
                <c:pt idx="15">
                  <c:v>682</c:v>
                </c:pt>
                <c:pt idx="16">
                  <c:v>716</c:v>
                </c:pt>
                <c:pt idx="17">
                  <c:v>742</c:v>
                </c:pt>
                <c:pt idx="18">
                  <c:v>767</c:v>
                </c:pt>
                <c:pt idx="19">
                  <c:v>780</c:v>
                </c:pt>
                <c:pt idx="20">
                  <c:v>746</c:v>
                </c:pt>
                <c:pt idx="21">
                  <c:v>728</c:v>
                </c:pt>
                <c:pt idx="22">
                  <c:v>660</c:v>
                </c:pt>
                <c:pt idx="23">
                  <c:v>669</c:v>
                </c:pt>
                <c:pt idx="24">
                  <c:v>762</c:v>
                </c:pt>
                <c:pt idx="25">
                  <c:v>835</c:v>
                </c:pt>
                <c:pt idx="26">
                  <c:v>846</c:v>
                </c:pt>
                <c:pt idx="27">
                  <c:v>961</c:v>
                </c:pt>
                <c:pt idx="28">
                  <c:v>1065</c:v>
                </c:pt>
              </c:numCache>
            </c:numRef>
          </c:val>
          <c:smooth val="0"/>
        </c:ser>
        <c:ser>
          <c:idx val="3"/>
          <c:order val="1"/>
          <c:tx>
            <c:strRef>
              <c:f>Diagnostics!$A$287</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Diagnostics!$B$287:$AW$287</c:f>
              <c:numCache>
                <c:formatCode>#,##0</c:formatCode>
                <c:ptCount val="48"/>
                <c:pt idx="0">
                  <c:v>615.79310344827582</c:v>
                </c:pt>
                <c:pt idx="1">
                  <c:v>615.79310344827582</c:v>
                </c:pt>
                <c:pt idx="2">
                  <c:v>615.79310344827582</c:v>
                </c:pt>
                <c:pt idx="3">
                  <c:v>615.79310344827582</c:v>
                </c:pt>
                <c:pt idx="4">
                  <c:v>615.79310344827582</c:v>
                </c:pt>
                <c:pt idx="5">
                  <c:v>615.79310344827582</c:v>
                </c:pt>
                <c:pt idx="6">
                  <c:v>615.79310344827582</c:v>
                </c:pt>
                <c:pt idx="7">
                  <c:v>615.79310344827582</c:v>
                </c:pt>
                <c:pt idx="8">
                  <c:v>615.79310344827582</c:v>
                </c:pt>
                <c:pt idx="9">
                  <c:v>615.79310344827582</c:v>
                </c:pt>
                <c:pt idx="10">
                  <c:v>615.79310344827582</c:v>
                </c:pt>
                <c:pt idx="11">
                  <c:v>615.79310344827582</c:v>
                </c:pt>
                <c:pt idx="12">
                  <c:v>615.79310344827582</c:v>
                </c:pt>
                <c:pt idx="13">
                  <c:v>615.79310344827582</c:v>
                </c:pt>
                <c:pt idx="14">
                  <c:v>615.79310344827582</c:v>
                </c:pt>
                <c:pt idx="15">
                  <c:v>615.79310344827582</c:v>
                </c:pt>
                <c:pt idx="16">
                  <c:v>615.79310344827582</c:v>
                </c:pt>
                <c:pt idx="17">
                  <c:v>615.79310344827582</c:v>
                </c:pt>
                <c:pt idx="18">
                  <c:v>615.79310344827582</c:v>
                </c:pt>
                <c:pt idx="19">
                  <c:v>615.79310344827582</c:v>
                </c:pt>
                <c:pt idx="20">
                  <c:v>615.79310344827582</c:v>
                </c:pt>
                <c:pt idx="21">
                  <c:v>615.79310344827582</c:v>
                </c:pt>
                <c:pt idx="22">
                  <c:v>615.79310344827582</c:v>
                </c:pt>
                <c:pt idx="23">
                  <c:v>615.79310344827582</c:v>
                </c:pt>
                <c:pt idx="24">
                  <c:v>615.79310344827582</c:v>
                </c:pt>
                <c:pt idx="25">
                  <c:v>615.79310344827582</c:v>
                </c:pt>
                <c:pt idx="26">
                  <c:v>615.79310344827582</c:v>
                </c:pt>
                <c:pt idx="27">
                  <c:v>615.79310344827582</c:v>
                </c:pt>
                <c:pt idx="28">
                  <c:v>615.79310344827582</c:v>
                </c:pt>
                <c:pt idx="29">
                  <c:v>615.79310344827582</c:v>
                </c:pt>
                <c:pt idx="30">
                  <c:v>615.79310344827582</c:v>
                </c:pt>
                <c:pt idx="31">
                  <c:v>615.79310344827582</c:v>
                </c:pt>
                <c:pt idx="32">
                  <c:v>615.79310344827582</c:v>
                </c:pt>
                <c:pt idx="33">
                  <c:v>615.79310344827582</c:v>
                </c:pt>
                <c:pt idx="34">
                  <c:v>615.79310344827582</c:v>
                </c:pt>
                <c:pt idx="35">
                  <c:v>615.79310344827582</c:v>
                </c:pt>
                <c:pt idx="36">
                  <c:v>615.79310344827582</c:v>
                </c:pt>
                <c:pt idx="37">
                  <c:v>615.79310344827582</c:v>
                </c:pt>
                <c:pt idx="38">
                  <c:v>615.79310344827582</c:v>
                </c:pt>
                <c:pt idx="39">
                  <c:v>615.79310344827582</c:v>
                </c:pt>
                <c:pt idx="40">
                  <c:v>615.79310344827582</c:v>
                </c:pt>
                <c:pt idx="41">
                  <c:v>615.79310344827582</c:v>
                </c:pt>
                <c:pt idx="42">
                  <c:v>615.79310344827582</c:v>
                </c:pt>
                <c:pt idx="43">
                  <c:v>615.79310344827582</c:v>
                </c:pt>
                <c:pt idx="44">
                  <c:v>615.79310344827582</c:v>
                </c:pt>
                <c:pt idx="45">
                  <c:v>615.79310344827582</c:v>
                </c:pt>
                <c:pt idx="46">
                  <c:v>615.79310344827582</c:v>
                </c:pt>
                <c:pt idx="47">
                  <c:v>615.79310344827582</c:v>
                </c:pt>
              </c:numCache>
            </c:numRef>
          </c:val>
          <c:smooth val="0"/>
        </c:ser>
        <c:ser>
          <c:idx val="1"/>
          <c:order val="2"/>
          <c:tx>
            <c:strRef>
              <c:f>Diagnostics!$A$290</c:f>
              <c:strCache>
                <c:ptCount val="1"/>
                <c:pt idx="0">
                  <c:v>Upper Control Limit </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Diagnostics!$B$290:$AW$290</c:f>
              <c:numCache>
                <c:formatCode>#,##0</c:formatCode>
                <c:ptCount val="48"/>
                <c:pt idx="0">
                  <c:v>811.65176606225759</c:v>
                </c:pt>
                <c:pt idx="1">
                  <c:v>811.65176606225759</c:v>
                </c:pt>
                <c:pt idx="2">
                  <c:v>811.65176606225759</c:v>
                </c:pt>
                <c:pt idx="3">
                  <c:v>811.65176606225759</c:v>
                </c:pt>
                <c:pt idx="4">
                  <c:v>811.65176606225759</c:v>
                </c:pt>
                <c:pt idx="5">
                  <c:v>811.65176606225759</c:v>
                </c:pt>
                <c:pt idx="6">
                  <c:v>811.65176606225759</c:v>
                </c:pt>
                <c:pt idx="7">
                  <c:v>811.65176606225759</c:v>
                </c:pt>
                <c:pt idx="8">
                  <c:v>811.65176606225759</c:v>
                </c:pt>
                <c:pt idx="9">
                  <c:v>811.65176606225759</c:v>
                </c:pt>
                <c:pt idx="10">
                  <c:v>811.65176606225759</c:v>
                </c:pt>
                <c:pt idx="11">
                  <c:v>811.65176606225759</c:v>
                </c:pt>
                <c:pt idx="12">
                  <c:v>811.65176606225759</c:v>
                </c:pt>
                <c:pt idx="13">
                  <c:v>811.65176606225759</c:v>
                </c:pt>
                <c:pt idx="14">
                  <c:v>811.65176606225759</c:v>
                </c:pt>
                <c:pt idx="15">
                  <c:v>811.65176606225759</c:v>
                </c:pt>
                <c:pt idx="16">
                  <c:v>811.65176606225759</c:v>
                </c:pt>
                <c:pt idx="17">
                  <c:v>811.65176606225759</c:v>
                </c:pt>
                <c:pt idx="18">
                  <c:v>811.65176606225759</c:v>
                </c:pt>
                <c:pt idx="19">
                  <c:v>811.65176606225759</c:v>
                </c:pt>
                <c:pt idx="20">
                  <c:v>811.65176606225759</c:v>
                </c:pt>
                <c:pt idx="21">
                  <c:v>811.65176606225759</c:v>
                </c:pt>
                <c:pt idx="22">
                  <c:v>811.65176606225759</c:v>
                </c:pt>
                <c:pt idx="23">
                  <c:v>811.65176606225759</c:v>
                </c:pt>
                <c:pt idx="24">
                  <c:v>811.65176606225759</c:v>
                </c:pt>
                <c:pt idx="25">
                  <c:v>811.65176606225759</c:v>
                </c:pt>
                <c:pt idx="26">
                  <c:v>811.65176606225759</c:v>
                </c:pt>
                <c:pt idx="27">
                  <c:v>811.65176606225759</c:v>
                </c:pt>
                <c:pt idx="28">
                  <c:v>811.65176606225759</c:v>
                </c:pt>
                <c:pt idx="29">
                  <c:v>811.65176606225759</c:v>
                </c:pt>
                <c:pt idx="30">
                  <c:v>811.65176606225759</c:v>
                </c:pt>
                <c:pt idx="31">
                  <c:v>811.65176606225759</c:v>
                </c:pt>
                <c:pt idx="32">
                  <c:v>811.65176606225759</c:v>
                </c:pt>
                <c:pt idx="33">
                  <c:v>811.65176606225759</c:v>
                </c:pt>
                <c:pt idx="34">
                  <c:v>811.65176606225759</c:v>
                </c:pt>
                <c:pt idx="35">
                  <c:v>811.65176606225759</c:v>
                </c:pt>
                <c:pt idx="36">
                  <c:v>811.65176606225759</c:v>
                </c:pt>
                <c:pt idx="37">
                  <c:v>811.65176606225759</c:v>
                </c:pt>
                <c:pt idx="38">
                  <c:v>811.65176606225759</c:v>
                </c:pt>
                <c:pt idx="39">
                  <c:v>811.65176606225759</c:v>
                </c:pt>
                <c:pt idx="40">
                  <c:v>811.65176606225759</c:v>
                </c:pt>
                <c:pt idx="41">
                  <c:v>811.65176606225759</c:v>
                </c:pt>
                <c:pt idx="42">
                  <c:v>811.65176606225759</c:v>
                </c:pt>
                <c:pt idx="43">
                  <c:v>811.65176606225759</c:v>
                </c:pt>
                <c:pt idx="44">
                  <c:v>811.65176606225759</c:v>
                </c:pt>
                <c:pt idx="45">
                  <c:v>811.65176606225759</c:v>
                </c:pt>
                <c:pt idx="46">
                  <c:v>811.65176606225759</c:v>
                </c:pt>
                <c:pt idx="47">
                  <c:v>811.65176606225759</c:v>
                </c:pt>
              </c:numCache>
            </c:numRef>
          </c:val>
          <c:smooth val="0"/>
        </c:ser>
        <c:ser>
          <c:idx val="2"/>
          <c:order val="3"/>
          <c:tx>
            <c:strRef>
              <c:f>Diagnostics!$A$291</c:f>
              <c:strCache>
                <c:ptCount val="1"/>
                <c:pt idx="0">
                  <c:v>Lower Control Limit</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Diagnostics!$B$291:$AW$291</c:f>
              <c:numCache>
                <c:formatCode>#,##0</c:formatCode>
                <c:ptCount val="48"/>
                <c:pt idx="0">
                  <c:v>419.93444083429404</c:v>
                </c:pt>
                <c:pt idx="1">
                  <c:v>419.93444083429404</c:v>
                </c:pt>
                <c:pt idx="2">
                  <c:v>419.93444083429404</c:v>
                </c:pt>
                <c:pt idx="3">
                  <c:v>419.93444083429404</c:v>
                </c:pt>
                <c:pt idx="4">
                  <c:v>419.93444083429404</c:v>
                </c:pt>
                <c:pt idx="5">
                  <c:v>419.93444083429404</c:v>
                </c:pt>
                <c:pt idx="6">
                  <c:v>419.93444083429404</c:v>
                </c:pt>
                <c:pt idx="7">
                  <c:v>419.93444083429404</c:v>
                </c:pt>
                <c:pt idx="8">
                  <c:v>419.93444083429404</c:v>
                </c:pt>
                <c:pt idx="9">
                  <c:v>419.93444083429404</c:v>
                </c:pt>
                <c:pt idx="10">
                  <c:v>419.93444083429404</c:v>
                </c:pt>
                <c:pt idx="11">
                  <c:v>419.93444083429404</c:v>
                </c:pt>
                <c:pt idx="12">
                  <c:v>419.93444083429404</c:v>
                </c:pt>
                <c:pt idx="13">
                  <c:v>419.93444083429404</c:v>
                </c:pt>
                <c:pt idx="14">
                  <c:v>419.93444083429404</c:v>
                </c:pt>
                <c:pt idx="15">
                  <c:v>419.93444083429404</c:v>
                </c:pt>
                <c:pt idx="16">
                  <c:v>419.93444083429404</c:v>
                </c:pt>
                <c:pt idx="17">
                  <c:v>419.93444083429404</c:v>
                </c:pt>
                <c:pt idx="18">
                  <c:v>419.93444083429404</c:v>
                </c:pt>
                <c:pt idx="19">
                  <c:v>419.93444083429404</c:v>
                </c:pt>
                <c:pt idx="20">
                  <c:v>419.93444083429404</c:v>
                </c:pt>
                <c:pt idx="21">
                  <c:v>419.93444083429404</c:v>
                </c:pt>
                <c:pt idx="22">
                  <c:v>419.93444083429404</c:v>
                </c:pt>
                <c:pt idx="23">
                  <c:v>419.93444083429404</c:v>
                </c:pt>
                <c:pt idx="24">
                  <c:v>419.93444083429404</c:v>
                </c:pt>
                <c:pt idx="25">
                  <c:v>419.93444083429404</c:v>
                </c:pt>
                <c:pt idx="26">
                  <c:v>419.93444083429404</c:v>
                </c:pt>
                <c:pt idx="27">
                  <c:v>419.93444083429404</c:v>
                </c:pt>
                <c:pt idx="28">
                  <c:v>419.93444083429404</c:v>
                </c:pt>
                <c:pt idx="29">
                  <c:v>419.93444083429404</c:v>
                </c:pt>
                <c:pt idx="30">
                  <c:v>419.93444083429404</c:v>
                </c:pt>
                <c:pt idx="31">
                  <c:v>419.93444083429404</c:v>
                </c:pt>
                <c:pt idx="32">
                  <c:v>419.93444083429404</c:v>
                </c:pt>
                <c:pt idx="33">
                  <c:v>419.93444083429404</c:v>
                </c:pt>
                <c:pt idx="34">
                  <c:v>419.93444083429404</c:v>
                </c:pt>
                <c:pt idx="35">
                  <c:v>419.93444083429404</c:v>
                </c:pt>
                <c:pt idx="36">
                  <c:v>419.93444083429404</c:v>
                </c:pt>
                <c:pt idx="37">
                  <c:v>419.93444083429404</c:v>
                </c:pt>
                <c:pt idx="38">
                  <c:v>419.93444083429404</c:v>
                </c:pt>
                <c:pt idx="39">
                  <c:v>419.93444083429404</c:v>
                </c:pt>
                <c:pt idx="40">
                  <c:v>419.93444083429404</c:v>
                </c:pt>
                <c:pt idx="41">
                  <c:v>419.93444083429404</c:v>
                </c:pt>
                <c:pt idx="42">
                  <c:v>419.93444083429404</c:v>
                </c:pt>
                <c:pt idx="43">
                  <c:v>419.93444083429404</c:v>
                </c:pt>
                <c:pt idx="44">
                  <c:v>419.93444083429404</c:v>
                </c:pt>
                <c:pt idx="45">
                  <c:v>419.93444083429404</c:v>
                </c:pt>
                <c:pt idx="46">
                  <c:v>419.93444083429404</c:v>
                </c:pt>
                <c:pt idx="47">
                  <c:v>419.93444083429404</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0494336"/>
        <c:axId val="132428288"/>
      </c:lineChart>
      <c:dateAx>
        <c:axId val="14049433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2428288"/>
        <c:crosses val="autoZero"/>
        <c:auto val="1"/>
        <c:lblOffset val="100"/>
        <c:baseTimeUnit val="months"/>
      </c:dateAx>
      <c:valAx>
        <c:axId val="13242828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0494336"/>
        <c:crosses val="autoZero"/>
        <c:crossBetween val="between"/>
      </c:valAx>
      <c:spPr>
        <a:noFill/>
        <a:ln w="25400">
          <a:noFill/>
        </a:ln>
      </c:spPr>
    </c:plotArea>
    <c:legend>
      <c:legendPos val="r"/>
      <c:layout>
        <c:manualLayout>
          <c:xMode val="edge"/>
          <c:yMode val="edge"/>
          <c:x val="5.4824561403508934E-3"/>
          <c:y val="0.93298059964726432"/>
          <c:w val="0.97801906340654865"/>
          <c:h val="6.7019400352733988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05029706014778E-2"/>
          <c:y val="3.3333325415772892E-2"/>
          <c:w val="0.86245697844254809"/>
          <c:h val="0.68179722222222261"/>
        </c:manualLayout>
      </c:layout>
      <c:lineChart>
        <c:grouping val="standard"/>
        <c:varyColors val="0"/>
        <c:ser>
          <c:idx val="0"/>
          <c:order val="0"/>
          <c:tx>
            <c:strRef>
              <c:f>'A&amp;E WT'!$F$8</c:f>
              <c:strCache>
                <c:ptCount val="1"/>
                <c:pt idx="0">
                  <c:v>NHS Lothian Four Hour Performance</c:v>
                </c:pt>
              </c:strCache>
            </c:strRef>
          </c:tx>
          <c:spPr>
            <a:ln w="25400">
              <a:solidFill>
                <a:srgbClr val="0070C0"/>
              </a:solidFill>
              <a:prstDash val="solid"/>
            </a:ln>
          </c:spPr>
          <c:marker>
            <c:symbol val="circle"/>
            <c:size val="4"/>
            <c:spPr>
              <a:solidFill>
                <a:srgbClr val="0070C0"/>
              </a:solidFill>
              <a:ln w="25400">
                <a:solidFill>
                  <a:srgbClr val="0070C0"/>
                </a:solidFill>
              </a:ln>
            </c:spPr>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WT'!$F$10:$F$57</c:f>
              <c:numCache>
                <c:formatCode>0.0%</c:formatCode>
                <c:ptCount val="48"/>
                <c:pt idx="0">
                  <c:v>0.93560947813286477</c:v>
                </c:pt>
                <c:pt idx="1">
                  <c:v>0.94036760961155608</c:v>
                </c:pt>
                <c:pt idx="2">
                  <c:v>0.94677818793514323</c:v>
                </c:pt>
                <c:pt idx="3">
                  <c:v>0.93856087658367171</c:v>
                </c:pt>
                <c:pt idx="4">
                  <c:v>0.9446</c:v>
                </c:pt>
                <c:pt idx="5">
                  <c:v>0.93956931359353968</c:v>
                </c:pt>
                <c:pt idx="6">
                  <c:v>0.94371781433714619</c:v>
                </c:pt>
                <c:pt idx="7">
                  <c:v>0.93443457338515634</c:v>
                </c:pt>
                <c:pt idx="8">
                  <c:v>0.92103232030873128</c:v>
                </c:pt>
                <c:pt idx="9">
                  <c:v>0.88452889072467755</c:v>
                </c:pt>
                <c:pt idx="10">
                  <c:v>0.88010466311559665</c:v>
                </c:pt>
                <c:pt idx="11">
                  <c:v>0.92056292653978211</c:v>
                </c:pt>
                <c:pt idx="12">
                  <c:v>0.9341058215831356</c:v>
                </c:pt>
                <c:pt idx="13">
                  <c:v>0.93313856427378961</c:v>
                </c:pt>
                <c:pt idx="14">
                  <c:v>0.95496629213483142</c:v>
                </c:pt>
                <c:pt idx="15">
                  <c:v>0.97109172365008256</c:v>
                </c:pt>
                <c:pt idx="16">
                  <c:v>0.94399999999999995</c:v>
                </c:pt>
                <c:pt idx="17">
                  <c:v>0.93200000000000005</c:v>
                </c:pt>
                <c:pt idx="18">
                  <c:v>0.93102696099816773</c:v>
                </c:pt>
                <c:pt idx="19">
                  <c:v>0.94499999999999995</c:v>
                </c:pt>
                <c:pt idx="20">
                  <c:v>0.92400000000000004</c:v>
                </c:pt>
                <c:pt idx="21">
                  <c:v>0.92800000000000005</c:v>
                </c:pt>
                <c:pt idx="22">
                  <c:v>0.93200000000000005</c:v>
                </c:pt>
                <c:pt idx="23">
                  <c:v>0.95699999999999996</c:v>
                </c:pt>
                <c:pt idx="24">
                  <c:v>0.95199999999999996</c:v>
                </c:pt>
                <c:pt idx="25">
                  <c:v>0.95099999999999996</c:v>
                </c:pt>
                <c:pt idx="26">
                  <c:v>0.95699999999999996</c:v>
                </c:pt>
                <c:pt idx="27">
                  <c:v>0.96</c:v>
                </c:pt>
                <c:pt idx="28">
                  <c:v>0.95099999999999996</c:v>
                </c:pt>
              </c:numCache>
            </c:numRef>
          </c:val>
          <c:smooth val="0"/>
        </c:ser>
        <c:ser>
          <c:idx val="6"/>
          <c:order val="3"/>
          <c:tx>
            <c:strRef>
              <c:f>'A&amp;E WT'!$H$9</c:f>
              <c:strCache>
                <c:ptCount val="1"/>
                <c:pt idx="0">
                  <c:v>Interim Target (min)</c:v>
                </c:pt>
              </c:strCache>
            </c:strRef>
          </c:tx>
          <c:spPr>
            <a:ln w="25400">
              <a:solidFill>
                <a:srgbClr val="CC79A7"/>
              </a:solidFill>
              <a:prstDash val="dash"/>
            </a:ln>
          </c:spPr>
          <c:marker>
            <c:symbol val="none"/>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WT'!$H$10:$H$57</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ser>
          <c:idx val="5"/>
          <c:order val="4"/>
          <c:tx>
            <c:strRef>
              <c:f>'A&amp;E WT'!$G$9</c:f>
              <c:strCache>
                <c:ptCount val="1"/>
                <c:pt idx="0">
                  <c:v>Target (min)</c:v>
                </c:pt>
              </c:strCache>
            </c:strRef>
          </c:tx>
          <c:spPr>
            <a:ln w="25400">
              <a:solidFill>
                <a:srgbClr val="FF0000"/>
              </a:solidFill>
              <a:prstDash val="dash"/>
            </a:ln>
          </c:spPr>
          <c:marker>
            <c:symbol val="none"/>
          </c:marker>
          <c:cat>
            <c:numRef>
              <c:f>'A&amp;E WT'!$A$10:$A$57</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'A&amp;E WT'!$G$10:$G$57</c:f>
              <c:numCache>
                <c:formatCode>0.0%</c:formatCode>
                <c:ptCount val="48"/>
                <c:pt idx="0">
                  <c:v>0.98</c:v>
                </c:pt>
                <c:pt idx="1">
                  <c:v>0.98</c:v>
                </c:pt>
                <c:pt idx="2">
                  <c:v>0.98</c:v>
                </c:pt>
                <c:pt idx="3">
                  <c:v>0.98</c:v>
                </c:pt>
                <c:pt idx="4">
                  <c:v>0.98</c:v>
                </c:pt>
                <c:pt idx="5">
                  <c:v>0.98</c:v>
                </c:pt>
                <c:pt idx="6">
                  <c:v>0.98</c:v>
                </c:pt>
                <c:pt idx="7">
                  <c:v>0.98</c:v>
                </c:pt>
                <c:pt idx="8">
                  <c:v>0.98</c:v>
                </c:pt>
                <c:pt idx="9">
                  <c:v>0.98</c:v>
                </c:pt>
                <c:pt idx="10">
                  <c:v>0.98</c:v>
                </c:pt>
                <c:pt idx="11">
                  <c:v>0.98</c:v>
                </c:pt>
                <c:pt idx="12">
                  <c:v>0.98</c:v>
                </c:pt>
                <c:pt idx="13">
                  <c:v>0.98</c:v>
                </c:pt>
                <c:pt idx="14">
                  <c:v>0.98</c:v>
                </c:pt>
                <c:pt idx="15">
                  <c:v>0.98</c:v>
                </c:pt>
                <c:pt idx="16">
                  <c:v>0.98</c:v>
                </c:pt>
                <c:pt idx="17">
                  <c:v>0.98</c:v>
                </c:pt>
                <c:pt idx="18">
                  <c:v>0.98</c:v>
                </c:pt>
                <c:pt idx="19">
                  <c:v>0.98</c:v>
                </c:pt>
                <c:pt idx="20">
                  <c:v>0.98</c:v>
                </c:pt>
                <c:pt idx="21">
                  <c:v>0.98</c:v>
                </c:pt>
                <c:pt idx="22">
                  <c:v>0.98</c:v>
                </c:pt>
                <c:pt idx="23">
                  <c:v>0.98</c:v>
                </c:pt>
                <c:pt idx="24">
                  <c:v>0.98</c:v>
                </c:pt>
                <c:pt idx="25">
                  <c:v>0.98</c:v>
                </c:pt>
                <c:pt idx="26">
                  <c:v>0.98</c:v>
                </c:pt>
                <c:pt idx="27">
                  <c:v>0.98</c:v>
                </c:pt>
                <c:pt idx="28">
                  <c:v>0.98</c:v>
                </c:pt>
                <c:pt idx="29">
                  <c:v>0.98</c:v>
                </c:pt>
                <c:pt idx="30">
                  <c:v>0.98</c:v>
                </c:pt>
                <c:pt idx="31">
                  <c:v>0.98</c:v>
                </c:pt>
                <c:pt idx="32">
                  <c:v>0.98</c:v>
                </c:pt>
                <c:pt idx="33">
                  <c:v>0.98</c:v>
                </c:pt>
                <c:pt idx="34">
                  <c:v>0.98</c:v>
                </c:pt>
                <c:pt idx="35">
                  <c:v>0.98</c:v>
                </c:pt>
                <c:pt idx="36">
                  <c:v>0.98</c:v>
                </c:pt>
                <c:pt idx="37">
                  <c:v>0.98</c:v>
                </c:pt>
                <c:pt idx="38">
                  <c:v>0.98</c:v>
                </c:pt>
                <c:pt idx="39">
                  <c:v>0.98</c:v>
                </c:pt>
                <c:pt idx="40">
                  <c:v>0.98</c:v>
                </c:pt>
                <c:pt idx="41">
                  <c:v>0.98</c:v>
                </c:pt>
                <c:pt idx="42">
                  <c:v>0.98</c:v>
                </c:pt>
                <c:pt idx="43">
                  <c:v>0.98</c:v>
                </c:pt>
                <c:pt idx="44">
                  <c:v>0.98</c:v>
                </c:pt>
                <c:pt idx="45">
                  <c:v>0.98</c:v>
                </c:pt>
                <c:pt idx="46">
                  <c:v>0.98</c:v>
                </c:pt>
                <c:pt idx="47">
                  <c:v>0.98</c:v>
                </c:pt>
              </c:numCache>
            </c:numRef>
          </c:val>
          <c:smooth val="0"/>
        </c:ser>
        <c:dLbls>
          <c:showLegendKey val="0"/>
          <c:showVal val="0"/>
          <c:showCatName val="0"/>
          <c:showSerName val="0"/>
          <c:showPercent val="0"/>
          <c:showBubbleSize val="0"/>
        </c:dLbls>
        <c:marker val="1"/>
        <c:smooth val="0"/>
        <c:axId val="124216320"/>
        <c:axId val="102222656"/>
      </c:lineChart>
      <c:lineChart>
        <c:grouping val="standard"/>
        <c:varyColors val="0"/>
        <c:ser>
          <c:idx val="2"/>
          <c:order val="1"/>
          <c:tx>
            <c:strRef>
              <c:f>'Delayed Discharges'!$A$142</c:f>
              <c:strCache>
                <c:ptCount val="1"/>
                <c:pt idx="0">
                  <c:v>&gt;3 days (excl. Code 9s &amp; 100s) - pre-definition change - Total incl. Other Local Authority Areas - NHS Lothian</c:v>
                </c:pt>
              </c:strCache>
            </c:strRef>
          </c:tx>
          <c:spPr>
            <a:ln w="25400">
              <a:solidFill>
                <a:schemeClr val="bg1">
                  <a:lumMod val="65000"/>
                </a:schemeClr>
              </a:solidFill>
              <a:prstDash val="sysDot"/>
            </a:ln>
          </c:spPr>
          <c:marker>
            <c:symbol val="none"/>
          </c:marker>
          <c:cat>
            <c:numRef>
              <c:f>'Delayed Discharges'!$B$131:$AW$131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'Delayed Discharges'!$B$142:$P$142</c:f>
              <c:numCache>
                <c:formatCode>General</c:formatCode>
                <c:ptCount val="15"/>
                <c:pt idx="0">
                  <c:v>135</c:v>
                </c:pt>
                <c:pt idx="1">
                  <c:v>149</c:v>
                </c:pt>
                <c:pt idx="2">
                  <c:v>166</c:v>
                </c:pt>
                <c:pt idx="3">
                  <c:v>164</c:v>
                </c:pt>
                <c:pt idx="4">
                  <c:v>162</c:v>
                </c:pt>
                <c:pt idx="5">
                  <c:v>190</c:v>
                </c:pt>
                <c:pt idx="6" formatCode="0">
                  <c:v>169</c:v>
                </c:pt>
                <c:pt idx="7" formatCode="0">
                  <c:v>181</c:v>
                </c:pt>
                <c:pt idx="8" formatCode="0">
                  <c:v>167</c:v>
                </c:pt>
                <c:pt idx="9" formatCode="0">
                  <c:v>131</c:v>
                </c:pt>
                <c:pt idx="10" formatCode="0">
                  <c:v>147</c:v>
                </c:pt>
                <c:pt idx="11" formatCode="0">
                  <c:v>124</c:v>
                </c:pt>
                <c:pt idx="12" formatCode="0">
                  <c:v>82</c:v>
                </c:pt>
                <c:pt idx="13" formatCode="0">
                  <c:v>113</c:v>
                </c:pt>
                <c:pt idx="14" formatCode="0">
                  <c:v>147</c:v>
                </c:pt>
              </c:numCache>
            </c:numRef>
          </c:val>
          <c:smooth val="0"/>
        </c:ser>
        <c:ser>
          <c:idx val="1"/>
          <c:order val="2"/>
          <c:tx>
            <c:strRef>
              <c:f>'Delayed Discharges'!$A$137</c:f>
              <c:strCache>
                <c:ptCount val="1"/>
                <c:pt idx="0">
                  <c:v>&gt;3 days (excl. Code 9s &amp; 100s) - post-definition change - Total incl. Other Local Authority Areas - NHS Lothian</c:v>
                </c:pt>
              </c:strCache>
            </c:strRef>
          </c:tx>
          <c:spPr>
            <a:ln w="25400">
              <a:solidFill>
                <a:schemeClr val="bg1">
                  <a:lumMod val="65000"/>
                </a:schemeClr>
              </a:solidFill>
            </a:ln>
          </c:spPr>
          <c:marker>
            <c:symbol val="none"/>
          </c:marker>
          <c:cat>
            <c:numRef>
              <c:f>'Delayed Discharges'!$B$131:$AW$131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'Delayed Discharges'!$B$137:$AW$137</c:f>
              <c:numCache>
                <c:formatCode>General</c:formatCode>
                <c:ptCount val="48"/>
                <c:pt idx="15" formatCode="0">
                  <c:v>241</c:v>
                </c:pt>
                <c:pt idx="16" formatCode="0">
                  <c:v>232</c:v>
                </c:pt>
                <c:pt idx="17" formatCode="0">
                  <c:v>249</c:v>
                </c:pt>
                <c:pt idx="18" formatCode="0">
                  <c:v>236</c:v>
                </c:pt>
                <c:pt idx="19" formatCode="0">
                  <c:v>208</c:v>
                </c:pt>
                <c:pt idx="20" formatCode="0">
                  <c:v>240</c:v>
                </c:pt>
                <c:pt idx="21" formatCode="0">
                  <c:v>261</c:v>
                </c:pt>
                <c:pt idx="22" formatCode="0">
                  <c:v>230</c:v>
                </c:pt>
                <c:pt idx="23" formatCode="0">
                  <c:v>225</c:v>
                </c:pt>
                <c:pt idx="24" formatCode="0">
                  <c:v>204</c:v>
                </c:pt>
                <c:pt idx="25" formatCode="0">
                  <c:v>186</c:v>
                </c:pt>
                <c:pt idx="26" formatCode="0">
                  <c:v>213</c:v>
                </c:pt>
                <c:pt idx="27" formatCode="0">
                  <c:v>200</c:v>
                </c:pt>
                <c:pt idx="28" formatCode="0">
                  <c:v>218</c:v>
                </c:pt>
              </c:numCache>
            </c:numRef>
          </c:val>
          <c:smooth val="0"/>
        </c:ser>
        <c:dLbls>
          <c:showLegendKey val="0"/>
          <c:showVal val="0"/>
          <c:showCatName val="0"/>
          <c:showSerName val="0"/>
          <c:showPercent val="0"/>
          <c:showBubbleSize val="0"/>
        </c:dLbls>
        <c:marker val="1"/>
        <c:smooth val="0"/>
        <c:axId val="124218880"/>
        <c:axId val="102223232"/>
      </c:lineChart>
      <c:dateAx>
        <c:axId val="12421632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02222656"/>
        <c:crosses val="autoZero"/>
        <c:auto val="1"/>
        <c:lblOffset val="100"/>
        <c:baseTimeUnit val="months"/>
      </c:dateAx>
      <c:valAx>
        <c:axId val="102222656"/>
        <c:scaling>
          <c:orientation val="minMax"/>
          <c:max val="1"/>
          <c:min val="0.8"/>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216320"/>
        <c:crosses val="autoZero"/>
        <c:crossBetween val="between"/>
        <c:majorUnit val="2.0000000000000011E-2"/>
      </c:valAx>
      <c:dateAx>
        <c:axId val="124218880"/>
        <c:scaling>
          <c:orientation val="minMax"/>
        </c:scaling>
        <c:delete val="1"/>
        <c:axPos val="b"/>
        <c:numFmt formatCode="mmm\ yy" sourceLinked="1"/>
        <c:majorTickMark val="out"/>
        <c:minorTickMark val="none"/>
        <c:tickLblPos val="none"/>
        <c:crossAx val="102223232"/>
        <c:crosses val="autoZero"/>
        <c:auto val="1"/>
        <c:lblOffset val="100"/>
        <c:baseTimeUnit val="months"/>
      </c:dateAx>
      <c:valAx>
        <c:axId val="102223232"/>
        <c:scaling>
          <c:orientation val="minMax"/>
        </c:scaling>
        <c:delete val="0"/>
        <c:axPos val="r"/>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218880"/>
        <c:crosses val="max"/>
        <c:crossBetween val="between"/>
      </c:valAx>
    </c:plotArea>
    <c:legend>
      <c:legendPos val="b"/>
      <c:layout>
        <c:manualLayout>
          <c:xMode val="edge"/>
          <c:yMode val="edge"/>
          <c:x val="0"/>
          <c:y val="0.8400105555555557"/>
          <c:w val="1"/>
          <c:h val="0.15998944444444535"/>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299"/>
          <c:h val="0.76151092224583061"/>
        </c:manualLayout>
      </c:layout>
      <c:lineChart>
        <c:grouping val="standard"/>
        <c:varyColors val="0"/>
        <c:ser>
          <c:idx val="4"/>
          <c:order val="0"/>
          <c:tx>
            <c:strRef>
              <c:f>Diagnostics!$A$268</c:f>
              <c:strCache>
                <c:ptCount val="1"/>
                <c:pt idx="0">
                  <c:v>Flexible Sigmoidoscopy (Lower Endoscopy)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5"/>
            <c:bubble3D val="0"/>
            <c:spPr>
              <a:ln w="25400" cap="rnd">
                <a:solidFill>
                  <a:srgbClr val="00B050"/>
                </a:solidFill>
                <a:round/>
                <a:headEnd type="none"/>
              </a:ln>
              <a:effectLst/>
            </c:spPr>
          </c:dPt>
          <c:dPt>
            <c:idx val="6"/>
            <c:bubble3D val="0"/>
            <c:spPr>
              <a:ln w="25400" cap="rnd">
                <a:solidFill>
                  <a:srgbClr val="00B050"/>
                </a:solidFill>
                <a:round/>
                <a:headEnd type="none"/>
              </a:ln>
              <a:effectLst/>
            </c:spPr>
          </c:dPt>
          <c:dPt>
            <c:idx val="7"/>
            <c:marker>
              <c:spPr>
                <a:solidFill>
                  <a:schemeClr val="bg1"/>
                </a:solidFill>
                <a:ln w="25400">
                  <a:solidFill>
                    <a:srgbClr val="0070C0"/>
                  </a:solidFill>
                </a:ln>
              </c:spPr>
            </c:marker>
            <c:bubble3D val="0"/>
            <c:spPr>
              <a:ln w="25400" cap="rnd">
                <a:solidFill>
                  <a:srgbClr val="00B050"/>
                </a:solidFill>
                <a:round/>
                <a:headEnd type="none"/>
              </a:ln>
              <a:effectLst/>
            </c:spPr>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7"/>
            <c:marker>
              <c:spPr>
                <a:solidFill>
                  <a:schemeClr val="bg1"/>
                </a:solidFill>
                <a:ln w="25400">
                  <a:solidFill>
                    <a:srgbClr val="0070C0"/>
                  </a:solidFill>
                </a:ln>
              </c:spPr>
            </c:marker>
            <c:bubble3D val="0"/>
            <c:spPr>
              <a:ln w="25400" cap="rnd">
                <a:solidFill>
                  <a:srgbClr val="00B050"/>
                </a:solidFill>
                <a:round/>
                <a:headEnd type="none"/>
              </a:ln>
              <a:effectLst/>
            </c:spPr>
          </c:dPt>
          <c:dPt>
            <c:idx val="18"/>
            <c:marker>
              <c:spPr>
                <a:solidFill>
                  <a:schemeClr val="bg1"/>
                </a:solidFill>
                <a:ln w="25400">
                  <a:solidFill>
                    <a:srgbClr val="0070C0"/>
                  </a:solidFill>
                </a:ln>
              </c:spPr>
            </c:marker>
            <c:bubble3D val="0"/>
            <c:spPr>
              <a:ln w="25400" cap="rnd">
                <a:solidFill>
                  <a:srgbClr val="00B050"/>
                </a:solidFill>
                <a:round/>
                <a:headEnd type="none"/>
              </a:ln>
              <a:effectLst/>
            </c:spPr>
          </c:dPt>
          <c:dPt>
            <c:idx val="19"/>
            <c:marker>
              <c:spPr>
                <a:solidFill>
                  <a:schemeClr val="bg1"/>
                </a:solidFill>
                <a:ln w="25400">
                  <a:solidFill>
                    <a:srgbClr val="0070C0"/>
                  </a:solidFill>
                </a:ln>
              </c:spPr>
            </c:marker>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Diagnostics!$B$268:$AW$268</c:f>
              <c:numCache>
                <c:formatCode>#,##0</c:formatCode>
                <c:ptCount val="48"/>
                <c:pt idx="0">
                  <c:v>262</c:v>
                </c:pt>
                <c:pt idx="1">
                  <c:v>284</c:v>
                </c:pt>
                <c:pt idx="2">
                  <c:v>294</c:v>
                </c:pt>
                <c:pt idx="3">
                  <c:v>310</c:v>
                </c:pt>
                <c:pt idx="4">
                  <c:v>278</c:v>
                </c:pt>
                <c:pt idx="5">
                  <c:v>235</c:v>
                </c:pt>
                <c:pt idx="6">
                  <c:v>246</c:v>
                </c:pt>
                <c:pt idx="7">
                  <c:v>171</c:v>
                </c:pt>
                <c:pt idx="8">
                  <c:v>162</c:v>
                </c:pt>
                <c:pt idx="9">
                  <c:v>173</c:v>
                </c:pt>
                <c:pt idx="10">
                  <c:v>142</c:v>
                </c:pt>
                <c:pt idx="11">
                  <c:v>162</c:v>
                </c:pt>
                <c:pt idx="12">
                  <c:v>209</c:v>
                </c:pt>
                <c:pt idx="13">
                  <c:v>198</c:v>
                </c:pt>
                <c:pt idx="14">
                  <c:v>192</c:v>
                </c:pt>
                <c:pt idx="15">
                  <c:v>244</c:v>
                </c:pt>
                <c:pt idx="16">
                  <c:v>347</c:v>
                </c:pt>
                <c:pt idx="17">
                  <c:v>391</c:v>
                </c:pt>
                <c:pt idx="18">
                  <c:v>395</c:v>
                </c:pt>
                <c:pt idx="19">
                  <c:v>375</c:v>
                </c:pt>
                <c:pt idx="20">
                  <c:v>308</c:v>
                </c:pt>
                <c:pt idx="21">
                  <c:v>345</c:v>
                </c:pt>
                <c:pt idx="22">
                  <c:v>299</c:v>
                </c:pt>
                <c:pt idx="23">
                  <c:v>311</c:v>
                </c:pt>
                <c:pt idx="24">
                  <c:v>372</c:v>
                </c:pt>
                <c:pt idx="25">
                  <c:v>377</c:v>
                </c:pt>
                <c:pt idx="26">
                  <c:v>420</c:v>
                </c:pt>
                <c:pt idx="27">
                  <c:v>450</c:v>
                </c:pt>
                <c:pt idx="28">
                  <c:v>459</c:v>
                </c:pt>
              </c:numCache>
            </c:numRef>
          </c:val>
          <c:smooth val="0"/>
        </c:ser>
        <c:ser>
          <c:idx val="3"/>
          <c:order val="1"/>
          <c:tx>
            <c:strRef>
              <c:f>Diagnostics!$A$298</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Diagnostics!$B$298:$AW$298</c:f>
              <c:numCache>
                <c:formatCode>#,##0</c:formatCode>
                <c:ptCount val="48"/>
                <c:pt idx="0">
                  <c:v>290.0344827586207</c:v>
                </c:pt>
                <c:pt idx="1">
                  <c:v>290.0344827586207</c:v>
                </c:pt>
                <c:pt idx="2">
                  <c:v>290.0344827586207</c:v>
                </c:pt>
                <c:pt idx="3">
                  <c:v>290.0344827586207</c:v>
                </c:pt>
                <c:pt idx="4">
                  <c:v>290.0344827586207</c:v>
                </c:pt>
                <c:pt idx="5">
                  <c:v>290.0344827586207</c:v>
                </c:pt>
                <c:pt idx="6">
                  <c:v>290.0344827586207</c:v>
                </c:pt>
                <c:pt idx="7">
                  <c:v>290.0344827586207</c:v>
                </c:pt>
                <c:pt idx="8">
                  <c:v>290.0344827586207</c:v>
                </c:pt>
                <c:pt idx="9">
                  <c:v>290.0344827586207</c:v>
                </c:pt>
                <c:pt idx="10">
                  <c:v>290.0344827586207</c:v>
                </c:pt>
                <c:pt idx="11">
                  <c:v>290.0344827586207</c:v>
                </c:pt>
                <c:pt idx="12">
                  <c:v>290.0344827586207</c:v>
                </c:pt>
                <c:pt idx="13">
                  <c:v>290.0344827586207</c:v>
                </c:pt>
                <c:pt idx="14">
                  <c:v>290.0344827586207</c:v>
                </c:pt>
                <c:pt idx="15">
                  <c:v>290.0344827586207</c:v>
                </c:pt>
                <c:pt idx="16">
                  <c:v>290.0344827586207</c:v>
                </c:pt>
                <c:pt idx="17">
                  <c:v>290.0344827586207</c:v>
                </c:pt>
                <c:pt idx="18">
                  <c:v>290.0344827586207</c:v>
                </c:pt>
                <c:pt idx="19">
                  <c:v>290.0344827586207</c:v>
                </c:pt>
                <c:pt idx="20">
                  <c:v>290.0344827586207</c:v>
                </c:pt>
                <c:pt idx="21">
                  <c:v>290.0344827586207</c:v>
                </c:pt>
                <c:pt idx="22">
                  <c:v>290.0344827586207</c:v>
                </c:pt>
                <c:pt idx="23">
                  <c:v>290.0344827586207</c:v>
                </c:pt>
                <c:pt idx="24">
                  <c:v>290.0344827586207</c:v>
                </c:pt>
                <c:pt idx="25">
                  <c:v>290.0344827586207</c:v>
                </c:pt>
                <c:pt idx="26">
                  <c:v>290.0344827586207</c:v>
                </c:pt>
                <c:pt idx="27">
                  <c:v>290.0344827586207</c:v>
                </c:pt>
                <c:pt idx="28">
                  <c:v>290.0344827586207</c:v>
                </c:pt>
                <c:pt idx="29">
                  <c:v>290.0344827586207</c:v>
                </c:pt>
                <c:pt idx="30">
                  <c:v>290.0344827586207</c:v>
                </c:pt>
                <c:pt idx="31">
                  <c:v>290.0344827586207</c:v>
                </c:pt>
                <c:pt idx="32">
                  <c:v>290.0344827586207</c:v>
                </c:pt>
                <c:pt idx="33">
                  <c:v>290.0344827586207</c:v>
                </c:pt>
                <c:pt idx="34">
                  <c:v>290.0344827586207</c:v>
                </c:pt>
                <c:pt idx="35">
                  <c:v>290.0344827586207</c:v>
                </c:pt>
                <c:pt idx="36">
                  <c:v>290.0344827586207</c:v>
                </c:pt>
                <c:pt idx="37">
                  <c:v>290.0344827586207</c:v>
                </c:pt>
                <c:pt idx="38">
                  <c:v>290.0344827586207</c:v>
                </c:pt>
                <c:pt idx="39">
                  <c:v>290.0344827586207</c:v>
                </c:pt>
                <c:pt idx="40">
                  <c:v>290.0344827586207</c:v>
                </c:pt>
                <c:pt idx="41">
                  <c:v>290.0344827586207</c:v>
                </c:pt>
                <c:pt idx="42">
                  <c:v>290.0344827586207</c:v>
                </c:pt>
                <c:pt idx="43">
                  <c:v>290.0344827586207</c:v>
                </c:pt>
                <c:pt idx="44">
                  <c:v>290.0344827586207</c:v>
                </c:pt>
                <c:pt idx="45">
                  <c:v>290.0344827586207</c:v>
                </c:pt>
                <c:pt idx="46">
                  <c:v>290.0344827586207</c:v>
                </c:pt>
                <c:pt idx="47">
                  <c:v>290.0344827586207</c:v>
                </c:pt>
              </c:numCache>
            </c:numRef>
          </c:val>
          <c:smooth val="0"/>
        </c:ser>
        <c:ser>
          <c:idx val="1"/>
          <c:order val="2"/>
          <c:tx>
            <c:strRef>
              <c:f>Diagnostics!$A$301</c:f>
              <c:strCache>
                <c:ptCount val="1"/>
                <c:pt idx="0">
                  <c:v>Upper Control Limit </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Diagnostics!$B$301:$AW$301</c:f>
              <c:numCache>
                <c:formatCode>#,##0</c:formatCode>
                <c:ptCount val="48"/>
                <c:pt idx="0">
                  <c:v>373.33615449114347</c:v>
                </c:pt>
                <c:pt idx="1">
                  <c:v>373.33615449114347</c:v>
                </c:pt>
                <c:pt idx="2">
                  <c:v>373.33615449114347</c:v>
                </c:pt>
                <c:pt idx="3">
                  <c:v>373.33615449114347</c:v>
                </c:pt>
                <c:pt idx="4">
                  <c:v>373.33615449114347</c:v>
                </c:pt>
                <c:pt idx="5">
                  <c:v>373.33615449114347</c:v>
                </c:pt>
                <c:pt idx="6">
                  <c:v>373.33615449114347</c:v>
                </c:pt>
                <c:pt idx="7">
                  <c:v>373.33615449114347</c:v>
                </c:pt>
                <c:pt idx="8">
                  <c:v>373.33615449114347</c:v>
                </c:pt>
                <c:pt idx="9">
                  <c:v>373.33615449114347</c:v>
                </c:pt>
                <c:pt idx="10">
                  <c:v>373.33615449114347</c:v>
                </c:pt>
                <c:pt idx="11">
                  <c:v>373.33615449114347</c:v>
                </c:pt>
                <c:pt idx="12">
                  <c:v>373.33615449114347</c:v>
                </c:pt>
                <c:pt idx="13">
                  <c:v>373.33615449114347</c:v>
                </c:pt>
                <c:pt idx="14">
                  <c:v>373.33615449114347</c:v>
                </c:pt>
                <c:pt idx="15">
                  <c:v>373.33615449114347</c:v>
                </c:pt>
                <c:pt idx="16">
                  <c:v>373.33615449114347</c:v>
                </c:pt>
                <c:pt idx="17">
                  <c:v>373.33615449114347</c:v>
                </c:pt>
                <c:pt idx="18">
                  <c:v>373.33615449114347</c:v>
                </c:pt>
                <c:pt idx="19">
                  <c:v>373.33615449114347</c:v>
                </c:pt>
                <c:pt idx="20">
                  <c:v>373.33615449114347</c:v>
                </c:pt>
                <c:pt idx="21">
                  <c:v>373.33615449114347</c:v>
                </c:pt>
                <c:pt idx="22">
                  <c:v>373.33615449114347</c:v>
                </c:pt>
                <c:pt idx="23">
                  <c:v>373.33615449114347</c:v>
                </c:pt>
                <c:pt idx="24">
                  <c:v>373.33615449114347</c:v>
                </c:pt>
                <c:pt idx="25">
                  <c:v>373.33615449114347</c:v>
                </c:pt>
                <c:pt idx="26">
                  <c:v>373.33615449114347</c:v>
                </c:pt>
                <c:pt idx="27">
                  <c:v>373.33615449114347</c:v>
                </c:pt>
                <c:pt idx="28">
                  <c:v>373.33615449114347</c:v>
                </c:pt>
                <c:pt idx="29">
                  <c:v>373.33615449114347</c:v>
                </c:pt>
                <c:pt idx="30">
                  <c:v>373.33615449114347</c:v>
                </c:pt>
                <c:pt idx="31">
                  <c:v>373.33615449114347</c:v>
                </c:pt>
                <c:pt idx="32">
                  <c:v>373.33615449114347</c:v>
                </c:pt>
                <c:pt idx="33">
                  <c:v>373.33615449114347</c:v>
                </c:pt>
                <c:pt idx="34">
                  <c:v>373.33615449114347</c:v>
                </c:pt>
                <c:pt idx="35">
                  <c:v>373.33615449114347</c:v>
                </c:pt>
                <c:pt idx="36">
                  <c:v>373.33615449114347</c:v>
                </c:pt>
                <c:pt idx="37">
                  <c:v>373.33615449114347</c:v>
                </c:pt>
                <c:pt idx="38">
                  <c:v>373.33615449114347</c:v>
                </c:pt>
                <c:pt idx="39">
                  <c:v>373.33615449114347</c:v>
                </c:pt>
                <c:pt idx="40">
                  <c:v>373.33615449114347</c:v>
                </c:pt>
                <c:pt idx="41">
                  <c:v>373.33615449114347</c:v>
                </c:pt>
                <c:pt idx="42">
                  <c:v>373.33615449114347</c:v>
                </c:pt>
                <c:pt idx="43">
                  <c:v>373.33615449114347</c:v>
                </c:pt>
                <c:pt idx="44">
                  <c:v>373.33615449114347</c:v>
                </c:pt>
                <c:pt idx="45">
                  <c:v>373.33615449114347</c:v>
                </c:pt>
                <c:pt idx="46">
                  <c:v>373.33615449114347</c:v>
                </c:pt>
                <c:pt idx="47">
                  <c:v>373.33615449114347</c:v>
                </c:pt>
              </c:numCache>
            </c:numRef>
          </c:val>
          <c:smooth val="0"/>
        </c:ser>
        <c:ser>
          <c:idx val="2"/>
          <c:order val="3"/>
          <c:tx>
            <c:strRef>
              <c:f>Diagnostics!$A$302</c:f>
              <c:strCache>
                <c:ptCount val="1"/>
                <c:pt idx="0">
                  <c:v>Lower Control Limit</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Diagnostics!$B$302:$AW$302</c:f>
              <c:numCache>
                <c:formatCode>#,##0</c:formatCode>
                <c:ptCount val="48"/>
                <c:pt idx="0">
                  <c:v>206.73281102609789</c:v>
                </c:pt>
                <c:pt idx="1">
                  <c:v>206.73281102609789</c:v>
                </c:pt>
                <c:pt idx="2">
                  <c:v>206.73281102609789</c:v>
                </c:pt>
                <c:pt idx="3">
                  <c:v>206.73281102609789</c:v>
                </c:pt>
                <c:pt idx="4">
                  <c:v>206.73281102609789</c:v>
                </c:pt>
                <c:pt idx="5">
                  <c:v>206.73281102609789</c:v>
                </c:pt>
                <c:pt idx="6">
                  <c:v>206.73281102609789</c:v>
                </c:pt>
                <c:pt idx="7">
                  <c:v>206.73281102609789</c:v>
                </c:pt>
                <c:pt idx="8">
                  <c:v>206.73281102609789</c:v>
                </c:pt>
                <c:pt idx="9">
                  <c:v>206.73281102609789</c:v>
                </c:pt>
                <c:pt idx="10">
                  <c:v>206.73281102609789</c:v>
                </c:pt>
                <c:pt idx="11">
                  <c:v>206.73281102609789</c:v>
                </c:pt>
                <c:pt idx="12">
                  <c:v>206.73281102609789</c:v>
                </c:pt>
                <c:pt idx="13">
                  <c:v>206.73281102609789</c:v>
                </c:pt>
                <c:pt idx="14">
                  <c:v>206.73281102609789</c:v>
                </c:pt>
                <c:pt idx="15">
                  <c:v>206.73281102609789</c:v>
                </c:pt>
                <c:pt idx="16">
                  <c:v>206.73281102609789</c:v>
                </c:pt>
                <c:pt idx="17">
                  <c:v>206.73281102609789</c:v>
                </c:pt>
                <c:pt idx="18">
                  <c:v>206.73281102609789</c:v>
                </c:pt>
                <c:pt idx="19">
                  <c:v>206.73281102609789</c:v>
                </c:pt>
                <c:pt idx="20">
                  <c:v>206.73281102609789</c:v>
                </c:pt>
                <c:pt idx="21">
                  <c:v>206.73281102609789</c:v>
                </c:pt>
                <c:pt idx="22">
                  <c:v>206.73281102609789</c:v>
                </c:pt>
                <c:pt idx="23">
                  <c:v>206.73281102609789</c:v>
                </c:pt>
                <c:pt idx="24">
                  <c:v>206.73281102609789</c:v>
                </c:pt>
                <c:pt idx="25">
                  <c:v>206.73281102609789</c:v>
                </c:pt>
                <c:pt idx="26">
                  <c:v>206.73281102609789</c:v>
                </c:pt>
                <c:pt idx="27">
                  <c:v>206.73281102609789</c:v>
                </c:pt>
                <c:pt idx="28">
                  <c:v>206.73281102609789</c:v>
                </c:pt>
                <c:pt idx="29">
                  <c:v>206.73281102609789</c:v>
                </c:pt>
                <c:pt idx="30">
                  <c:v>206.73281102609789</c:v>
                </c:pt>
                <c:pt idx="31">
                  <c:v>206.73281102609789</c:v>
                </c:pt>
                <c:pt idx="32">
                  <c:v>206.73281102609789</c:v>
                </c:pt>
                <c:pt idx="33">
                  <c:v>206.73281102609789</c:v>
                </c:pt>
                <c:pt idx="34">
                  <c:v>206.73281102609789</c:v>
                </c:pt>
                <c:pt idx="35">
                  <c:v>206.73281102609789</c:v>
                </c:pt>
                <c:pt idx="36">
                  <c:v>206.73281102609789</c:v>
                </c:pt>
                <c:pt idx="37">
                  <c:v>206.73281102609789</c:v>
                </c:pt>
                <c:pt idx="38">
                  <c:v>206.73281102609789</c:v>
                </c:pt>
                <c:pt idx="39">
                  <c:v>206.73281102609789</c:v>
                </c:pt>
                <c:pt idx="40">
                  <c:v>206.73281102609789</c:v>
                </c:pt>
                <c:pt idx="41">
                  <c:v>206.73281102609789</c:v>
                </c:pt>
                <c:pt idx="42">
                  <c:v>206.73281102609789</c:v>
                </c:pt>
                <c:pt idx="43">
                  <c:v>206.73281102609789</c:v>
                </c:pt>
                <c:pt idx="44">
                  <c:v>206.73281102609789</c:v>
                </c:pt>
                <c:pt idx="45">
                  <c:v>206.73281102609789</c:v>
                </c:pt>
                <c:pt idx="46">
                  <c:v>206.73281102609789</c:v>
                </c:pt>
                <c:pt idx="47">
                  <c:v>206.73281102609789</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0792320"/>
        <c:axId val="132430592"/>
      </c:lineChart>
      <c:dateAx>
        <c:axId val="14079232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2430592"/>
        <c:crosses val="autoZero"/>
        <c:auto val="1"/>
        <c:lblOffset val="100"/>
        <c:baseTimeUnit val="months"/>
      </c:dateAx>
      <c:valAx>
        <c:axId val="13243059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0792320"/>
        <c:crosses val="autoZero"/>
        <c:crossBetween val="between"/>
      </c:valAx>
    </c:plotArea>
    <c:legend>
      <c:legendPos val="r"/>
      <c:layout>
        <c:manualLayout>
          <c:xMode val="edge"/>
          <c:yMode val="edge"/>
          <c:x val="5.4824561403508934E-3"/>
          <c:y val="0.92592592592592549"/>
          <c:w val="0.99410093475157713"/>
          <c:h val="7.40740740740740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610857853294814E-2"/>
          <c:y val="4.8959157883042399E-2"/>
          <c:w val="0.93331169130174518"/>
          <c:h val="0.7579835853851602"/>
        </c:manualLayout>
      </c:layout>
      <c:lineChart>
        <c:grouping val="standard"/>
        <c:varyColors val="0"/>
        <c:ser>
          <c:idx val="4"/>
          <c:order val="0"/>
          <c:tx>
            <c:strRef>
              <c:f>Diagnostics!$A$269</c:f>
              <c:strCache>
                <c:ptCount val="1"/>
                <c:pt idx="0">
                  <c:v>Flexible Cystoscopy</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4"/>
            <c:bubble3D val="0"/>
          </c:dPt>
          <c:dPt>
            <c:idx val="5"/>
            <c:marker>
              <c:spPr>
                <a:solidFill>
                  <a:schemeClr val="bg1"/>
                </a:solidFill>
                <a:ln w="25400">
                  <a:solidFill>
                    <a:srgbClr val="0070C0"/>
                  </a:solidFill>
                </a:ln>
              </c:spPr>
            </c:marker>
            <c:bubble3D val="0"/>
          </c:dPt>
          <c:dPt>
            <c:idx val="6"/>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spPr>
              <a:ln w="25400" cap="rnd">
                <a:solidFill>
                  <a:srgbClr val="00B050"/>
                </a:solidFill>
                <a:round/>
                <a:headEnd type="none"/>
              </a:ln>
              <a:effectLst/>
            </c:spPr>
          </c:dPt>
          <c:dPt>
            <c:idx val="15"/>
            <c:marker>
              <c:spPr>
                <a:solidFill>
                  <a:schemeClr val="bg1"/>
                </a:solidFill>
                <a:ln w="25400">
                  <a:solidFill>
                    <a:srgbClr val="0070C0"/>
                  </a:solidFill>
                </a:ln>
              </c:spPr>
            </c:marker>
            <c:bubble3D val="0"/>
            <c:spPr>
              <a:ln w="25400" cap="rnd">
                <a:solidFill>
                  <a:srgbClr val="00B050"/>
                </a:solidFill>
                <a:round/>
                <a:headEnd type="none"/>
              </a:ln>
              <a:effectLst/>
            </c:spPr>
          </c:dPt>
          <c:dPt>
            <c:idx val="16"/>
            <c:marker>
              <c:spPr>
                <a:solidFill>
                  <a:schemeClr val="bg1"/>
                </a:solidFill>
                <a:ln w="25400">
                  <a:solidFill>
                    <a:srgbClr val="0070C0"/>
                  </a:solidFill>
                </a:ln>
              </c:spPr>
            </c:marker>
            <c:bubble3D val="0"/>
            <c:spPr>
              <a:ln w="25400" cap="rnd">
                <a:solidFill>
                  <a:srgbClr val="00B050"/>
                </a:solidFill>
                <a:round/>
                <a:headEnd type="none"/>
              </a:ln>
              <a:effectLst/>
            </c:spPr>
          </c:dPt>
          <c:dPt>
            <c:idx val="17"/>
            <c:marker>
              <c:spPr>
                <a:solidFill>
                  <a:schemeClr val="bg1"/>
                </a:solidFill>
                <a:ln w="25400">
                  <a:solidFill>
                    <a:srgbClr val="0070C0"/>
                  </a:solidFill>
                </a:ln>
              </c:spPr>
            </c:marker>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marker>
              <c:spPr>
                <a:solidFill>
                  <a:schemeClr val="bg1"/>
                </a:solidFill>
                <a:ln w="25400">
                  <a:solidFill>
                    <a:srgbClr val="0070C0"/>
                  </a:solidFill>
                </a:ln>
              </c:spPr>
            </c:marker>
            <c:bubble3D val="0"/>
            <c:spPr>
              <a:ln w="25400" cap="rnd">
                <a:solidFill>
                  <a:srgbClr val="00B050"/>
                </a:solidFill>
                <a:round/>
                <a:headEnd type="none"/>
              </a:ln>
              <a:effectLst/>
            </c:spPr>
          </c:dPt>
          <c:dPt>
            <c:idx val="24"/>
            <c:marker>
              <c:spPr>
                <a:solidFill>
                  <a:schemeClr val="bg1"/>
                </a:solidFill>
                <a:ln w="25400">
                  <a:solidFill>
                    <a:srgbClr val="0070C0"/>
                  </a:solidFill>
                </a:ln>
              </c:spPr>
            </c:marker>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Diagnostics!$B$269:$AW$269</c:f>
              <c:numCache>
                <c:formatCode>#,##0</c:formatCode>
                <c:ptCount val="48"/>
                <c:pt idx="0">
                  <c:v>247</c:v>
                </c:pt>
                <c:pt idx="1">
                  <c:v>224</c:v>
                </c:pt>
                <c:pt idx="2">
                  <c:v>296</c:v>
                </c:pt>
                <c:pt idx="3">
                  <c:v>410</c:v>
                </c:pt>
                <c:pt idx="4">
                  <c:v>470</c:v>
                </c:pt>
                <c:pt idx="5">
                  <c:v>487</c:v>
                </c:pt>
                <c:pt idx="6">
                  <c:v>571</c:v>
                </c:pt>
                <c:pt idx="7">
                  <c:v>179</c:v>
                </c:pt>
                <c:pt idx="8">
                  <c:v>46</c:v>
                </c:pt>
                <c:pt idx="9">
                  <c:v>28</c:v>
                </c:pt>
                <c:pt idx="10">
                  <c:v>27</c:v>
                </c:pt>
                <c:pt idx="11">
                  <c:v>37</c:v>
                </c:pt>
                <c:pt idx="12">
                  <c:v>43</c:v>
                </c:pt>
                <c:pt idx="13">
                  <c:v>73</c:v>
                </c:pt>
                <c:pt idx="14">
                  <c:v>56</c:v>
                </c:pt>
                <c:pt idx="15">
                  <c:v>99</c:v>
                </c:pt>
                <c:pt idx="16">
                  <c:v>55</c:v>
                </c:pt>
                <c:pt idx="17">
                  <c:v>95</c:v>
                </c:pt>
                <c:pt idx="18">
                  <c:v>186</c:v>
                </c:pt>
                <c:pt idx="19">
                  <c:v>247</c:v>
                </c:pt>
                <c:pt idx="20">
                  <c:v>326</c:v>
                </c:pt>
                <c:pt idx="21">
                  <c:v>442</c:v>
                </c:pt>
                <c:pt idx="22">
                  <c:v>429</c:v>
                </c:pt>
                <c:pt idx="23">
                  <c:v>495</c:v>
                </c:pt>
                <c:pt idx="24">
                  <c:v>570</c:v>
                </c:pt>
                <c:pt idx="25">
                  <c:v>649</c:v>
                </c:pt>
                <c:pt idx="26">
                  <c:v>724</c:v>
                </c:pt>
                <c:pt idx="27">
                  <c:v>722</c:v>
                </c:pt>
                <c:pt idx="28">
                  <c:v>753</c:v>
                </c:pt>
              </c:numCache>
            </c:numRef>
          </c:val>
          <c:smooth val="0"/>
        </c:ser>
        <c:ser>
          <c:idx val="3"/>
          <c:order val="1"/>
          <c:tx>
            <c:strRef>
              <c:f>Diagnostics!$A$309</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Diagnostics!$B$309:$AW$309</c:f>
              <c:numCache>
                <c:formatCode>#,##0</c:formatCode>
                <c:ptCount val="48"/>
                <c:pt idx="0">
                  <c:v>309.86206896551727</c:v>
                </c:pt>
                <c:pt idx="1">
                  <c:v>309.86206896551727</c:v>
                </c:pt>
                <c:pt idx="2">
                  <c:v>309.86206896551727</c:v>
                </c:pt>
                <c:pt idx="3">
                  <c:v>309.86206896551727</c:v>
                </c:pt>
                <c:pt idx="4">
                  <c:v>309.86206896551727</c:v>
                </c:pt>
                <c:pt idx="5">
                  <c:v>309.86206896551727</c:v>
                </c:pt>
                <c:pt idx="6">
                  <c:v>309.86206896551727</c:v>
                </c:pt>
                <c:pt idx="7">
                  <c:v>309.86206896551727</c:v>
                </c:pt>
                <c:pt idx="8">
                  <c:v>309.86206896551727</c:v>
                </c:pt>
                <c:pt idx="9">
                  <c:v>309.86206896551727</c:v>
                </c:pt>
                <c:pt idx="10">
                  <c:v>309.86206896551727</c:v>
                </c:pt>
                <c:pt idx="11">
                  <c:v>309.86206896551727</c:v>
                </c:pt>
                <c:pt idx="12">
                  <c:v>309.86206896551727</c:v>
                </c:pt>
                <c:pt idx="13">
                  <c:v>309.86206896551727</c:v>
                </c:pt>
                <c:pt idx="14">
                  <c:v>309.86206896551727</c:v>
                </c:pt>
                <c:pt idx="15">
                  <c:v>309.86206896551727</c:v>
                </c:pt>
                <c:pt idx="16">
                  <c:v>309.86206896551727</c:v>
                </c:pt>
                <c:pt idx="17">
                  <c:v>309.86206896551727</c:v>
                </c:pt>
                <c:pt idx="18">
                  <c:v>309.86206896551727</c:v>
                </c:pt>
                <c:pt idx="19">
                  <c:v>309.86206896551727</c:v>
                </c:pt>
                <c:pt idx="20">
                  <c:v>309.86206896551727</c:v>
                </c:pt>
                <c:pt idx="21">
                  <c:v>309.86206896551727</c:v>
                </c:pt>
                <c:pt idx="22">
                  <c:v>309.86206896551727</c:v>
                </c:pt>
                <c:pt idx="23">
                  <c:v>309.86206896551727</c:v>
                </c:pt>
                <c:pt idx="24">
                  <c:v>309.86206896551727</c:v>
                </c:pt>
                <c:pt idx="25">
                  <c:v>309.86206896551727</c:v>
                </c:pt>
                <c:pt idx="26">
                  <c:v>309.86206896551727</c:v>
                </c:pt>
                <c:pt idx="27">
                  <c:v>309.86206896551727</c:v>
                </c:pt>
                <c:pt idx="28">
                  <c:v>309.86206896551727</c:v>
                </c:pt>
                <c:pt idx="29">
                  <c:v>309.86206896551727</c:v>
                </c:pt>
                <c:pt idx="30">
                  <c:v>309.86206896551727</c:v>
                </c:pt>
                <c:pt idx="31">
                  <c:v>309.86206896551727</c:v>
                </c:pt>
                <c:pt idx="32">
                  <c:v>309.86206896551727</c:v>
                </c:pt>
                <c:pt idx="33">
                  <c:v>309.86206896551727</c:v>
                </c:pt>
                <c:pt idx="34">
                  <c:v>309.86206896551727</c:v>
                </c:pt>
                <c:pt idx="35">
                  <c:v>309.86206896551727</c:v>
                </c:pt>
                <c:pt idx="36">
                  <c:v>309.86206896551727</c:v>
                </c:pt>
                <c:pt idx="37">
                  <c:v>309.86206896551727</c:v>
                </c:pt>
                <c:pt idx="38">
                  <c:v>309.86206896551727</c:v>
                </c:pt>
                <c:pt idx="39">
                  <c:v>309.86206896551727</c:v>
                </c:pt>
                <c:pt idx="40">
                  <c:v>309.86206896551727</c:v>
                </c:pt>
                <c:pt idx="41">
                  <c:v>309.86206896551727</c:v>
                </c:pt>
                <c:pt idx="42">
                  <c:v>309.86206896551727</c:v>
                </c:pt>
                <c:pt idx="43">
                  <c:v>309.86206896551727</c:v>
                </c:pt>
                <c:pt idx="44">
                  <c:v>309.86206896551727</c:v>
                </c:pt>
                <c:pt idx="45">
                  <c:v>309.86206896551727</c:v>
                </c:pt>
                <c:pt idx="46">
                  <c:v>309.86206896551727</c:v>
                </c:pt>
                <c:pt idx="47">
                  <c:v>309.86206896551727</c:v>
                </c:pt>
              </c:numCache>
            </c:numRef>
          </c:val>
          <c:smooth val="0"/>
        </c:ser>
        <c:ser>
          <c:idx val="1"/>
          <c:order val="2"/>
          <c:tx>
            <c:strRef>
              <c:f>Diagnostics!$A$312</c:f>
              <c:strCache>
                <c:ptCount val="1"/>
                <c:pt idx="0">
                  <c:v>Upper Control Limit </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Diagnostics!$B$312:$AW$312</c:f>
              <c:numCache>
                <c:formatCode>#,##0</c:formatCode>
                <c:ptCount val="48"/>
                <c:pt idx="0">
                  <c:v>480.0748349229641</c:v>
                </c:pt>
                <c:pt idx="1">
                  <c:v>480.0748349229641</c:v>
                </c:pt>
                <c:pt idx="2">
                  <c:v>480.0748349229641</c:v>
                </c:pt>
                <c:pt idx="3">
                  <c:v>480.0748349229641</c:v>
                </c:pt>
                <c:pt idx="4">
                  <c:v>480.0748349229641</c:v>
                </c:pt>
                <c:pt idx="5">
                  <c:v>480.0748349229641</c:v>
                </c:pt>
                <c:pt idx="6">
                  <c:v>480.0748349229641</c:v>
                </c:pt>
                <c:pt idx="7">
                  <c:v>480.0748349229641</c:v>
                </c:pt>
                <c:pt idx="8">
                  <c:v>480.0748349229641</c:v>
                </c:pt>
                <c:pt idx="9">
                  <c:v>480.0748349229641</c:v>
                </c:pt>
                <c:pt idx="10">
                  <c:v>480.0748349229641</c:v>
                </c:pt>
                <c:pt idx="11">
                  <c:v>480.0748349229641</c:v>
                </c:pt>
                <c:pt idx="12">
                  <c:v>480.0748349229641</c:v>
                </c:pt>
                <c:pt idx="13">
                  <c:v>480.0748349229641</c:v>
                </c:pt>
                <c:pt idx="14">
                  <c:v>480.0748349229641</c:v>
                </c:pt>
                <c:pt idx="15">
                  <c:v>480.0748349229641</c:v>
                </c:pt>
                <c:pt idx="16">
                  <c:v>480.0748349229641</c:v>
                </c:pt>
                <c:pt idx="17">
                  <c:v>480.0748349229641</c:v>
                </c:pt>
                <c:pt idx="18">
                  <c:v>480.0748349229641</c:v>
                </c:pt>
                <c:pt idx="19">
                  <c:v>480.0748349229641</c:v>
                </c:pt>
                <c:pt idx="20">
                  <c:v>480.0748349229641</c:v>
                </c:pt>
                <c:pt idx="21">
                  <c:v>480.0748349229641</c:v>
                </c:pt>
                <c:pt idx="22">
                  <c:v>480.0748349229641</c:v>
                </c:pt>
                <c:pt idx="23">
                  <c:v>480.0748349229641</c:v>
                </c:pt>
                <c:pt idx="24">
                  <c:v>480.0748349229641</c:v>
                </c:pt>
                <c:pt idx="25">
                  <c:v>480.0748349229641</c:v>
                </c:pt>
                <c:pt idx="26">
                  <c:v>480.0748349229641</c:v>
                </c:pt>
                <c:pt idx="27">
                  <c:v>480.0748349229641</c:v>
                </c:pt>
                <c:pt idx="28">
                  <c:v>480.0748349229641</c:v>
                </c:pt>
                <c:pt idx="29">
                  <c:v>480.0748349229641</c:v>
                </c:pt>
                <c:pt idx="30">
                  <c:v>480.0748349229641</c:v>
                </c:pt>
                <c:pt idx="31">
                  <c:v>480.0748349229641</c:v>
                </c:pt>
                <c:pt idx="32">
                  <c:v>480.0748349229641</c:v>
                </c:pt>
                <c:pt idx="33">
                  <c:v>480.0748349229641</c:v>
                </c:pt>
                <c:pt idx="34">
                  <c:v>480.0748349229641</c:v>
                </c:pt>
                <c:pt idx="35">
                  <c:v>480.0748349229641</c:v>
                </c:pt>
                <c:pt idx="36">
                  <c:v>480.0748349229641</c:v>
                </c:pt>
                <c:pt idx="37">
                  <c:v>480.0748349229641</c:v>
                </c:pt>
                <c:pt idx="38">
                  <c:v>480.0748349229641</c:v>
                </c:pt>
                <c:pt idx="39">
                  <c:v>480.0748349229641</c:v>
                </c:pt>
                <c:pt idx="40">
                  <c:v>480.0748349229641</c:v>
                </c:pt>
                <c:pt idx="41">
                  <c:v>480.0748349229641</c:v>
                </c:pt>
                <c:pt idx="42">
                  <c:v>480.0748349229641</c:v>
                </c:pt>
                <c:pt idx="43">
                  <c:v>480.0748349229641</c:v>
                </c:pt>
                <c:pt idx="44">
                  <c:v>480.0748349229641</c:v>
                </c:pt>
                <c:pt idx="45">
                  <c:v>480.0748349229641</c:v>
                </c:pt>
                <c:pt idx="46">
                  <c:v>480.0748349229641</c:v>
                </c:pt>
                <c:pt idx="47">
                  <c:v>480.0748349229641</c:v>
                </c:pt>
              </c:numCache>
            </c:numRef>
          </c:val>
          <c:smooth val="0"/>
        </c:ser>
        <c:ser>
          <c:idx val="2"/>
          <c:order val="3"/>
          <c:tx>
            <c:strRef>
              <c:f>Diagnostics!$A$313</c:f>
              <c:strCache>
                <c:ptCount val="1"/>
                <c:pt idx="0">
                  <c:v>Lower Control Limit</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Diagnostics!$B$313:$AW$313</c:f>
              <c:numCache>
                <c:formatCode>#,##0</c:formatCode>
                <c:ptCount val="48"/>
                <c:pt idx="0">
                  <c:v>139.64930300807043</c:v>
                </c:pt>
                <c:pt idx="1">
                  <c:v>139.64930300807043</c:v>
                </c:pt>
                <c:pt idx="2">
                  <c:v>139.64930300807043</c:v>
                </c:pt>
                <c:pt idx="3">
                  <c:v>139.64930300807043</c:v>
                </c:pt>
                <c:pt idx="4">
                  <c:v>139.64930300807043</c:v>
                </c:pt>
                <c:pt idx="5">
                  <c:v>139.64930300807043</c:v>
                </c:pt>
                <c:pt idx="6">
                  <c:v>139.64930300807043</c:v>
                </c:pt>
                <c:pt idx="7">
                  <c:v>139.64930300807043</c:v>
                </c:pt>
                <c:pt idx="8">
                  <c:v>139.64930300807043</c:v>
                </c:pt>
                <c:pt idx="9">
                  <c:v>139.64930300807043</c:v>
                </c:pt>
                <c:pt idx="10">
                  <c:v>139.64930300807043</c:v>
                </c:pt>
                <c:pt idx="11">
                  <c:v>139.64930300807043</c:v>
                </c:pt>
                <c:pt idx="12">
                  <c:v>139.64930300807043</c:v>
                </c:pt>
                <c:pt idx="13">
                  <c:v>139.64930300807043</c:v>
                </c:pt>
                <c:pt idx="14">
                  <c:v>139.64930300807043</c:v>
                </c:pt>
                <c:pt idx="15">
                  <c:v>139.64930300807043</c:v>
                </c:pt>
                <c:pt idx="16">
                  <c:v>139.64930300807043</c:v>
                </c:pt>
                <c:pt idx="17">
                  <c:v>139.64930300807043</c:v>
                </c:pt>
                <c:pt idx="18">
                  <c:v>139.64930300807043</c:v>
                </c:pt>
                <c:pt idx="19">
                  <c:v>139.64930300807043</c:v>
                </c:pt>
                <c:pt idx="20">
                  <c:v>139.64930300807043</c:v>
                </c:pt>
                <c:pt idx="21">
                  <c:v>139.64930300807043</c:v>
                </c:pt>
                <c:pt idx="22">
                  <c:v>139.64930300807043</c:v>
                </c:pt>
                <c:pt idx="23">
                  <c:v>139.64930300807043</c:v>
                </c:pt>
                <c:pt idx="24">
                  <c:v>139.64930300807043</c:v>
                </c:pt>
                <c:pt idx="25">
                  <c:v>139.64930300807043</c:v>
                </c:pt>
                <c:pt idx="26">
                  <c:v>139.64930300807043</c:v>
                </c:pt>
                <c:pt idx="27">
                  <c:v>139.64930300807043</c:v>
                </c:pt>
                <c:pt idx="28">
                  <c:v>139.64930300807043</c:v>
                </c:pt>
                <c:pt idx="29">
                  <c:v>139.64930300807043</c:v>
                </c:pt>
                <c:pt idx="30">
                  <c:v>139.64930300807043</c:v>
                </c:pt>
                <c:pt idx="31">
                  <c:v>139.64930300807043</c:v>
                </c:pt>
                <c:pt idx="32">
                  <c:v>139.64930300807043</c:v>
                </c:pt>
                <c:pt idx="33">
                  <c:v>139.64930300807043</c:v>
                </c:pt>
                <c:pt idx="34">
                  <c:v>139.64930300807043</c:v>
                </c:pt>
                <c:pt idx="35">
                  <c:v>139.64930300807043</c:v>
                </c:pt>
                <c:pt idx="36">
                  <c:v>139.64930300807043</c:v>
                </c:pt>
                <c:pt idx="37">
                  <c:v>139.64930300807043</c:v>
                </c:pt>
                <c:pt idx="38">
                  <c:v>139.64930300807043</c:v>
                </c:pt>
                <c:pt idx="39">
                  <c:v>139.64930300807043</c:v>
                </c:pt>
                <c:pt idx="40">
                  <c:v>139.64930300807043</c:v>
                </c:pt>
                <c:pt idx="41">
                  <c:v>139.64930300807043</c:v>
                </c:pt>
                <c:pt idx="42">
                  <c:v>139.64930300807043</c:v>
                </c:pt>
                <c:pt idx="43">
                  <c:v>139.64930300807043</c:v>
                </c:pt>
                <c:pt idx="44">
                  <c:v>139.64930300807043</c:v>
                </c:pt>
                <c:pt idx="45">
                  <c:v>139.64930300807043</c:v>
                </c:pt>
                <c:pt idx="46">
                  <c:v>139.64930300807043</c:v>
                </c:pt>
                <c:pt idx="47">
                  <c:v>139.64930300807043</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0794368"/>
        <c:axId val="129860736"/>
      </c:lineChart>
      <c:dateAx>
        <c:axId val="14079436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860736"/>
        <c:crosses val="autoZero"/>
        <c:auto val="1"/>
        <c:lblOffset val="100"/>
        <c:baseTimeUnit val="months"/>
      </c:dateAx>
      <c:valAx>
        <c:axId val="12986073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0794368"/>
        <c:crosses val="autoZero"/>
        <c:crossBetween val="between"/>
      </c:valAx>
    </c:plotArea>
    <c:legend>
      <c:legendPos val="r"/>
      <c:layout>
        <c:manualLayout>
          <c:xMode val="edge"/>
          <c:yMode val="edge"/>
          <c:x val="5.4824561403508934E-3"/>
          <c:y val="0.92592592592592549"/>
          <c:w val="0.98386701662292209"/>
          <c:h val="7.40740740740740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2600174978127758"/>
          <c:h val="0.72976489049980175"/>
        </c:manualLayout>
      </c:layout>
      <c:lineChart>
        <c:grouping val="standard"/>
        <c:varyColors val="0"/>
        <c:ser>
          <c:idx val="4"/>
          <c:order val="0"/>
          <c:tx>
            <c:strRef>
              <c:f>Diagnostics!$A$270</c:f>
              <c:strCache>
                <c:ptCount val="1"/>
                <c:pt idx="0">
                  <c:v>Total Gastroenterology/ Urology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marker>
              <c:spPr>
                <a:solidFill>
                  <a:schemeClr val="bg1"/>
                </a:solidFill>
                <a:ln w="25400">
                  <a:solidFill>
                    <a:srgbClr val="0070C0"/>
                  </a:solidFill>
                </a:ln>
              </c:spPr>
            </c:marker>
            <c:bubble3D val="0"/>
            <c:spPr>
              <a:ln w="25400" cap="rnd">
                <a:solidFill>
                  <a:srgbClr val="00B050"/>
                </a:solidFill>
                <a:round/>
                <a:headEnd type="none"/>
              </a:ln>
              <a:effectLst/>
            </c:spPr>
          </c:dPt>
          <c:dPt>
            <c:idx val="13"/>
            <c:marker>
              <c:spPr>
                <a:solidFill>
                  <a:schemeClr val="bg1"/>
                </a:solidFill>
                <a:ln w="25400">
                  <a:solidFill>
                    <a:srgbClr val="0070C0"/>
                  </a:solidFill>
                </a:ln>
              </c:spPr>
            </c:marker>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dPt>
          <c:dPt>
            <c:idx val="18"/>
            <c:bubble3D val="0"/>
            <c:spPr>
              <a:ln w="25400" cap="rnd">
                <a:solidFill>
                  <a:srgbClr val="00B050"/>
                </a:solidFill>
                <a:round/>
                <a:headEnd type="none"/>
              </a:ln>
              <a:effectLst/>
            </c:spPr>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marker>
              <c:spPr>
                <a:solidFill>
                  <a:srgbClr val="0066CC"/>
                </a:solidFill>
                <a:ln w="25400">
                  <a:solidFill>
                    <a:srgbClr val="0070C0"/>
                  </a:solidFill>
                </a:ln>
              </c:spPr>
            </c:marker>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Diagnostics!$B$270:$AW$270</c:f>
              <c:numCache>
                <c:formatCode>#,##0</c:formatCode>
                <c:ptCount val="48"/>
                <c:pt idx="0">
                  <c:v>1448</c:v>
                </c:pt>
                <c:pt idx="1">
                  <c:v>1572</c:v>
                </c:pt>
                <c:pt idx="2">
                  <c:v>1852</c:v>
                </c:pt>
                <c:pt idx="3">
                  <c:v>2352</c:v>
                </c:pt>
                <c:pt idx="4">
                  <c:v>2268</c:v>
                </c:pt>
                <c:pt idx="5">
                  <c:v>2180</c:v>
                </c:pt>
                <c:pt idx="6">
                  <c:v>2306</c:v>
                </c:pt>
                <c:pt idx="7">
                  <c:v>1348</c:v>
                </c:pt>
                <c:pt idx="8">
                  <c:v>1162</c:v>
                </c:pt>
                <c:pt idx="9">
                  <c:v>1123</c:v>
                </c:pt>
                <c:pt idx="10">
                  <c:v>768</c:v>
                </c:pt>
                <c:pt idx="11">
                  <c:v>861</c:v>
                </c:pt>
                <c:pt idx="12">
                  <c:v>1252</c:v>
                </c:pt>
                <c:pt idx="13">
                  <c:v>1345</c:v>
                </c:pt>
                <c:pt idx="14">
                  <c:v>1436</c:v>
                </c:pt>
                <c:pt idx="15">
                  <c:v>1755</c:v>
                </c:pt>
                <c:pt idx="16">
                  <c:v>1828</c:v>
                </c:pt>
                <c:pt idx="17">
                  <c:v>2020</c:v>
                </c:pt>
                <c:pt idx="18">
                  <c:v>2270</c:v>
                </c:pt>
                <c:pt idx="19">
                  <c:v>2275</c:v>
                </c:pt>
                <c:pt idx="20">
                  <c:v>2166</c:v>
                </c:pt>
                <c:pt idx="21">
                  <c:v>2322</c:v>
                </c:pt>
                <c:pt idx="22">
                  <c:v>2146</c:v>
                </c:pt>
                <c:pt idx="23">
                  <c:v>2143</c:v>
                </c:pt>
                <c:pt idx="24">
                  <c:v>2478</c:v>
                </c:pt>
                <c:pt idx="25">
                  <c:v>2732</c:v>
                </c:pt>
                <c:pt idx="26">
                  <c:v>2982</c:v>
                </c:pt>
                <c:pt idx="27">
                  <c:v>3253</c:v>
                </c:pt>
                <c:pt idx="28">
                  <c:v>3502</c:v>
                </c:pt>
              </c:numCache>
            </c:numRef>
          </c:val>
          <c:smooth val="0"/>
        </c:ser>
        <c:ser>
          <c:idx val="3"/>
          <c:order val="1"/>
          <c:tx>
            <c:strRef>
              <c:f>Diagnostics!$A$320</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Diagnostics!$B$320:$AW$320</c:f>
              <c:numCache>
                <c:formatCode>#,##0</c:formatCode>
                <c:ptCount val="48"/>
                <c:pt idx="0">
                  <c:v>1970.5172413793102</c:v>
                </c:pt>
                <c:pt idx="1">
                  <c:v>1970.5172413793102</c:v>
                </c:pt>
                <c:pt idx="2">
                  <c:v>1970.5172413793102</c:v>
                </c:pt>
                <c:pt idx="3">
                  <c:v>1970.5172413793102</c:v>
                </c:pt>
                <c:pt idx="4">
                  <c:v>1970.5172413793102</c:v>
                </c:pt>
                <c:pt idx="5">
                  <c:v>1970.5172413793102</c:v>
                </c:pt>
                <c:pt idx="6">
                  <c:v>1970.5172413793102</c:v>
                </c:pt>
                <c:pt idx="7">
                  <c:v>1970.5172413793102</c:v>
                </c:pt>
                <c:pt idx="8">
                  <c:v>1970.5172413793102</c:v>
                </c:pt>
                <c:pt idx="9">
                  <c:v>1970.5172413793102</c:v>
                </c:pt>
                <c:pt idx="10">
                  <c:v>1970.5172413793102</c:v>
                </c:pt>
                <c:pt idx="11">
                  <c:v>1970.5172413793102</c:v>
                </c:pt>
                <c:pt idx="12">
                  <c:v>1970.5172413793102</c:v>
                </c:pt>
                <c:pt idx="13">
                  <c:v>1970.5172413793102</c:v>
                </c:pt>
                <c:pt idx="14">
                  <c:v>1970.5172413793102</c:v>
                </c:pt>
                <c:pt idx="15">
                  <c:v>1970.5172413793102</c:v>
                </c:pt>
                <c:pt idx="16">
                  <c:v>1970.5172413793102</c:v>
                </c:pt>
                <c:pt idx="17">
                  <c:v>1970.5172413793102</c:v>
                </c:pt>
                <c:pt idx="18">
                  <c:v>1970.5172413793102</c:v>
                </c:pt>
                <c:pt idx="19">
                  <c:v>1970.5172413793102</c:v>
                </c:pt>
                <c:pt idx="20">
                  <c:v>1970.5172413793102</c:v>
                </c:pt>
                <c:pt idx="21">
                  <c:v>1970.5172413793102</c:v>
                </c:pt>
                <c:pt idx="22">
                  <c:v>1970.5172413793102</c:v>
                </c:pt>
                <c:pt idx="23">
                  <c:v>1970.5172413793102</c:v>
                </c:pt>
                <c:pt idx="24">
                  <c:v>1970.5172413793102</c:v>
                </c:pt>
                <c:pt idx="25">
                  <c:v>1970.5172413793102</c:v>
                </c:pt>
                <c:pt idx="26">
                  <c:v>1970.5172413793102</c:v>
                </c:pt>
                <c:pt idx="27">
                  <c:v>1970.5172413793102</c:v>
                </c:pt>
                <c:pt idx="28">
                  <c:v>1970.5172413793102</c:v>
                </c:pt>
                <c:pt idx="29">
                  <c:v>1970.5172413793102</c:v>
                </c:pt>
                <c:pt idx="30">
                  <c:v>1970.5172413793102</c:v>
                </c:pt>
                <c:pt idx="31">
                  <c:v>1970.5172413793102</c:v>
                </c:pt>
                <c:pt idx="32">
                  <c:v>1970.5172413793102</c:v>
                </c:pt>
                <c:pt idx="33">
                  <c:v>1970.5172413793102</c:v>
                </c:pt>
                <c:pt idx="34">
                  <c:v>1970.5172413793102</c:v>
                </c:pt>
                <c:pt idx="35">
                  <c:v>1970.5172413793102</c:v>
                </c:pt>
                <c:pt idx="36">
                  <c:v>1970.5172413793102</c:v>
                </c:pt>
                <c:pt idx="37">
                  <c:v>1970.5172413793102</c:v>
                </c:pt>
                <c:pt idx="38">
                  <c:v>1970.5172413793102</c:v>
                </c:pt>
                <c:pt idx="39">
                  <c:v>1970.5172413793102</c:v>
                </c:pt>
                <c:pt idx="40">
                  <c:v>1970.5172413793102</c:v>
                </c:pt>
                <c:pt idx="41">
                  <c:v>1970.5172413793102</c:v>
                </c:pt>
                <c:pt idx="42">
                  <c:v>1970.5172413793102</c:v>
                </c:pt>
                <c:pt idx="43">
                  <c:v>1970.5172413793102</c:v>
                </c:pt>
                <c:pt idx="44">
                  <c:v>1970.5172413793102</c:v>
                </c:pt>
                <c:pt idx="45">
                  <c:v>1970.5172413793102</c:v>
                </c:pt>
                <c:pt idx="46">
                  <c:v>1970.5172413793102</c:v>
                </c:pt>
                <c:pt idx="47">
                  <c:v>1970.5172413793102</c:v>
                </c:pt>
              </c:numCache>
            </c:numRef>
          </c:val>
          <c:smooth val="0"/>
        </c:ser>
        <c:ser>
          <c:idx val="1"/>
          <c:order val="2"/>
          <c:tx>
            <c:strRef>
              <c:f>Diagnostics!$A$323</c:f>
              <c:strCache>
                <c:ptCount val="1"/>
                <c:pt idx="0">
                  <c:v>Upper Control Limit </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Diagnostics!$B$323:$AW$323</c:f>
              <c:numCache>
                <c:formatCode>#,##0</c:formatCode>
                <c:ptCount val="48"/>
                <c:pt idx="0">
                  <c:v>2545.1752960905565</c:v>
                </c:pt>
                <c:pt idx="1">
                  <c:v>2545.1752960905565</c:v>
                </c:pt>
                <c:pt idx="2">
                  <c:v>2545.1752960905565</c:v>
                </c:pt>
                <c:pt idx="3">
                  <c:v>2545.1752960905565</c:v>
                </c:pt>
                <c:pt idx="4">
                  <c:v>2545.1752960905565</c:v>
                </c:pt>
                <c:pt idx="5">
                  <c:v>2545.1752960905565</c:v>
                </c:pt>
                <c:pt idx="6">
                  <c:v>2545.1752960905565</c:v>
                </c:pt>
                <c:pt idx="7">
                  <c:v>2545.1752960905565</c:v>
                </c:pt>
                <c:pt idx="8">
                  <c:v>2545.1752960905565</c:v>
                </c:pt>
                <c:pt idx="9">
                  <c:v>2545.1752960905565</c:v>
                </c:pt>
                <c:pt idx="10">
                  <c:v>2545.1752960905565</c:v>
                </c:pt>
                <c:pt idx="11">
                  <c:v>2545.1752960905565</c:v>
                </c:pt>
                <c:pt idx="12">
                  <c:v>2545.1752960905565</c:v>
                </c:pt>
                <c:pt idx="13">
                  <c:v>2545.1752960905565</c:v>
                </c:pt>
                <c:pt idx="14">
                  <c:v>2545.1752960905565</c:v>
                </c:pt>
                <c:pt idx="15">
                  <c:v>2545.1752960905565</c:v>
                </c:pt>
                <c:pt idx="16">
                  <c:v>2545.1752960905565</c:v>
                </c:pt>
                <c:pt idx="17">
                  <c:v>2545.1752960905565</c:v>
                </c:pt>
                <c:pt idx="18">
                  <c:v>2545.1752960905565</c:v>
                </c:pt>
                <c:pt idx="19">
                  <c:v>2545.1752960905565</c:v>
                </c:pt>
                <c:pt idx="20">
                  <c:v>2545.1752960905565</c:v>
                </c:pt>
                <c:pt idx="21">
                  <c:v>2545.1752960905565</c:v>
                </c:pt>
                <c:pt idx="22">
                  <c:v>2545.1752960905565</c:v>
                </c:pt>
                <c:pt idx="23">
                  <c:v>2545.1752960905565</c:v>
                </c:pt>
                <c:pt idx="24">
                  <c:v>2545.1752960905565</c:v>
                </c:pt>
                <c:pt idx="25">
                  <c:v>2545.1752960905565</c:v>
                </c:pt>
                <c:pt idx="26">
                  <c:v>2545.1752960905565</c:v>
                </c:pt>
                <c:pt idx="27">
                  <c:v>2545.1752960905565</c:v>
                </c:pt>
                <c:pt idx="28">
                  <c:v>2545.1752960905565</c:v>
                </c:pt>
                <c:pt idx="29">
                  <c:v>2545.1752960905565</c:v>
                </c:pt>
                <c:pt idx="30">
                  <c:v>2545.1752960905565</c:v>
                </c:pt>
                <c:pt idx="31">
                  <c:v>2545.1752960905565</c:v>
                </c:pt>
                <c:pt idx="32">
                  <c:v>2545.1752960905565</c:v>
                </c:pt>
                <c:pt idx="33">
                  <c:v>2545.1752960905565</c:v>
                </c:pt>
                <c:pt idx="34">
                  <c:v>2545.1752960905565</c:v>
                </c:pt>
                <c:pt idx="35">
                  <c:v>2545.1752960905565</c:v>
                </c:pt>
                <c:pt idx="36">
                  <c:v>2545.1752960905565</c:v>
                </c:pt>
                <c:pt idx="37">
                  <c:v>2545.1752960905565</c:v>
                </c:pt>
                <c:pt idx="38">
                  <c:v>2545.1752960905565</c:v>
                </c:pt>
                <c:pt idx="39">
                  <c:v>2545.1752960905565</c:v>
                </c:pt>
                <c:pt idx="40">
                  <c:v>2545.1752960905565</c:v>
                </c:pt>
                <c:pt idx="41">
                  <c:v>2545.1752960905565</c:v>
                </c:pt>
                <c:pt idx="42">
                  <c:v>2545.1752960905565</c:v>
                </c:pt>
                <c:pt idx="43">
                  <c:v>2545.1752960905565</c:v>
                </c:pt>
                <c:pt idx="44">
                  <c:v>2545.1752960905565</c:v>
                </c:pt>
                <c:pt idx="45">
                  <c:v>2545.1752960905565</c:v>
                </c:pt>
                <c:pt idx="46">
                  <c:v>2545.1752960905565</c:v>
                </c:pt>
                <c:pt idx="47">
                  <c:v>2545.1752960905565</c:v>
                </c:pt>
              </c:numCache>
            </c:numRef>
          </c:val>
          <c:smooth val="0"/>
        </c:ser>
        <c:ser>
          <c:idx val="2"/>
          <c:order val="3"/>
          <c:tx>
            <c:strRef>
              <c:f>Diagnostics!$A$324</c:f>
              <c:strCache>
                <c:ptCount val="1"/>
                <c:pt idx="0">
                  <c:v>Lower Control Limit</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Diagnostics!$B$324:$AW$324</c:f>
              <c:numCache>
                <c:formatCode>#,##0</c:formatCode>
                <c:ptCount val="48"/>
                <c:pt idx="0">
                  <c:v>1395.859186668064</c:v>
                </c:pt>
                <c:pt idx="1">
                  <c:v>1395.859186668064</c:v>
                </c:pt>
                <c:pt idx="2">
                  <c:v>1395.859186668064</c:v>
                </c:pt>
                <c:pt idx="3">
                  <c:v>1395.859186668064</c:v>
                </c:pt>
                <c:pt idx="4">
                  <c:v>1395.859186668064</c:v>
                </c:pt>
                <c:pt idx="5">
                  <c:v>1395.859186668064</c:v>
                </c:pt>
                <c:pt idx="6">
                  <c:v>1395.859186668064</c:v>
                </c:pt>
                <c:pt idx="7">
                  <c:v>1395.859186668064</c:v>
                </c:pt>
                <c:pt idx="8">
                  <c:v>1395.859186668064</c:v>
                </c:pt>
                <c:pt idx="9">
                  <c:v>1395.859186668064</c:v>
                </c:pt>
                <c:pt idx="10">
                  <c:v>1395.859186668064</c:v>
                </c:pt>
                <c:pt idx="11">
                  <c:v>1395.859186668064</c:v>
                </c:pt>
                <c:pt idx="12">
                  <c:v>1395.859186668064</c:v>
                </c:pt>
                <c:pt idx="13">
                  <c:v>1395.859186668064</c:v>
                </c:pt>
                <c:pt idx="14">
                  <c:v>1395.859186668064</c:v>
                </c:pt>
                <c:pt idx="15">
                  <c:v>1395.859186668064</c:v>
                </c:pt>
                <c:pt idx="16">
                  <c:v>1395.859186668064</c:v>
                </c:pt>
                <c:pt idx="17">
                  <c:v>1395.859186668064</c:v>
                </c:pt>
                <c:pt idx="18">
                  <c:v>1395.859186668064</c:v>
                </c:pt>
                <c:pt idx="19">
                  <c:v>1395.859186668064</c:v>
                </c:pt>
                <c:pt idx="20">
                  <c:v>1395.859186668064</c:v>
                </c:pt>
                <c:pt idx="21">
                  <c:v>1395.859186668064</c:v>
                </c:pt>
                <c:pt idx="22">
                  <c:v>1395.859186668064</c:v>
                </c:pt>
                <c:pt idx="23">
                  <c:v>1395.859186668064</c:v>
                </c:pt>
                <c:pt idx="24">
                  <c:v>1395.859186668064</c:v>
                </c:pt>
                <c:pt idx="25">
                  <c:v>1395.859186668064</c:v>
                </c:pt>
                <c:pt idx="26">
                  <c:v>1395.859186668064</c:v>
                </c:pt>
                <c:pt idx="27">
                  <c:v>1395.859186668064</c:v>
                </c:pt>
                <c:pt idx="28">
                  <c:v>1395.859186668064</c:v>
                </c:pt>
                <c:pt idx="29">
                  <c:v>1395.859186668064</c:v>
                </c:pt>
                <c:pt idx="30">
                  <c:v>1395.859186668064</c:v>
                </c:pt>
                <c:pt idx="31">
                  <c:v>1395.859186668064</c:v>
                </c:pt>
                <c:pt idx="32">
                  <c:v>1395.859186668064</c:v>
                </c:pt>
                <c:pt idx="33">
                  <c:v>1395.859186668064</c:v>
                </c:pt>
                <c:pt idx="34">
                  <c:v>1395.859186668064</c:v>
                </c:pt>
                <c:pt idx="35">
                  <c:v>1395.859186668064</c:v>
                </c:pt>
                <c:pt idx="36">
                  <c:v>1395.859186668064</c:v>
                </c:pt>
                <c:pt idx="37">
                  <c:v>1395.859186668064</c:v>
                </c:pt>
                <c:pt idx="38">
                  <c:v>1395.859186668064</c:v>
                </c:pt>
                <c:pt idx="39">
                  <c:v>1395.859186668064</c:v>
                </c:pt>
                <c:pt idx="40">
                  <c:v>1395.859186668064</c:v>
                </c:pt>
                <c:pt idx="41">
                  <c:v>1395.859186668064</c:v>
                </c:pt>
                <c:pt idx="42">
                  <c:v>1395.859186668064</c:v>
                </c:pt>
                <c:pt idx="43">
                  <c:v>1395.859186668064</c:v>
                </c:pt>
                <c:pt idx="44">
                  <c:v>1395.859186668064</c:v>
                </c:pt>
                <c:pt idx="45">
                  <c:v>1395.859186668064</c:v>
                </c:pt>
                <c:pt idx="46">
                  <c:v>1395.859186668064</c:v>
                </c:pt>
                <c:pt idx="47">
                  <c:v>1395.859186668064</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1201408"/>
        <c:axId val="129863040"/>
      </c:lineChart>
      <c:dateAx>
        <c:axId val="14120140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9863040"/>
        <c:crosses val="autoZero"/>
        <c:auto val="1"/>
        <c:lblOffset val="100"/>
        <c:baseTimeUnit val="months"/>
        <c:majorUnit val="1"/>
        <c:majorTimeUnit val="months"/>
      </c:dateAx>
      <c:valAx>
        <c:axId val="12986304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1201408"/>
        <c:crosses val="autoZero"/>
        <c:crossBetween val="between"/>
      </c:valAx>
    </c:plotArea>
    <c:legend>
      <c:legendPos val="r"/>
      <c:layout>
        <c:manualLayout>
          <c:xMode val="edge"/>
          <c:yMode val="edge"/>
          <c:x val="5.4824561403508934E-3"/>
          <c:y val="0.91181657848324449"/>
          <c:w val="0.98386701662292209"/>
          <c:h val="8.8183421516754831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463329092597069"/>
          <c:h val="0.75092891166382381"/>
        </c:manualLayout>
      </c:layout>
      <c:lineChart>
        <c:grouping val="standard"/>
        <c:varyColors val="0"/>
        <c:ser>
          <c:idx val="4"/>
          <c:order val="0"/>
          <c:tx>
            <c:strRef>
              <c:f>Diagnostics!$A$329</c:f>
              <c:strCache>
                <c:ptCount val="1"/>
                <c:pt idx="0">
                  <c:v>MRI</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2"/>
            <c:marker>
              <c:spPr>
                <a:solidFill>
                  <a:schemeClr val="bg1"/>
                </a:solidFill>
                <a:ln w="25400">
                  <a:solidFill>
                    <a:srgbClr val="0070C0"/>
                  </a:solidFill>
                </a:ln>
              </c:spPr>
            </c:marker>
            <c:bubble3D val="0"/>
          </c:dPt>
          <c:dPt>
            <c:idx val="13"/>
            <c:marker>
              <c:spPr>
                <a:solidFill>
                  <a:schemeClr val="bg1"/>
                </a:solidFill>
                <a:ln w="25400">
                  <a:solidFill>
                    <a:srgbClr val="0070C0"/>
                  </a:solidFill>
                </a:ln>
              </c:spPr>
            </c:marker>
            <c:bubble3D val="0"/>
          </c:dPt>
          <c:dPt>
            <c:idx val="14"/>
            <c:marker>
              <c:spPr>
                <a:solidFill>
                  <a:schemeClr val="bg1"/>
                </a:solidFill>
                <a:ln w="25400">
                  <a:solidFill>
                    <a:srgbClr val="0070C0"/>
                  </a:solidFill>
                </a:ln>
              </c:spPr>
            </c:marker>
            <c:bubble3D val="0"/>
          </c:dPt>
          <c:cat>
            <c:numRef>
              <c:f>Diagnostics!$B$328:$AW$328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Diagnostics!$B$329:$AW$329</c:f>
              <c:numCache>
                <c:formatCode>General</c:formatCode>
                <c:ptCount val="48"/>
                <c:pt idx="0">
                  <c:v>108</c:v>
                </c:pt>
                <c:pt idx="1">
                  <c:v>123</c:v>
                </c:pt>
                <c:pt idx="2">
                  <c:v>106</c:v>
                </c:pt>
                <c:pt idx="3">
                  <c:v>60</c:v>
                </c:pt>
                <c:pt idx="4">
                  <c:v>38</c:v>
                </c:pt>
                <c:pt idx="5">
                  <c:v>111</c:v>
                </c:pt>
                <c:pt idx="6">
                  <c:v>77</c:v>
                </c:pt>
                <c:pt idx="7">
                  <c:v>6</c:v>
                </c:pt>
                <c:pt idx="8">
                  <c:v>11</c:v>
                </c:pt>
                <c:pt idx="9">
                  <c:v>12</c:v>
                </c:pt>
                <c:pt idx="10">
                  <c:v>17</c:v>
                </c:pt>
                <c:pt idx="11">
                  <c:v>16</c:v>
                </c:pt>
                <c:pt idx="12">
                  <c:v>204</c:v>
                </c:pt>
                <c:pt idx="13">
                  <c:v>172</c:v>
                </c:pt>
                <c:pt idx="14">
                  <c:v>176</c:v>
                </c:pt>
                <c:pt idx="15">
                  <c:v>45</c:v>
                </c:pt>
                <c:pt idx="16">
                  <c:v>43</c:v>
                </c:pt>
                <c:pt idx="17">
                  <c:v>22</c:v>
                </c:pt>
                <c:pt idx="18">
                  <c:v>28</c:v>
                </c:pt>
                <c:pt idx="19">
                  <c:v>20</c:v>
                </c:pt>
                <c:pt idx="20">
                  <c:v>68</c:v>
                </c:pt>
                <c:pt idx="21">
                  <c:v>90</c:v>
                </c:pt>
                <c:pt idx="22">
                  <c:v>26</c:v>
                </c:pt>
                <c:pt idx="23">
                  <c:v>29</c:v>
                </c:pt>
                <c:pt idx="24">
                  <c:v>68</c:v>
                </c:pt>
                <c:pt idx="25">
                  <c:v>44</c:v>
                </c:pt>
                <c:pt idx="26">
                  <c:v>45</c:v>
                </c:pt>
                <c:pt idx="27">
                  <c:v>69</c:v>
                </c:pt>
                <c:pt idx="28">
                  <c:v>38</c:v>
                </c:pt>
              </c:numCache>
            </c:numRef>
          </c:val>
          <c:smooth val="0"/>
        </c:ser>
        <c:ser>
          <c:idx val="3"/>
          <c:order val="1"/>
          <c:tx>
            <c:strRef>
              <c:f>Diagnostics!$A$340</c:f>
              <c:strCache>
                <c:ptCount val="1"/>
                <c:pt idx="0">
                  <c:v>Mean</c:v>
                </c:pt>
              </c:strCache>
            </c:strRef>
          </c:tx>
          <c:spPr>
            <a:ln w="25400">
              <a:solidFill>
                <a:schemeClr val="tx1"/>
              </a:solidFill>
            </a:ln>
          </c:spPr>
          <c:marker>
            <c:symbol val="none"/>
          </c:marker>
          <c:cat>
            <c:numRef>
              <c:f>Diagnostics!$B$328:$AW$328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Diagnostics!$B$340:$AW$340</c:f>
              <c:numCache>
                <c:formatCode>0</c:formatCode>
                <c:ptCount val="48"/>
                <c:pt idx="0">
                  <c:v>64.551724137931032</c:v>
                </c:pt>
                <c:pt idx="1">
                  <c:v>64.551724137931032</c:v>
                </c:pt>
                <c:pt idx="2">
                  <c:v>64.551724137931032</c:v>
                </c:pt>
                <c:pt idx="3">
                  <c:v>64.551724137931032</c:v>
                </c:pt>
                <c:pt idx="4">
                  <c:v>64.551724137931032</c:v>
                </c:pt>
                <c:pt idx="5">
                  <c:v>64.551724137931032</c:v>
                </c:pt>
                <c:pt idx="6">
                  <c:v>64.551724137931032</c:v>
                </c:pt>
                <c:pt idx="7">
                  <c:v>64.551724137931032</c:v>
                </c:pt>
                <c:pt idx="8">
                  <c:v>64.551724137931032</c:v>
                </c:pt>
                <c:pt idx="9">
                  <c:v>64.551724137931032</c:v>
                </c:pt>
                <c:pt idx="10">
                  <c:v>64.551724137931032</c:v>
                </c:pt>
                <c:pt idx="11">
                  <c:v>64.551724137931032</c:v>
                </c:pt>
                <c:pt idx="12">
                  <c:v>64.551724137931032</c:v>
                </c:pt>
                <c:pt idx="13">
                  <c:v>64.551724137931032</c:v>
                </c:pt>
                <c:pt idx="14">
                  <c:v>64.551724137931032</c:v>
                </c:pt>
                <c:pt idx="15">
                  <c:v>64.551724137931032</c:v>
                </c:pt>
                <c:pt idx="16">
                  <c:v>64.551724137931032</c:v>
                </c:pt>
                <c:pt idx="17">
                  <c:v>64.551724137931032</c:v>
                </c:pt>
                <c:pt idx="18">
                  <c:v>64.551724137931032</c:v>
                </c:pt>
                <c:pt idx="19">
                  <c:v>64.551724137931032</c:v>
                </c:pt>
                <c:pt idx="20">
                  <c:v>64.551724137931032</c:v>
                </c:pt>
                <c:pt idx="21">
                  <c:v>64.551724137931032</c:v>
                </c:pt>
                <c:pt idx="22">
                  <c:v>64.551724137931032</c:v>
                </c:pt>
                <c:pt idx="23">
                  <c:v>64.551724137931032</c:v>
                </c:pt>
                <c:pt idx="24">
                  <c:v>64.551724137931032</c:v>
                </c:pt>
                <c:pt idx="25">
                  <c:v>64.551724137931032</c:v>
                </c:pt>
                <c:pt idx="26">
                  <c:v>64.551724137931032</c:v>
                </c:pt>
                <c:pt idx="27">
                  <c:v>64.551724137931032</c:v>
                </c:pt>
                <c:pt idx="28">
                  <c:v>64.551724137931032</c:v>
                </c:pt>
                <c:pt idx="29">
                  <c:v>64.551724137931032</c:v>
                </c:pt>
                <c:pt idx="30">
                  <c:v>64.551724137931032</c:v>
                </c:pt>
                <c:pt idx="31">
                  <c:v>64.551724137931032</c:v>
                </c:pt>
                <c:pt idx="32">
                  <c:v>64.551724137931032</c:v>
                </c:pt>
                <c:pt idx="33">
                  <c:v>64.551724137931032</c:v>
                </c:pt>
                <c:pt idx="34">
                  <c:v>64.551724137931032</c:v>
                </c:pt>
                <c:pt idx="35">
                  <c:v>64.551724137931032</c:v>
                </c:pt>
                <c:pt idx="36">
                  <c:v>64.551724137931032</c:v>
                </c:pt>
                <c:pt idx="37">
                  <c:v>64.551724137931032</c:v>
                </c:pt>
                <c:pt idx="38">
                  <c:v>64.551724137931032</c:v>
                </c:pt>
                <c:pt idx="39">
                  <c:v>64.551724137931032</c:v>
                </c:pt>
                <c:pt idx="40">
                  <c:v>64.551724137931032</c:v>
                </c:pt>
                <c:pt idx="41">
                  <c:v>64.551724137931032</c:v>
                </c:pt>
                <c:pt idx="42">
                  <c:v>64.551724137931032</c:v>
                </c:pt>
                <c:pt idx="43">
                  <c:v>64.551724137931032</c:v>
                </c:pt>
                <c:pt idx="44">
                  <c:v>64.551724137931032</c:v>
                </c:pt>
                <c:pt idx="45">
                  <c:v>64.551724137931032</c:v>
                </c:pt>
                <c:pt idx="46">
                  <c:v>64.551724137931032</c:v>
                </c:pt>
                <c:pt idx="47">
                  <c:v>64.551724137931032</c:v>
                </c:pt>
              </c:numCache>
            </c:numRef>
          </c:val>
          <c:smooth val="0"/>
        </c:ser>
        <c:ser>
          <c:idx val="1"/>
          <c:order val="2"/>
          <c:tx>
            <c:strRef>
              <c:f>Diagnostics!$A$343</c:f>
              <c:strCache>
                <c:ptCount val="1"/>
                <c:pt idx="0">
                  <c:v>Upper Control Limit </c:v>
                </c:pt>
              </c:strCache>
            </c:strRef>
          </c:tx>
          <c:spPr>
            <a:ln w="25400">
              <a:solidFill>
                <a:schemeClr val="bg1">
                  <a:lumMod val="65000"/>
                </a:schemeClr>
              </a:solidFill>
              <a:prstDash val="dash"/>
            </a:ln>
          </c:spPr>
          <c:marker>
            <c:symbol val="none"/>
          </c:marker>
          <c:cat>
            <c:numRef>
              <c:f>Diagnostics!$B$328:$AW$328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Diagnostics!$B$343:$AW$343</c:f>
              <c:numCache>
                <c:formatCode>0</c:formatCode>
                <c:ptCount val="48"/>
                <c:pt idx="0">
                  <c:v>153.6474688187821</c:v>
                </c:pt>
                <c:pt idx="1">
                  <c:v>153.6474688187821</c:v>
                </c:pt>
                <c:pt idx="2">
                  <c:v>153.6474688187821</c:v>
                </c:pt>
                <c:pt idx="3">
                  <c:v>153.6474688187821</c:v>
                </c:pt>
                <c:pt idx="4">
                  <c:v>153.6474688187821</c:v>
                </c:pt>
                <c:pt idx="5">
                  <c:v>153.6474688187821</c:v>
                </c:pt>
                <c:pt idx="6">
                  <c:v>153.6474688187821</c:v>
                </c:pt>
                <c:pt idx="7">
                  <c:v>153.6474688187821</c:v>
                </c:pt>
                <c:pt idx="8">
                  <c:v>153.6474688187821</c:v>
                </c:pt>
                <c:pt idx="9">
                  <c:v>153.6474688187821</c:v>
                </c:pt>
                <c:pt idx="10">
                  <c:v>153.6474688187821</c:v>
                </c:pt>
                <c:pt idx="11">
                  <c:v>153.6474688187821</c:v>
                </c:pt>
                <c:pt idx="12">
                  <c:v>153.6474688187821</c:v>
                </c:pt>
                <c:pt idx="13">
                  <c:v>153.6474688187821</c:v>
                </c:pt>
                <c:pt idx="14">
                  <c:v>153.6474688187821</c:v>
                </c:pt>
                <c:pt idx="15">
                  <c:v>153.6474688187821</c:v>
                </c:pt>
                <c:pt idx="16">
                  <c:v>153.6474688187821</c:v>
                </c:pt>
                <c:pt idx="17">
                  <c:v>153.6474688187821</c:v>
                </c:pt>
                <c:pt idx="18">
                  <c:v>153.6474688187821</c:v>
                </c:pt>
                <c:pt idx="19">
                  <c:v>153.6474688187821</c:v>
                </c:pt>
                <c:pt idx="20">
                  <c:v>153.6474688187821</c:v>
                </c:pt>
                <c:pt idx="21">
                  <c:v>153.6474688187821</c:v>
                </c:pt>
                <c:pt idx="22">
                  <c:v>153.6474688187821</c:v>
                </c:pt>
                <c:pt idx="23">
                  <c:v>153.6474688187821</c:v>
                </c:pt>
                <c:pt idx="24">
                  <c:v>153.6474688187821</c:v>
                </c:pt>
                <c:pt idx="25">
                  <c:v>153.6474688187821</c:v>
                </c:pt>
                <c:pt idx="26">
                  <c:v>153.6474688187821</c:v>
                </c:pt>
                <c:pt idx="27">
                  <c:v>153.6474688187821</c:v>
                </c:pt>
                <c:pt idx="28">
                  <c:v>153.6474688187821</c:v>
                </c:pt>
                <c:pt idx="29">
                  <c:v>153.6474688187821</c:v>
                </c:pt>
                <c:pt idx="30">
                  <c:v>153.6474688187821</c:v>
                </c:pt>
                <c:pt idx="31">
                  <c:v>153.6474688187821</c:v>
                </c:pt>
                <c:pt idx="32">
                  <c:v>153.6474688187821</c:v>
                </c:pt>
                <c:pt idx="33">
                  <c:v>153.6474688187821</c:v>
                </c:pt>
                <c:pt idx="34">
                  <c:v>153.6474688187821</c:v>
                </c:pt>
                <c:pt idx="35">
                  <c:v>153.6474688187821</c:v>
                </c:pt>
                <c:pt idx="36">
                  <c:v>153.6474688187821</c:v>
                </c:pt>
                <c:pt idx="37">
                  <c:v>153.6474688187821</c:v>
                </c:pt>
                <c:pt idx="38">
                  <c:v>153.6474688187821</c:v>
                </c:pt>
                <c:pt idx="39">
                  <c:v>153.6474688187821</c:v>
                </c:pt>
                <c:pt idx="40">
                  <c:v>153.6474688187821</c:v>
                </c:pt>
                <c:pt idx="41">
                  <c:v>153.6474688187821</c:v>
                </c:pt>
                <c:pt idx="42">
                  <c:v>153.6474688187821</c:v>
                </c:pt>
                <c:pt idx="43">
                  <c:v>153.6474688187821</c:v>
                </c:pt>
                <c:pt idx="44">
                  <c:v>153.6474688187821</c:v>
                </c:pt>
                <c:pt idx="45">
                  <c:v>153.6474688187821</c:v>
                </c:pt>
                <c:pt idx="46">
                  <c:v>153.6474688187821</c:v>
                </c:pt>
                <c:pt idx="47">
                  <c:v>153.6474688187821</c:v>
                </c:pt>
              </c:numCache>
            </c:numRef>
          </c:val>
          <c:smooth val="0"/>
        </c:ser>
        <c:ser>
          <c:idx val="2"/>
          <c:order val="3"/>
          <c:tx>
            <c:strRef>
              <c:f>Diagnostics!$A$344</c:f>
              <c:strCache>
                <c:ptCount val="1"/>
                <c:pt idx="0">
                  <c:v>Lower Control Limit</c:v>
                </c:pt>
              </c:strCache>
            </c:strRef>
          </c:tx>
          <c:spPr>
            <a:ln w="31750">
              <a:solidFill>
                <a:schemeClr val="bg1">
                  <a:lumMod val="65000"/>
                </a:schemeClr>
              </a:solidFill>
              <a:prstDash val="sysDash"/>
            </a:ln>
          </c:spPr>
          <c:marker>
            <c:symbol val="none"/>
          </c:marker>
          <c:cat>
            <c:numRef>
              <c:f>Diagnostics!$B$328:$AW$328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Diagnostics!$B$344:$AW$344</c:f>
              <c:numCache>
                <c:formatCode>0</c:formatCode>
                <c:ptCount val="48"/>
                <c:pt idx="0">
                  <c:v>-24.544020542920052</c:v>
                </c:pt>
                <c:pt idx="1">
                  <c:v>-24.544020542920052</c:v>
                </c:pt>
                <c:pt idx="2">
                  <c:v>-24.544020542920052</c:v>
                </c:pt>
                <c:pt idx="3">
                  <c:v>-24.544020542920052</c:v>
                </c:pt>
                <c:pt idx="4">
                  <c:v>-24.544020542920052</c:v>
                </c:pt>
                <c:pt idx="5">
                  <c:v>-24.544020542920052</c:v>
                </c:pt>
                <c:pt idx="6">
                  <c:v>-24.544020542920052</c:v>
                </c:pt>
                <c:pt idx="7">
                  <c:v>-24.544020542920052</c:v>
                </c:pt>
                <c:pt idx="8">
                  <c:v>-24.544020542920052</c:v>
                </c:pt>
                <c:pt idx="9">
                  <c:v>-24.544020542920052</c:v>
                </c:pt>
                <c:pt idx="10">
                  <c:v>-24.544020542920052</c:v>
                </c:pt>
                <c:pt idx="11">
                  <c:v>-24.544020542920052</c:v>
                </c:pt>
                <c:pt idx="12">
                  <c:v>-24.544020542920052</c:v>
                </c:pt>
                <c:pt idx="13">
                  <c:v>-24.544020542920052</c:v>
                </c:pt>
                <c:pt idx="14">
                  <c:v>-24.544020542920052</c:v>
                </c:pt>
                <c:pt idx="15">
                  <c:v>-24.544020542920052</c:v>
                </c:pt>
                <c:pt idx="16">
                  <c:v>-24.544020542920052</c:v>
                </c:pt>
                <c:pt idx="17">
                  <c:v>-24.544020542920052</c:v>
                </c:pt>
                <c:pt idx="18">
                  <c:v>-24.544020542920052</c:v>
                </c:pt>
                <c:pt idx="19">
                  <c:v>-24.544020542920052</c:v>
                </c:pt>
                <c:pt idx="20">
                  <c:v>-24.544020542920052</c:v>
                </c:pt>
                <c:pt idx="21">
                  <c:v>-24.544020542920052</c:v>
                </c:pt>
                <c:pt idx="22">
                  <c:v>-24.544020542920052</c:v>
                </c:pt>
                <c:pt idx="23">
                  <c:v>-24.544020542920052</c:v>
                </c:pt>
                <c:pt idx="24">
                  <c:v>-24.544020542920052</c:v>
                </c:pt>
                <c:pt idx="25">
                  <c:v>-24.544020542920052</c:v>
                </c:pt>
                <c:pt idx="26">
                  <c:v>-24.544020542920052</c:v>
                </c:pt>
                <c:pt idx="27">
                  <c:v>-24.544020542920052</c:v>
                </c:pt>
                <c:pt idx="28">
                  <c:v>-24.544020542920052</c:v>
                </c:pt>
                <c:pt idx="29">
                  <c:v>-24.544020542920052</c:v>
                </c:pt>
                <c:pt idx="30">
                  <c:v>-24.544020542920052</c:v>
                </c:pt>
                <c:pt idx="31">
                  <c:v>-24.544020542920052</c:v>
                </c:pt>
                <c:pt idx="32">
                  <c:v>-24.544020542920052</c:v>
                </c:pt>
                <c:pt idx="33">
                  <c:v>-24.544020542920052</c:v>
                </c:pt>
                <c:pt idx="34">
                  <c:v>-24.544020542920052</c:v>
                </c:pt>
                <c:pt idx="35">
                  <c:v>-24.544020542920052</c:v>
                </c:pt>
                <c:pt idx="36">
                  <c:v>-24.544020542920052</c:v>
                </c:pt>
                <c:pt idx="37">
                  <c:v>-24.544020542920052</c:v>
                </c:pt>
                <c:pt idx="38">
                  <c:v>-24.544020542920052</c:v>
                </c:pt>
                <c:pt idx="39">
                  <c:v>-24.544020542920052</c:v>
                </c:pt>
                <c:pt idx="40">
                  <c:v>-24.544020542920052</c:v>
                </c:pt>
                <c:pt idx="41">
                  <c:v>-24.544020542920052</c:v>
                </c:pt>
                <c:pt idx="42">
                  <c:v>-24.544020542920052</c:v>
                </c:pt>
                <c:pt idx="43">
                  <c:v>-24.544020542920052</c:v>
                </c:pt>
                <c:pt idx="44">
                  <c:v>-24.544020542920052</c:v>
                </c:pt>
                <c:pt idx="45">
                  <c:v>-24.544020542920052</c:v>
                </c:pt>
                <c:pt idx="46">
                  <c:v>-24.544020542920052</c:v>
                </c:pt>
                <c:pt idx="47">
                  <c:v>-24.544020542920052</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Diagnostics!$B$328:$AW$328</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1202944"/>
        <c:axId val="129865344"/>
      </c:lineChart>
      <c:dateAx>
        <c:axId val="141202944"/>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29865344"/>
        <c:crosses val="autoZero"/>
        <c:auto val="1"/>
        <c:lblOffset val="100"/>
        <c:baseTimeUnit val="months"/>
      </c:dateAx>
      <c:valAx>
        <c:axId val="129865344"/>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1202944"/>
        <c:crosses val="autoZero"/>
        <c:crossBetween val="between"/>
      </c:valAx>
    </c:plotArea>
    <c:legend>
      <c:legendPos val="r"/>
      <c:layout>
        <c:manualLayout>
          <c:xMode val="edge"/>
          <c:yMode val="edge"/>
          <c:x val="5.4824561403508934E-3"/>
          <c:y val="0.9223985890652534"/>
          <c:w val="0.9851757613267772"/>
          <c:h val="7.760141093474452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62356679099324"/>
          <c:h val="0.75092891166382381"/>
        </c:manualLayout>
      </c:layout>
      <c:lineChart>
        <c:grouping val="standard"/>
        <c:varyColors val="0"/>
        <c:ser>
          <c:idx val="4"/>
          <c:order val="0"/>
          <c:tx>
            <c:strRef>
              <c:f>Diagnostics!$A$330</c:f>
              <c:strCache>
                <c:ptCount val="1"/>
                <c:pt idx="0">
                  <c:v>CT</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bubble3D val="0"/>
            <c:spPr>
              <a:ln w="25400" cap="rnd">
                <a:solidFill>
                  <a:srgbClr val="00B050"/>
                </a:solidFill>
                <a:round/>
                <a:headEnd type="none"/>
              </a:ln>
              <a:effectLst/>
            </c:spPr>
          </c:dPt>
          <c:dPt>
            <c:idx val="8"/>
            <c:bubble3D val="0"/>
            <c:spPr>
              <a:ln w="25400" cap="rnd">
                <a:solidFill>
                  <a:srgbClr val="00B050"/>
                </a:solidFill>
                <a:round/>
                <a:headEnd type="none"/>
              </a:ln>
              <a:effectLst/>
            </c:spPr>
          </c:dPt>
          <c:dPt>
            <c:idx val="9"/>
            <c:bubble3D val="0"/>
            <c:spPr>
              <a:ln w="25400" cap="rnd">
                <a:solidFill>
                  <a:srgbClr val="00B050"/>
                </a:solidFill>
                <a:round/>
                <a:headEnd type="none"/>
              </a:ln>
              <a:effectLst/>
            </c:spPr>
          </c:dPt>
          <c:dPt>
            <c:idx val="10"/>
            <c:bubble3D val="0"/>
            <c:spPr>
              <a:ln w="25400" cap="rnd">
                <a:solidFill>
                  <a:srgbClr val="00B050"/>
                </a:solidFill>
                <a:round/>
                <a:headEnd type="none"/>
              </a:ln>
              <a:effectLst/>
            </c:spPr>
          </c:dPt>
          <c:dPt>
            <c:idx val="11"/>
            <c:bubble3D val="0"/>
            <c:spPr>
              <a:ln w="25400" cap="rnd">
                <a:solidFill>
                  <a:srgbClr val="00B050"/>
                </a:solidFill>
                <a:round/>
                <a:headEnd type="none"/>
              </a:ln>
              <a:effectLst/>
            </c:spPr>
          </c:dPt>
          <c:dPt>
            <c:idx val="14"/>
            <c:marker>
              <c:spPr>
                <a:solidFill>
                  <a:schemeClr val="bg1"/>
                </a:solidFill>
                <a:ln w="25400">
                  <a:solidFill>
                    <a:srgbClr val="0070C0"/>
                  </a:solidFill>
                </a:ln>
              </c:spPr>
            </c:marker>
            <c:bubble3D val="0"/>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Diagnostics!$B$330:$AW$330</c:f>
              <c:numCache>
                <c:formatCode>General</c:formatCode>
                <c:ptCount val="48"/>
                <c:pt idx="0">
                  <c:v>15</c:v>
                </c:pt>
                <c:pt idx="1">
                  <c:v>8</c:v>
                </c:pt>
                <c:pt idx="2">
                  <c:v>6</c:v>
                </c:pt>
                <c:pt idx="3">
                  <c:v>12</c:v>
                </c:pt>
                <c:pt idx="4">
                  <c:v>9</c:v>
                </c:pt>
                <c:pt idx="5">
                  <c:v>9</c:v>
                </c:pt>
                <c:pt idx="6">
                  <c:v>3</c:v>
                </c:pt>
                <c:pt idx="7">
                  <c:v>2</c:v>
                </c:pt>
                <c:pt idx="8">
                  <c:v>6</c:v>
                </c:pt>
                <c:pt idx="9">
                  <c:v>2</c:v>
                </c:pt>
                <c:pt idx="10">
                  <c:v>5</c:v>
                </c:pt>
                <c:pt idx="11">
                  <c:v>6</c:v>
                </c:pt>
                <c:pt idx="12">
                  <c:v>7</c:v>
                </c:pt>
                <c:pt idx="13">
                  <c:v>3</c:v>
                </c:pt>
                <c:pt idx="14">
                  <c:v>19</c:v>
                </c:pt>
                <c:pt idx="15">
                  <c:v>5</c:v>
                </c:pt>
                <c:pt idx="16">
                  <c:v>7</c:v>
                </c:pt>
                <c:pt idx="17">
                  <c:v>4</c:v>
                </c:pt>
                <c:pt idx="18">
                  <c:v>8</c:v>
                </c:pt>
                <c:pt idx="19">
                  <c:v>4</c:v>
                </c:pt>
                <c:pt idx="20">
                  <c:v>3</c:v>
                </c:pt>
                <c:pt idx="21">
                  <c:v>10</c:v>
                </c:pt>
                <c:pt idx="22">
                  <c:v>7</c:v>
                </c:pt>
                <c:pt idx="23">
                  <c:v>1</c:v>
                </c:pt>
                <c:pt idx="24">
                  <c:v>6</c:v>
                </c:pt>
                <c:pt idx="25">
                  <c:v>3</c:v>
                </c:pt>
                <c:pt idx="26">
                  <c:v>7</c:v>
                </c:pt>
                <c:pt idx="27">
                  <c:v>5</c:v>
                </c:pt>
                <c:pt idx="28">
                  <c:v>5</c:v>
                </c:pt>
              </c:numCache>
            </c:numRef>
          </c:val>
          <c:smooth val="0"/>
        </c:ser>
        <c:ser>
          <c:idx val="3"/>
          <c:order val="1"/>
          <c:tx>
            <c:strRef>
              <c:f>Diagnostics!$A$351</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Diagnostics!$B$351:$AW$351</c:f>
              <c:numCache>
                <c:formatCode>0</c:formatCode>
                <c:ptCount val="48"/>
                <c:pt idx="0">
                  <c:v>6.4482758620689653</c:v>
                </c:pt>
                <c:pt idx="1">
                  <c:v>6.4482758620689653</c:v>
                </c:pt>
                <c:pt idx="2">
                  <c:v>6.4482758620689653</c:v>
                </c:pt>
                <c:pt idx="3">
                  <c:v>6.4482758620689653</c:v>
                </c:pt>
                <c:pt idx="4">
                  <c:v>6.4482758620689653</c:v>
                </c:pt>
                <c:pt idx="5">
                  <c:v>6.4482758620689653</c:v>
                </c:pt>
                <c:pt idx="6">
                  <c:v>6.4482758620689653</c:v>
                </c:pt>
                <c:pt idx="7">
                  <c:v>6.4482758620689653</c:v>
                </c:pt>
                <c:pt idx="8">
                  <c:v>6.4482758620689653</c:v>
                </c:pt>
                <c:pt idx="9">
                  <c:v>6.4482758620689653</c:v>
                </c:pt>
                <c:pt idx="10">
                  <c:v>6.4482758620689653</c:v>
                </c:pt>
                <c:pt idx="11">
                  <c:v>6.4482758620689653</c:v>
                </c:pt>
                <c:pt idx="12">
                  <c:v>6.4482758620689653</c:v>
                </c:pt>
                <c:pt idx="13">
                  <c:v>6.4482758620689653</c:v>
                </c:pt>
                <c:pt idx="14">
                  <c:v>6.4482758620689653</c:v>
                </c:pt>
                <c:pt idx="15">
                  <c:v>6.4482758620689653</c:v>
                </c:pt>
                <c:pt idx="16">
                  <c:v>6.4482758620689653</c:v>
                </c:pt>
                <c:pt idx="17">
                  <c:v>6.4482758620689653</c:v>
                </c:pt>
                <c:pt idx="18">
                  <c:v>6.4482758620689653</c:v>
                </c:pt>
                <c:pt idx="19">
                  <c:v>6.4482758620689653</c:v>
                </c:pt>
                <c:pt idx="20">
                  <c:v>6.4482758620689653</c:v>
                </c:pt>
                <c:pt idx="21">
                  <c:v>6.4482758620689653</c:v>
                </c:pt>
                <c:pt idx="22">
                  <c:v>6.4482758620689653</c:v>
                </c:pt>
                <c:pt idx="23">
                  <c:v>6.4482758620689653</c:v>
                </c:pt>
                <c:pt idx="24">
                  <c:v>6.4482758620689653</c:v>
                </c:pt>
                <c:pt idx="25">
                  <c:v>6.4482758620689653</c:v>
                </c:pt>
                <c:pt idx="26">
                  <c:v>6.4482758620689653</c:v>
                </c:pt>
                <c:pt idx="27">
                  <c:v>6.4482758620689653</c:v>
                </c:pt>
                <c:pt idx="28">
                  <c:v>6.4482758620689653</c:v>
                </c:pt>
                <c:pt idx="29">
                  <c:v>6.4482758620689653</c:v>
                </c:pt>
                <c:pt idx="30">
                  <c:v>6.4482758620689653</c:v>
                </c:pt>
                <c:pt idx="31">
                  <c:v>6.4482758620689653</c:v>
                </c:pt>
                <c:pt idx="32">
                  <c:v>6.4482758620689653</c:v>
                </c:pt>
                <c:pt idx="33">
                  <c:v>6.4482758620689653</c:v>
                </c:pt>
                <c:pt idx="34">
                  <c:v>6.4482758620689653</c:v>
                </c:pt>
                <c:pt idx="35">
                  <c:v>6.4482758620689653</c:v>
                </c:pt>
                <c:pt idx="36">
                  <c:v>6.4482758620689653</c:v>
                </c:pt>
                <c:pt idx="37">
                  <c:v>6.4482758620689653</c:v>
                </c:pt>
                <c:pt idx="38">
                  <c:v>6.4482758620689653</c:v>
                </c:pt>
                <c:pt idx="39">
                  <c:v>6.4482758620689653</c:v>
                </c:pt>
                <c:pt idx="40">
                  <c:v>6.4482758620689653</c:v>
                </c:pt>
                <c:pt idx="41">
                  <c:v>6.4482758620689653</c:v>
                </c:pt>
                <c:pt idx="42">
                  <c:v>6.4482758620689653</c:v>
                </c:pt>
                <c:pt idx="43">
                  <c:v>6.4482758620689653</c:v>
                </c:pt>
                <c:pt idx="44">
                  <c:v>6.4482758620689653</c:v>
                </c:pt>
                <c:pt idx="45">
                  <c:v>6.4482758620689653</c:v>
                </c:pt>
                <c:pt idx="46">
                  <c:v>6.4482758620689653</c:v>
                </c:pt>
                <c:pt idx="47">
                  <c:v>6.4482758620689653</c:v>
                </c:pt>
              </c:numCache>
            </c:numRef>
          </c:val>
          <c:smooth val="0"/>
        </c:ser>
        <c:ser>
          <c:idx val="1"/>
          <c:order val="2"/>
          <c:tx>
            <c:strRef>
              <c:f>Diagnostics!$A$354</c:f>
              <c:strCache>
                <c:ptCount val="1"/>
                <c:pt idx="0">
                  <c:v>Upper Control Limit </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Diagnostics!$B$354:$AW$354</c:f>
              <c:numCache>
                <c:formatCode>0</c:formatCode>
                <c:ptCount val="48"/>
                <c:pt idx="0">
                  <c:v>17.466512944135836</c:v>
                </c:pt>
                <c:pt idx="1">
                  <c:v>17.466512944135836</c:v>
                </c:pt>
                <c:pt idx="2">
                  <c:v>17.466512944135836</c:v>
                </c:pt>
                <c:pt idx="3">
                  <c:v>17.466512944135836</c:v>
                </c:pt>
                <c:pt idx="4">
                  <c:v>17.466512944135836</c:v>
                </c:pt>
                <c:pt idx="5">
                  <c:v>17.466512944135836</c:v>
                </c:pt>
                <c:pt idx="6">
                  <c:v>17.466512944135836</c:v>
                </c:pt>
                <c:pt idx="7">
                  <c:v>17.466512944135836</c:v>
                </c:pt>
                <c:pt idx="8">
                  <c:v>17.466512944135836</c:v>
                </c:pt>
                <c:pt idx="9">
                  <c:v>17.466512944135836</c:v>
                </c:pt>
                <c:pt idx="10">
                  <c:v>17.466512944135836</c:v>
                </c:pt>
                <c:pt idx="11">
                  <c:v>17.466512944135836</c:v>
                </c:pt>
                <c:pt idx="12">
                  <c:v>17.466512944135836</c:v>
                </c:pt>
                <c:pt idx="13">
                  <c:v>17.466512944135836</c:v>
                </c:pt>
                <c:pt idx="14">
                  <c:v>17.466512944135836</c:v>
                </c:pt>
                <c:pt idx="15">
                  <c:v>17.466512944135836</c:v>
                </c:pt>
                <c:pt idx="16">
                  <c:v>17.466512944135836</c:v>
                </c:pt>
                <c:pt idx="17">
                  <c:v>17.466512944135836</c:v>
                </c:pt>
                <c:pt idx="18">
                  <c:v>17.466512944135836</c:v>
                </c:pt>
                <c:pt idx="19">
                  <c:v>17.466512944135836</c:v>
                </c:pt>
                <c:pt idx="20">
                  <c:v>17.466512944135836</c:v>
                </c:pt>
                <c:pt idx="21">
                  <c:v>17.466512944135836</c:v>
                </c:pt>
                <c:pt idx="22">
                  <c:v>17.466512944135836</c:v>
                </c:pt>
                <c:pt idx="23">
                  <c:v>17.466512944135836</c:v>
                </c:pt>
                <c:pt idx="24">
                  <c:v>17.466512944135836</c:v>
                </c:pt>
                <c:pt idx="25">
                  <c:v>17.466512944135836</c:v>
                </c:pt>
                <c:pt idx="26">
                  <c:v>17.466512944135836</c:v>
                </c:pt>
                <c:pt idx="27">
                  <c:v>17.466512944135836</c:v>
                </c:pt>
                <c:pt idx="28">
                  <c:v>17.466512944135836</c:v>
                </c:pt>
                <c:pt idx="29">
                  <c:v>17.466512944135836</c:v>
                </c:pt>
                <c:pt idx="30">
                  <c:v>17.466512944135836</c:v>
                </c:pt>
                <c:pt idx="31">
                  <c:v>17.466512944135836</c:v>
                </c:pt>
                <c:pt idx="32">
                  <c:v>17.466512944135836</c:v>
                </c:pt>
                <c:pt idx="33">
                  <c:v>17.466512944135836</c:v>
                </c:pt>
                <c:pt idx="34">
                  <c:v>17.466512944135836</c:v>
                </c:pt>
                <c:pt idx="35">
                  <c:v>17.466512944135836</c:v>
                </c:pt>
                <c:pt idx="36">
                  <c:v>17.466512944135836</c:v>
                </c:pt>
                <c:pt idx="37">
                  <c:v>17.466512944135836</c:v>
                </c:pt>
                <c:pt idx="38">
                  <c:v>17.466512944135836</c:v>
                </c:pt>
                <c:pt idx="39">
                  <c:v>17.466512944135836</c:v>
                </c:pt>
                <c:pt idx="40">
                  <c:v>17.466512944135836</c:v>
                </c:pt>
                <c:pt idx="41">
                  <c:v>17.466512944135836</c:v>
                </c:pt>
                <c:pt idx="42">
                  <c:v>17.466512944135836</c:v>
                </c:pt>
                <c:pt idx="43">
                  <c:v>17.466512944135836</c:v>
                </c:pt>
                <c:pt idx="44">
                  <c:v>17.466512944135836</c:v>
                </c:pt>
                <c:pt idx="45">
                  <c:v>17.466512944135836</c:v>
                </c:pt>
                <c:pt idx="46">
                  <c:v>17.466512944135836</c:v>
                </c:pt>
                <c:pt idx="47">
                  <c:v>17.466512944135836</c:v>
                </c:pt>
              </c:numCache>
            </c:numRef>
          </c:val>
          <c:smooth val="0"/>
        </c:ser>
        <c:ser>
          <c:idx val="2"/>
          <c:order val="3"/>
          <c:tx>
            <c:strRef>
              <c:f>Diagnostics!$A$355</c:f>
              <c:strCache>
                <c:ptCount val="1"/>
                <c:pt idx="0">
                  <c:v>Lower Control Limit</c:v>
                </c:pt>
              </c:strCache>
            </c:strRef>
          </c:tx>
          <c:spPr>
            <a:ln w="31750">
              <a:solidFill>
                <a:schemeClr val="bg1">
                  <a:lumMod val="65000"/>
                </a:schemeClr>
              </a:solidFill>
              <a:prstDash val="sys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Diagnostics!$B$355:$AW$355</c:f>
              <c:numCache>
                <c:formatCode>0</c:formatCode>
                <c:ptCount val="48"/>
                <c:pt idx="0">
                  <c:v>-4.5699612199979063</c:v>
                </c:pt>
                <c:pt idx="1">
                  <c:v>-4.5699612199979063</c:v>
                </c:pt>
                <c:pt idx="2">
                  <c:v>-4.5699612199979063</c:v>
                </c:pt>
                <c:pt idx="3">
                  <c:v>-4.5699612199979063</c:v>
                </c:pt>
                <c:pt idx="4">
                  <c:v>-4.5699612199979063</c:v>
                </c:pt>
                <c:pt idx="5">
                  <c:v>-4.5699612199979063</c:v>
                </c:pt>
                <c:pt idx="6">
                  <c:v>-4.5699612199979063</c:v>
                </c:pt>
                <c:pt idx="7">
                  <c:v>-4.5699612199979063</c:v>
                </c:pt>
                <c:pt idx="8">
                  <c:v>-4.5699612199979063</c:v>
                </c:pt>
                <c:pt idx="9">
                  <c:v>-4.5699612199979063</c:v>
                </c:pt>
                <c:pt idx="10">
                  <c:v>-4.5699612199979063</c:v>
                </c:pt>
                <c:pt idx="11">
                  <c:v>-4.5699612199979063</c:v>
                </c:pt>
                <c:pt idx="12">
                  <c:v>-4.5699612199979063</c:v>
                </c:pt>
                <c:pt idx="13">
                  <c:v>-4.5699612199979063</c:v>
                </c:pt>
                <c:pt idx="14">
                  <c:v>-4.5699612199979063</c:v>
                </c:pt>
                <c:pt idx="15">
                  <c:v>-4.5699612199979063</c:v>
                </c:pt>
                <c:pt idx="16">
                  <c:v>-4.5699612199979063</c:v>
                </c:pt>
                <c:pt idx="17">
                  <c:v>-4.5699612199979063</c:v>
                </c:pt>
                <c:pt idx="18">
                  <c:v>-4.5699612199979063</c:v>
                </c:pt>
                <c:pt idx="19">
                  <c:v>-4.5699612199979063</c:v>
                </c:pt>
                <c:pt idx="20">
                  <c:v>-4.5699612199979063</c:v>
                </c:pt>
                <c:pt idx="21">
                  <c:v>-4.5699612199979063</c:v>
                </c:pt>
                <c:pt idx="22">
                  <c:v>-4.5699612199979063</c:v>
                </c:pt>
                <c:pt idx="23">
                  <c:v>-4.5699612199979063</c:v>
                </c:pt>
                <c:pt idx="24">
                  <c:v>-4.5699612199979063</c:v>
                </c:pt>
                <c:pt idx="25">
                  <c:v>-4.5699612199979063</c:v>
                </c:pt>
                <c:pt idx="26">
                  <c:v>-4.5699612199979063</c:v>
                </c:pt>
                <c:pt idx="27">
                  <c:v>-4.5699612199979063</c:v>
                </c:pt>
                <c:pt idx="28">
                  <c:v>-4.5699612199979063</c:v>
                </c:pt>
                <c:pt idx="29">
                  <c:v>-4.5699612199979063</c:v>
                </c:pt>
                <c:pt idx="30">
                  <c:v>-4.5699612199979063</c:v>
                </c:pt>
                <c:pt idx="31">
                  <c:v>-4.5699612199979063</c:v>
                </c:pt>
                <c:pt idx="32">
                  <c:v>-4.5699612199979063</c:v>
                </c:pt>
                <c:pt idx="33">
                  <c:v>-4.5699612199979063</c:v>
                </c:pt>
                <c:pt idx="34">
                  <c:v>-4.5699612199979063</c:v>
                </c:pt>
                <c:pt idx="35">
                  <c:v>-4.5699612199979063</c:v>
                </c:pt>
                <c:pt idx="36">
                  <c:v>-4.5699612199979063</c:v>
                </c:pt>
                <c:pt idx="37">
                  <c:v>-4.5699612199979063</c:v>
                </c:pt>
                <c:pt idx="38">
                  <c:v>-4.5699612199979063</c:v>
                </c:pt>
                <c:pt idx="39">
                  <c:v>-4.5699612199979063</c:v>
                </c:pt>
                <c:pt idx="40">
                  <c:v>-4.5699612199979063</c:v>
                </c:pt>
                <c:pt idx="41">
                  <c:v>-4.5699612199979063</c:v>
                </c:pt>
                <c:pt idx="42">
                  <c:v>-4.5699612199979063</c:v>
                </c:pt>
                <c:pt idx="43">
                  <c:v>-4.5699612199979063</c:v>
                </c:pt>
                <c:pt idx="44">
                  <c:v>-4.5699612199979063</c:v>
                </c:pt>
                <c:pt idx="45">
                  <c:v>-4.5699612199979063</c:v>
                </c:pt>
                <c:pt idx="46">
                  <c:v>-4.5699612199979063</c:v>
                </c:pt>
                <c:pt idx="47">
                  <c:v>-4.5699612199979063</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1203968"/>
        <c:axId val="141008896"/>
      </c:lineChart>
      <c:dateAx>
        <c:axId val="141203968"/>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41008896"/>
        <c:crosses val="autoZero"/>
        <c:auto val="1"/>
        <c:lblOffset val="100"/>
        <c:baseTimeUnit val="months"/>
      </c:dateAx>
      <c:valAx>
        <c:axId val="141008896"/>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1203968"/>
        <c:crosses val="autoZero"/>
        <c:crossBetween val="between"/>
      </c:valAx>
    </c:plotArea>
    <c:legend>
      <c:legendPos val="r"/>
      <c:layout>
        <c:manualLayout>
          <c:xMode val="edge"/>
          <c:yMode val="edge"/>
          <c:x val="5.4824561403508934E-3"/>
          <c:y val="0.91534391534391535"/>
          <c:w val="0.98386701662292209"/>
          <c:h val="8.465608465608476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184970299765169"/>
          <c:h val="0.76151092224583061"/>
        </c:manualLayout>
      </c:layout>
      <c:lineChart>
        <c:grouping val="standard"/>
        <c:varyColors val="0"/>
        <c:ser>
          <c:idx val="4"/>
          <c:order val="0"/>
          <c:tx>
            <c:strRef>
              <c:f>Diagnostics!$A$331</c:f>
              <c:strCache>
                <c:ptCount val="1"/>
                <c:pt idx="0">
                  <c:v>General Ultrasound excl. Vascular Labs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0"/>
            <c:marker>
              <c:spPr>
                <a:solidFill>
                  <a:schemeClr val="bg1"/>
                </a:solidFill>
                <a:ln w="25400">
                  <a:solidFill>
                    <a:srgbClr val="0070C0"/>
                  </a:solidFill>
                </a:ln>
              </c:spPr>
            </c:marker>
            <c:bubble3D val="0"/>
          </c:dPt>
          <c:dPt>
            <c:idx val="2"/>
            <c:marker>
              <c:spPr>
                <a:solidFill>
                  <a:schemeClr val="bg1"/>
                </a:solidFill>
                <a:ln w="25400">
                  <a:solidFill>
                    <a:srgbClr val="0070C0"/>
                  </a:solidFill>
                </a:ln>
              </c:spPr>
            </c:marker>
            <c:bubble3D val="0"/>
          </c:dPt>
          <c:dPt>
            <c:idx val="11"/>
            <c:bubble3D val="0"/>
          </c:dPt>
          <c:dPt>
            <c:idx val="12"/>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bubble3D val="0"/>
            <c:spPr>
              <a:ln w="25400" cap="rnd">
                <a:solidFill>
                  <a:srgbClr val="00B050"/>
                </a:solidFill>
                <a:round/>
                <a:headEnd type="none"/>
              </a:ln>
              <a:effectLst/>
            </c:spPr>
          </c:dPt>
          <c:dPt>
            <c:idx val="26"/>
            <c:bubble3D val="0"/>
            <c:spPr>
              <a:ln w="25400" cap="rnd">
                <a:solidFill>
                  <a:srgbClr val="00B050"/>
                </a:solidFill>
                <a:round/>
                <a:headEnd type="none"/>
              </a:ln>
              <a:effectLst/>
            </c:spPr>
          </c:dPt>
          <c:dPt>
            <c:idx val="27"/>
            <c:bubble3D val="0"/>
            <c:spPr>
              <a:ln w="25400" cap="rnd">
                <a:solidFill>
                  <a:srgbClr val="00B050"/>
                </a:solidFill>
                <a:round/>
                <a:headEnd type="none"/>
              </a:ln>
              <a:effectLst/>
            </c:spPr>
          </c:dPt>
          <c:dPt>
            <c:idx val="28"/>
            <c:bubble3D val="0"/>
            <c:spPr>
              <a:ln w="25400" cap="rnd">
                <a:solidFill>
                  <a:srgbClr val="00B050"/>
                </a:solidFill>
                <a:round/>
                <a:headEnd type="none"/>
              </a:ln>
              <a:effectLst/>
            </c:spPr>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Diagnostics!$B$331:$AW$331</c:f>
              <c:numCache>
                <c:formatCode>General</c:formatCode>
                <c:ptCount val="48"/>
                <c:pt idx="0">
                  <c:v>23</c:v>
                </c:pt>
                <c:pt idx="1">
                  <c:v>13</c:v>
                </c:pt>
                <c:pt idx="2">
                  <c:v>30</c:v>
                </c:pt>
                <c:pt idx="3">
                  <c:v>4</c:v>
                </c:pt>
                <c:pt idx="4">
                  <c:v>5</c:v>
                </c:pt>
                <c:pt idx="5">
                  <c:v>10</c:v>
                </c:pt>
                <c:pt idx="6">
                  <c:v>1</c:v>
                </c:pt>
                <c:pt idx="7">
                  <c:v>5</c:v>
                </c:pt>
                <c:pt idx="8">
                  <c:v>5</c:v>
                </c:pt>
                <c:pt idx="9">
                  <c:v>3</c:v>
                </c:pt>
                <c:pt idx="10">
                  <c:v>9</c:v>
                </c:pt>
                <c:pt idx="11">
                  <c:v>3</c:v>
                </c:pt>
                <c:pt idx="12">
                  <c:v>3</c:v>
                </c:pt>
                <c:pt idx="13">
                  <c:v>3</c:v>
                </c:pt>
                <c:pt idx="14">
                  <c:v>3</c:v>
                </c:pt>
                <c:pt idx="15">
                  <c:v>5</c:v>
                </c:pt>
                <c:pt idx="16">
                  <c:v>5</c:v>
                </c:pt>
                <c:pt idx="17">
                  <c:v>1</c:v>
                </c:pt>
                <c:pt idx="18">
                  <c:v>2</c:v>
                </c:pt>
                <c:pt idx="19">
                  <c:v>9</c:v>
                </c:pt>
                <c:pt idx="20">
                  <c:v>9</c:v>
                </c:pt>
                <c:pt idx="21">
                  <c:v>6</c:v>
                </c:pt>
                <c:pt idx="22">
                  <c:v>8</c:v>
                </c:pt>
                <c:pt idx="23">
                  <c:v>3</c:v>
                </c:pt>
                <c:pt idx="24">
                  <c:v>4</c:v>
                </c:pt>
                <c:pt idx="25">
                  <c:v>3</c:v>
                </c:pt>
                <c:pt idx="26">
                  <c:v>0</c:v>
                </c:pt>
                <c:pt idx="27">
                  <c:v>2</c:v>
                </c:pt>
                <c:pt idx="28">
                  <c:v>4</c:v>
                </c:pt>
              </c:numCache>
            </c:numRef>
          </c:val>
          <c:smooth val="0"/>
        </c:ser>
        <c:ser>
          <c:idx val="3"/>
          <c:order val="1"/>
          <c:tx>
            <c:strRef>
              <c:f>Diagnostics!$A$362</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Diagnostics!$B$362:$AW$362</c:f>
              <c:numCache>
                <c:formatCode>0</c:formatCode>
                <c:ptCount val="48"/>
                <c:pt idx="0">
                  <c:v>6.2413793103448274</c:v>
                </c:pt>
                <c:pt idx="1">
                  <c:v>6.2413793103448274</c:v>
                </c:pt>
                <c:pt idx="2">
                  <c:v>6.2413793103448274</c:v>
                </c:pt>
                <c:pt idx="3">
                  <c:v>6.2413793103448274</c:v>
                </c:pt>
                <c:pt idx="4">
                  <c:v>6.2413793103448274</c:v>
                </c:pt>
                <c:pt idx="5">
                  <c:v>6.2413793103448274</c:v>
                </c:pt>
                <c:pt idx="6">
                  <c:v>6.2413793103448274</c:v>
                </c:pt>
                <c:pt idx="7">
                  <c:v>6.2413793103448274</c:v>
                </c:pt>
                <c:pt idx="8">
                  <c:v>6.2413793103448274</c:v>
                </c:pt>
                <c:pt idx="9">
                  <c:v>6.2413793103448274</c:v>
                </c:pt>
                <c:pt idx="10">
                  <c:v>6.2413793103448274</c:v>
                </c:pt>
                <c:pt idx="11">
                  <c:v>6.2413793103448274</c:v>
                </c:pt>
                <c:pt idx="12">
                  <c:v>6.2413793103448274</c:v>
                </c:pt>
                <c:pt idx="13">
                  <c:v>6.2413793103448274</c:v>
                </c:pt>
                <c:pt idx="14">
                  <c:v>6.2413793103448274</c:v>
                </c:pt>
                <c:pt idx="15">
                  <c:v>6.2413793103448274</c:v>
                </c:pt>
                <c:pt idx="16">
                  <c:v>6.2413793103448274</c:v>
                </c:pt>
                <c:pt idx="17">
                  <c:v>6.2413793103448274</c:v>
                </c:pt>
                <c:pt idx="18">
                  <c:v>6.2413793103448274</c:v>
                </c:pt>
                <c:pt idx="19">
                  <c:v>6.2413793103448274</c:v>
                </c:pt>
                <c:pt idx="20">
                  <c:v>6.2413793103448274</c:v>
                </c:pt>
                <c:pt idx="21">
                  <c:v>6.2413793103448274</c:v>
                </c:pt>
                <c:pt idx="22">
                  <c:v>6.2413793103448274</c:v>
                </c:pt>
                <c:pt idx="23">
                  <c:v>6.2413793103448274</c:v>
                </c:pt>
                <c:pt idx="24">
                  <c:v>6.2413793103448274</c:v>
                </c:pt>
                <c:pt idx="25">
                  <c:v>6.2413793103448274</c:v>
                </c:pt>
                <c:pt idx="26">
                  <c:v>6.2413793103448274</c:v>
                </c:pt>
                <c:pt idx="27">
                  <c:v>6.2413793103448274</c:v>
                </c:pt>
                <c:pt idx="28">
                  <c:v>6.2413793103448274</c:v>
                </c:pt>
                <c:pt idx="29">
                  <c:v>6.2413793103448274</c:v>
                </c:pt>
                <c:pt idx="30">
                  <c:v>6.2413793103448274</c:v>
                </c:pt>
                <c:pt idx="31">
                  <c:v>6.2413793103448274</c:v>
                </c:pt>
                <c:pt idx="32">
                  <c:v>6.2413793103448274</c:v>
                </c:pt>
                <c:pt idx="33">
                  <c:v>6.2413793103448274</c:v>
                </c:pt>
                <c:pt idx="34">
                  <c:v>6.2413793103448274</c:v>
                </c:pt>
                <c:pt idx="35">
                  <c:v>6.2413793103448274</c:v>
                </c:pt>
                <c:pt idx="36">
                  <c:v>6.2413793103448274</c:v>
                </c:pt>
                <c:pt idx="37">
                  <c:v>6.2413793103448274</c:v>
                </c:pt>
                <c:pt idx="38">
                  <c:v>6.2413793103448274</c:v>
                </c:pt>
                <c:pt idx="39">
                  <c:v>6.2413793103448274</c:v>
                </c:pt>
                <c:pt idx="40">
                  <c:v>6.2413793103448274</c:v>
                </c:pt>
                <c:pt idx="41">
                  <c:v>6.2413793103448274</c:v>
                </c:pt>
                <c:pt idx="42">
                  <c:v>6.2413793103448274</c:v>
                </c:pt>
                <c:pt idx="43">
                  <c:v>6.2413793103448274</c:v>
                </c:pt>
                <c:pt idx="44">
                  <c:v>6.2413793103448274</c:v>
                </c:pt>
                <c:pt idx="45">
                  <c:v>6.2413793103448274</c:v>
                </c:pt>
                <c:pt idx="46">
                  <c:v>6.2413793103448274</c:v>
                </c:pt>
                <c:pt idx="47">
                  <c:v>6.2413793103448274</c:v>
                </c:pt>
              </c:numCache>
            </c:numRef>
          </c:val>
          <c:smooth val="0"/>
        </c:ser>
        <c:ser>
          <c:idx val="1"/>
          <c:order val="2"/>
          <c:tx>
            <c:strRef>
              <c:f>Diagnostics!$A$365</c:f>
              <c:strCache>
                <c:ptCount val="1"/>
                <c:pt idx="0">
                  <c:v>Upper Control Limit </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Diagnostics!$B$365:$AW$365</c:f>
              <c:numCache>
                <c:formatCode>0</c:formatCode>
                <c:ptCount val="48"/>
                <c:pt idx="0">
                  <c:v>17.544570799706531</c:v>
                </c:pt>
                <c:pt idx="1">
                  <c:v>17.544570799706531</c:v>
                </c:pt>
                <c:pt idx="2">
                  <c:v>17.544570799706531</c:v>
                </c:pt>
                <c:pt idx="3">
                  <c:v>17.544570799706531</c:v>
                </c:pt>
                <c:pt idx="4">
                  <c:v>17.544570799706531</c:v>
                </c:pt>
                <c:pt idx="5">
                  <c:v>17.544570799706531</c:v>
                </c:pt>
                <c:pt idx="6">
                  <c:v>17.544570799706531</c:v>
                </c:pt>
                <c:pt idx="7">
                  <c:v>17.544570799706531</c:v>
                </c:pt>
                <c:pt idx="8">
                  <c:v>17.544570799706531</c:v>
                </c:pt>
                <c:pt idx="9">
                  <c:v>17.544570799706531</c:v>
                </c:pt>
                <c:pt idx="10">
                  <c:v>17.544570799706531</c:v>
                </c:pt>
                <c:pt idx="11">
                  <c:v>17.544570799706531</c:v>
                </c:pt>
                <c:pt idx="12">
                  <c:v>17.544570799706531</c:v>
                </c:pt>
                <c:pt idx="13">
                  <c:v>17.544570799706531</c:v>
                </c:pt>
                <c:pt idx="14">
                  <c:v>17.544570799706531</c:v>
                </c:pt>
                <c:pt idx="15">
                  <c:v>17.544570799706531</c:v>
                </c:pt>
                <c:pt idx="16">
                  <c:v>17.544570799706531</c:v>
                </c:pt>
                <c:pt idx="17">
                  <c:v>17.544570799706531</c:v>
                </c:pt>
                <c:pt idx="18">
                  <c:v>17.544570799706531</c:v>
                </c:pt>
                <c:pt idx="19">
                  <c:v>17.544570799706531</c:v>
                </c:pt>
                <c:pt idx="20">
                  <c:v>17.544570799706531</c:v>
                </c:pt>
                <c:pt idx="21">
                  <c:v>17.544570799706531</c:v>
                </c:pt>
                <c:pt idx="22">
                  <c:v>17.544570799706531</c:v>
                </c:pt>
                <c:pt idx="23">
                  <c:v>17.544570799706531</c:v>
                </c:pt>
                <c:pt idx="24">
                  <c:v>17.544570799706531</c:v>
                </c:pt>
                <c:pt idx="25">
                  <c:v>17.544570799706531</c:v>
                </c:pt>
                <c:pt idx="26">
                  <c:v>17.544570799706531</c:v>
                </c:pt>
                <c:pt idx="27">
                  <c:v>17.544570799706531</c:v>
                </c:pt>
                <c:pt idx="28">
                  <c:v>17.544570799706531</c:v>
                </c:pt>
                <c:pt idx="29">
                  <c:v>17.544570799706531</c:v>
                </c:pt>
                <c:pt idx="30">
                  <c:v>17.544570799706531</c:v>
                </c:pt>
                <c:pt idx="31">
                  <c:v>17.544570799706531</c:v>
                </c:pt>
                <c:pt idx="32">
                  <c:v>17.544570799706531</c:v>
                </c:pt>
                <c:pt idx="33">
                  <c:v>17.544570799706531</c:v>
                </c:pt>
                <c:pt idx="34">
                  <c:v>17.544570799706531</c:v>
                </c:pt>
                <c:pt idx="35">
                  <c:v>17.544570799706531</c:v>
                </c:pt>
                <c:pt idx="36">
                  <c:v>17.544570799706531</c:v>
                </c:pt>
                <c:pt idx="37">
                  <c:v>17.544570799706531</c:v>
                </c:pt>
                <c:pt idx="38">
                  <c:v>17.544570799706531</c:v>
                </c:pt>
                <c:pt idx="39">
                  <c:v>17.544570799706531</c:v>
                </c:pt>
                <c:pt idx="40">
                  <c:v>17.544570799706531</c:v>
                </c:pt>
                <c:pt idx="41">
                  <c:v>17.544570799706531</c:v>
                </c:pt>
                <c:pt idx="42">
                  <c:v>17.544570799706531</c:v>
                </c:pt>
                <c:pt idx="43">
                  <c:v>17.544570799706531</c:v>
                </c:pt>
                <c:pt idx="44">
                  <c:v>17.544570799706531</c:v>
                </c:pt>
                <c:pt idx="45">
                  <c:v>17.544570799706531</c:v>
                </c:pt>
                <c:pt idx="46">
                  <c:v>17.544570799706531</c:v>
                </c:pt>
                <c:pt idx="47">
                  <c:v>17.544570799706531</c:v>
                </c:pt>
              </c:numCache>
            </c:numRef>
          </c:val>
          <c:smooth val="0"/>
        </c:ser>
        <c:ser>
          <c:idx val="2"/>
          <c:order val="3"/>
          <c:tx>
            <c:strRef>
              <c:f>Diagnostics!$A$366</c:f>
              <c:strCache>
                <c:ptCount val="1"/>
                <c:pt idx="0">
                  <c:v>Lower Control Limit</c:v>
                </c:pt>
              </c:strCache>
            </c:strRef>
          </c:tx>
          <c:spPr>
            <a:ln w="31750">
              <a:solidFill>
                <a:schemeClr val="bg1">
                  <a:lumMod val="65000"/>
                </a:schemeClr>
              </a:solidFill>
              <a:prstDash val="sys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Diagnostics!$B$366:$AW$366</c:f>
              <c:numCache>
                <c:formatCode>0</c:formatCode>
                <c:ptCount val="48"/>
                <c:pt idx="0">
                  <c:v>-5.0618121790168757</c:v>
                </c:pt>
                <c:pt idx="1">
                  <c:v>-5.0618121790168757</c:v>
                </c:pt>
                <c:pt idx="2">
                  <c:v>-5.0618121790168757</c:v>
                </c:pt>
                <c:pt idx="3">
                  <c:v>-5.0618121790168757</c:v>
                </c:pt>
                <c:pt idx="4">
                  <c:v>-5.0618121790168757</c:v>
                </c:pt>
                <c:pt idx="5">
                  <c:v>-5.0618121790168757</c:v>
                </c:pt>
                <c:pt idx="6">
                  <c:v>-5.0618121790168757</c:v>
                </c:pt>
                <c:pt idx="7">
                  <c:v>-5.0618121790168757</c:v>
                </c:pt>
                <c:pt idx="8">
                  <c:v>-5.0618121790168757</c:v>
                </c:pt>
                <c:pt idx="9">
                  <c:v>-5.0618121790168757</c:v>
                </c:pt>
                <c:pt idx="10">
                  <c:v>-5.0618121790168757</c:v>
                </c:pt>
                <c:pt idx="11">
                  <c:v>-5.0618121790168757</c:v>
                </c:pt>
                <c:pt idx="12">
                  <c:v>-5.0618121790168757</c:v>
                </c:pt>
                <c:pt idx="13">
                  <c:v>-5.0618121790168757</c:v>
                </c:pt>
                <c:pt idx="14">
                  <c:v>-5.0618121790168757</c:v>
                </c:pt>
                <c:pt idx="15">
                  <c:v>-5.0618121790168757</c:v>
                </c:pt>
                <c:pt idx="16">
                  <c:v>-5.0618121790168757</c:v>
                </c:pt>
                <c:pt idx="17">
                  <c:v>-5.0618121790168757</c:v>
                </c:pt>
                <c:pt idx="18">
                  <c:v>-5.0618121790168757</c:v>
                </c:pt>
                <c:pt idx="19">
                  <c:v>-5.0618121790168757</c:v>
                </c:pt>
                <c:pt idx="20">
                  <c:v>-5.0618121790168757</c:v>
                </c:pt>
                <c:pt idx="21">
                  <c:v>-5.0618121790168757</c:v>
                </c:pt>
                <c:pt idx="22">
                  <c:v>-5.0618121790168757</c:v>
                </c:pt>
                <c:pt idx="23">
                  <c:v>-5.0618121790168757</c:v>
                </c:pt>
                <c:pt idx="24">
                  <c:v>-5.0618121790168757</c:v>
                </c:pt>
                <c:pt idx="25">
                  <c:v>-5.0618121790168757</c:v>
                </c:pt>
                <c:pt idx="26">
                  <c:v>-5.0618121790168757</c:v>
                </c:pt>
                <c:pt idx="27">
                  <c:v>-5.0618121790168757</c:v>
                </c:pt>
                <c:pt idx="28">
                  <c:v>-5.0618121790168757</c:v>
                </c:pt>
                <c:pt idx="29">
                  <c:v>-5.0618121790168757</c:v>
                </c:pt>
                <c:pt idx="30">
                  <c:v>-5.0618121790168757</c:v>
                </c:pt>
                <c:pt idx="31">
                  <c:v>-5.0618121790168757</c:v>
                </c:pt>
                <c:pt idx="32">
                  <c:v>-5.0618121790168757</c:v>
                </c:pt>
                <c:pt idx="33">
                  <c:v>-5.0618121790168757</c:v>
                </c:pt>
                <c:pt idx="34">
                  <c:v>-5.0618121790168757</c:v>
                </c:pt>
                <c:pt idx="35">
                  <c:v>-5.0618121790168757</c:v>
                </c:pt>
                <c:pt idx="36">
                  <c:v>-5.0618121790168757</c:v>
                </c:pt>
                <c:pt idx="37">
                  <c:v>-5.0618121790168757</c:v>
                </c:pt>
                <c:pt idx="38">
                  <c:v>-5.0618121790168757</c:v>
                </c:pt>
                <c:pt idx="39">
                  <c:v>-5.0618121790168757</c:v>
                </c:pt>
                <c:pt idx="40">
                  <c:v>-5.0618121790168757</c:v>
                </c:pt>
                <c:pt idx="41">
                  <c:v>-5.0618121790168757</c:v>
                </c:pt>
                <c:pt idx="42">
                  <c:v>-5.0618121790168757</c:v>
                </c:pt>
                <c:pt idx="43">
                  <c:v>-5.0618121790168757</c:v>
                </c:pt>
                <c:pt idx="44">
                  <c:v>-5.0618121790168757</c:v>
                </c:pt>
                <c:pt idx="45">
                  <c:v>-5.0618121790168757</c:v>
                </c:pt>
                <c:pt idx="46">
                  <c:v>-5.0618121790168757</c:v>
                </c:pt>
                <c:pt idx="47">
                  <c:v>-5.0618121790168757</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1204992"/>
        <c:axId val="141011200"/>
      </c:lineChart>
      <c:dateAx>
        <c:axId val="141204992"/>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41011200"/>
        <c:crosses val="autoZero"/>
        <c:auto val="1"/>
        <c:lblOffset val="100"/>
        <c:baseTimeUnit val="months"/>
      </c:dateAx>
      <c:valAx>
        <c:axId val="141011200"/>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1204992"/>
        <c:crosses val="autoZero"/>
        <c:crossBetween val="between"/>
      </c:valAx>
    </c:plotArea>
    <c:legend>
      <c:legendPos val="r"/>
      <c:layout>
        <c:manualLayout>
          <c:xMode val="edge"/>
          <c:yMode val="edge"/>
          <c:x val="5.4824561403508934E-3"/>
          <c:y val="0.92945326278659612"/>
          <c:w val="0.98971496983929441"/>
          <c:h val="7.054673721340390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69096416666666649"/>
        </c:manualLayout>
      </c:layout>
      <c:lineChart>
        <c:grouping val="standard"/>
        <c:varyColors val="0"/>
        <c:ser>
          <c:idx val="4"/>
          <c:order val="0"/>
          <c:tx>
            <c:strRef>
              <c:f>Diagnostics!$A$332</c:f>
              <c:strCache>
                <c:ptCount val="1"/>
                <c:pt idx="0">
                  <c:v>Barium Studies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3"/>
            <c:marker>
              <c:spPr>
                <a:solidFill>
                  <a:schemeClr val="bg1"/>
                </a:solidFill>
                <a:ln w="25400">
                  <a:solidFill>
                    <a:srgbClr val="0070C0"/>
                  </a:solidFill>
                </a:ln>
              </c:spPr>
            </c:marker>
            <c:bubble3D val="0"/>
          </c:dPt>
          <c:dPt>
            <c:idx val="10"/>
            <c:marker>
              <c:spPr>
                <a:solidFill>
                  <a:schemeClr val="bg1"/>
                </a:solidFill>
                <a:ln w="25400">
                  <a:solidFill>
                    <a:srgbClr val="0070C0"/>
                  </a:solidFill>
                </a:ln>
              </c:spPr>
            </c:marker>
            <c:bubble3D val="0"/>
          </c:dPt>
          <c:dPt>
            <c:idx val="11"/>
            <c:marker>
              <c:spPr>
                <a:solidFill>
                  <a:schemeClr val="bg1"/>
                </a:solidFill>
                <a:ln w="25400">
                  <a:solidFill>
                    <a:srgbClr val="0070C0"/>
                  </a:solidFill>
                </a:ln>
              </c:spPr>
            </c:marker>
            <c:bubble3D val="0"/>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Diagnostics!$B$332:$AW$332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ser>
        <c:ser>
          <c:idx val="3"/>
          <c:order val="1"/>
          <c:tx>
            <c:strRef>
              <c:f>Diagnostics!$A$373</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Diagnostics!$B$373:$AW$373</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Diagnostics!$A$376</c:f>
              <c:strCache>
                <c:ptCount val="1"/>
                <c:pt idx="0">
                  <c:v>Upper Control Limit </c:v>
                </c:pt>
              </c:strCache>
            </c:strRef>
          </c:tx>
          <c:spPr>
            <a:ln w="31750">
              <a:solidFill>
                <a:schemeClr val="bg1">
                  <a:lumMod val="65000"/>
                </a:schemeClr>
              </a:solidFill>
              <a:prstDash val="sys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Diagnostics!$B$376:$AW$376</c:f>
              <c:numCache>
                <c:formatCode>General</c:formatCode>
                <c:ptCount val="48"/>
              </c:numCache>
            </c:numRef>
          </c:val>
          <c:smooth val="0"/>
        </c:ser>
        <c:ser>
          <c:idx val="2"/>
          <c:order val="3"/>
          <c:tx>
            <c:strRef>
              <c:f>Diagnostics!$A$377</c:f>
              <c:strCache>
                <c:ptCount val="1"/>
                <c:pt idx="0">
                  <c:v>Lower Control Limit</c:v>
                </c:pt>
              </c:strCache>
            </c:strRef>
          </c:tx>
          <c:spPr>
            <a:ln w="31750">
              <a:solidFill>
                <a:schemeClr val="bg1">
                  <a:lumMod val="65000"/>
                </a:schemeClr>
              </a:solidFill>
              <a:prstDash val="sys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Diagnostics!$B$377:$AW$377</c:f>
              <c:numCache>
                <c:formatCode>General</c:formatCode>
                <c:ptCount val="48"/>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1558784"/>
        <c:axId val="141013504"/>
      </c:lineChart>
      <c:dateAx>
        <c:axId val="14155878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1013504"/>
        <c:crosses val="autoZero"/>
        <c:auto val="1"/>
        <c:lblOffset val="100"/>
        <c:baseTimeUnit val="months"/>
      </c:dateAx>
      <c:valAx>
        <c:axId val="14101350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1558784"/>
        <c:crosses val="autoZero"/>
        <c:crossBetween val="between"/>
      </c:valAx>
    </c:plotArea>
    <c:legend>
      <c:legendPos val="r"/>
      <c:layout>
        <c:manualLayout>
          <c:xMode val="edge"/>
          <c:yMode val="edge"/>
          <c:x val="5.4824561403508934E-3"/>
          <c:y val="0.87301587301589256"/>
          <c:w val="0.95024128562878085"/>
          <c:h val="0.12698412698412698"/>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98081353368319E-2"/>
          <c:y val="4.8959157883042399E-2"/>
          <c:w val="0.90260996180598341"/>
          <c:h val="0.69096416666666649"/>
        </c:manualLayout>
      </c:layout>
      <c:lineChart>
        <c:grouping val="standard"/>
        <c:varyColors val="0"/>
        <c:ser>
          <c:idx val="4"/>
          <c:order val="0"/>
          <c:tx>
            <c:strRef>
              <c:f>Diagnostics!$A$411</c:f>
              <c:strCache>
                <c:ptCount val="1"/>
                <c:pt idx="0">
                  <c:v>Total Diagnostics Patients Over 6 Week Standard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7"/>
            <c:marker>
              <c:spPr>
                <a:solidFill>
                  <a:schemeClr val="bg1"/>
                </a:solidFill>
                <a:ln w="25400">
                  <a:solidFill>
                    <a:srgbClr val="0070C0"/>
                  </a:solidFill>
                </a:ln>
              </c:spPr>
            </c:marker>
            <c:bubble3D val="0"/>
          </c:dPt>
          <c:dPt>
            <c:idx val="8"/>
            <c:marker>
              <c:spPr>
                <a:solidFill>
                  <a:schemeClr val="bg1"/>
                </a:solidFill>
                <a:ln w="25400">
                  <a:solidFill>
                    <a:srgbClr val="0070C0"/>
                  </a:solidFill>
                </a:ln>
              </c:spPr>
            </c:marker>
            <c:bubble3D val="0"/>
            <c:spPr>
              <a:ln w="25400" cap="rnd">
                <a:solidFill>
                  <a:srgbClr val="00B050"/>
                </a:solidFill>
                <a:round/>
                <a:headEnd type="none"/>
              </a:ln>
              <a:effectLst/>
            </c:spPr>
          </c:dPt>
          <c:dPt>
            <c:idx val="9"/>
            <c:marker>
              <c:spPr>
                <a:solidFill>
                  <a:schemeClr val="bg1"/>
                </a:solidFill>
                <a:ln w="25400">
                  <a:solidFill>
                    <a:srgbClr val="0070C0"/>
                  </a:solidFill>
                </a:ln>
              </c:spPr>
            </c:marker>
            <c:bubble3D val="0"/>
            <c:spPr>
              <a:ln w="25400" cap="rnd">
                <a:solidFill>
                  <a:srgbClr val="00B050"/>
                </a:solidFill>
                <a:round/>
                <a:headEnd type="none"/>
              </a:ln>
              <a:effectLst/>
            </c:spPr>
          </c:dPt>
          <c:dPt>
            <c:idx val="10"/>
            <c:marker>
              <c:spPr>
                <a:solidFill>
                  <a:schemeClr val="bg1"/>
                </a:solidFill>
                <a:ln w="25400">
                  <a:solidFill>
                    <a:srgbClr val="0070C0"/>
                  </a:solidFill>
                </a:ln>
              </c:spPr>
            </c:marker>
            <c:bubble3D val="0"/>
            <c:spPr>
              <a:ln w="25400" cap="rnd">
                <a:solidFill>
                  <a:srgbClr val="00B050"/>
                </a:solidFill>
                <a:round/>
                <a:headEnd type="none"/>
              </a:ln>
              <a:effectLst/>
            </c:spPr>
          </c:dPt>
          <c:dPt>
            <c:idx val="11"/>
            <c:marker>
              <c:spPr>
                <a:solidFill>
                  <a:schemeClr val="bg1"/>
                </a:solidFill>
                <a:ln w="25400">
                  <a:solidFill>
                    <a:srgbClr val="0070C0"/>
                  </a:solidFill>
                </a:ln>
              </c:spPr>
            </c:marker>
            <c:bubble3D val="0"/>
            <c:spPr>
              <a:ln w="25400" cap="rnd">
                <a:solidFill>
                  <a:srgbClr val="00B050"/>
                </a:solidFill>
                <a:round/>
                <a:headEnd type="none"/>
              </a:ln>
              <a:effectLst/>
            </c:spPr>
          </c:dPt>
          <c:dPt>
            <c:idx val="12"/>
            <c:bubble3D val="0"/>
            <c:spPr>
              <a:ln w="25400" cap="rnd">
                <a:solidFill>
                  <a:srgbClr val="00B050"/>
                </a:solidFill>
                <a:round/>
                <a:headEnd type="none"/>
              </a:ln>
              <a:effectLst/>
            </c:spPr>
          </c:dPt>
          <c:dPt>
            <c:idx val="13"/>
            <c:bubble3D val="0"/>
            <c:spPr>
              <a:ln w="25400" cap="rnd">
                <a:solidFill>
                  <a:srgbClr val="00B050"/>
                </a:solidFill>
                <a:round/>
                <a:headEnd type="none"/>
              </a:ln>
              <a:effectLst/>
            </c:spPr>
          </c:dPt>
          <c:dPt>
            <c:idx val="14"/>
            <c:bubble3D val="0"/>
            <c:spPr>
              <a:ln w="25400" cap="rnd">
                <a:solidFill>
                  <a:srgbClr val="00B050"/>
                </a:solidFill>
                <a:round/>
                <a:headEnd type="none"/>
              </a:ln>
              <a:effectLst/>
            </c:spPr>
          </c:dPt>
          <c:dPt>
            <c:idx val="15"/>
            <c:bubble3D val="0"/>
            <c:spPr>
              <a:ln w="25400" cap="rnd">
                <a:solidFill>
                  <a:srgbClr val="00B050"/>
                </a:solidFill>
                <a:round/>
                <a:headEnd type="none"/>
              </a:ln>
              <a:effectLst/>
            </c:spPr>
          </c:dPt>
          <c:dPt>
            <c:idx val="16"/>
            <c:bubble3D val="0"/>
            <c:spPr>
              <a:ln w="25400" cap="rnd">
                <a:solidFill>
                  <a:srgbClr val="00B050"/>
                </a:solidFill>
                <a:round/>
                <a:headEnd type="none"/>
              </a:ln>
              <a:effectLst/>
            </c:spPr>
          </c:dPt>
          <c:dPt>
            <c:idx val="17"/>
            <c:bubble3D val="0"/>
            <c:spPr>
              <a:ln w="25400" cap="rnd">
                <a:solidFill>
                  <a:srgbClr val="00B050"/>
                </a:solidFill>
                <a:round/>
                <a:headEnd type="none"/>
              </a:ln>
              <a:effectLst/>
            </c:spPr>
          </c:dPt>
          <c:dPt>
            <c:idx val="18"/>
            <c:bubble3D val="0"/>
          </c:dPt>
          <c:dPt>
            <c:idx val="19"/>
            <c:bubble3D val="0"/>
            <c:spPr>
              <a:ln w="25400" cap="rnd">
                <a:solidFill>
                  <a:srgbClr val="00B050"/>
                </a:solidFill>
                <a:round/>
                <a:headEnd type="none"/>
              </a:ln>
              <a:effectLst/>
            </c:spPr>
          </c:dPt>
          <c:dPt>
            <c:idx val="20"/>
            <c:bubble3D val="0"/>
            <c:spPr>
              <a:ln w="25400" cap="rnd">
                <a:solidFill>
                  <a:srgbClr val="00B050"/>
                </a:solidFill>
                <a:round/>
                <a:headEnd type="none"/>
              </a:ln>
              <a:effectLst/>
            </c:spPr>
          </c:dPt>
          <c:dPt>
            <c:idx val="21"/>
            <c:bubble3D val="0"/>
            <c:spPr>
              <a:ln w="25400" cap="rnd">
                <a:solidFill>
                  <a:srgbClr val="00B050"/>
                </a:solidFill>
                <a:round/>
                <a:headEnd type="none"/>
              </a:ln>
              <a:effectLst/>
            </c:spPr>
          </c:dPt>
          <c:dPt>
            <c:idx val="22"/>
            <c:bubble3D val="0"/>
            <c:spPr>
              <a:ln w="25400" cap="rnd">
                <a:solidFill>
                  <a:srgbClr val="00B050"/>
                </a:solidFill>
                <a:round/>
                <a:headEnd type="none"/>
              </a:ln>
              <a:effectLst/>
            </c:spPr>
          </c:dPt>
          <c:dPt>
            <c:idx val="23"/>
            <c:bubble3D val="0"/>
            <c:spPr>
              <a:ln w="25400" cap="rnd">
                <a:solidFill>
                  <a:srgbClr val="00B050"/>
                </a:solidFill>
                <a:round/>
                <a:headEnd type="none"/>
              </a:ln>
              <a:effectLst/>
            </c:spPr>
          </c:dPt>
          <c:dPt>
            <c:idx val="24"/>
            <c:bubble3D val="0"/>
            <c:spPr>
              <a:ln w="25400" cap="rnd">
                <a:solidFill>
                  <a:srgbClr val="00B050"/>
                </a:solidFill>
                <a:round/>
                <a:headEnd type="none"/>
              </a:ln>
              <a:effectLst/>
            </c:spPr>
          </c:dPt>
          <c:dPt>
            <c:idx val="25"/>
            <c:marker>
              <c:spPr>
                <a:solidFill>
                  <a:schemeClr val="bg1"/>
                </a:solidFill>
                <a:ln w="25400">
                  <a:solidFill>
                    <a:srgbClr val="0070C0"/>
                  </a:solidFill>
                </a:ln>
              </c:spPr>
            </c:marker>
            <c:bubble3D val="0"/>
            <c:spPr>
              <a:ln w="25400" cap="rnd">
                <a:solidFill>
                  <a:srgbClr val="00B050"/>
                </a:solidFill>
                <a:round/>
                <a:headEnd type="none"/>
              </a:ln>
              <a:effectLst/>
            </c:spPr>
          </c:dPt>
          <c:dPt>
            <c:idx val="26"/>
            <c:marker>
              <c:spPr>
                <a:solidFill>
                  <a:schemeClr val="bg1"/>
                </a:solidFill>
                <a:ln w="25400">
                  <a:solidFill>
                    <a:srgbClr val="0070C0"/>
                  </a:solidFill>
                </a:ln>
              </c:spPr>
            </c:marker>
            <c:bubble3D val="0"/>
            <c:spPr>
              <a:ln w="25400" cap="rnd">
                <a:solidFill>
                  <a:srgbClr val="00B050"/>
                </a:solidFill>
                <a:round/>
                <a:headEnd type="none"/>
              </a:ln>
              <a:effectLst/>
            </c:spPr>
          </c:dPt>
          <c:dPt>
            <c:idx val="27"/>
            <c:marker>
              <c:spPr>
                <a:solidFill>
                  <a:schemeClr val="bg1"/>
                </a:solidFill>
                <a:ln w="25400">
                  <a:solidFill>
                    <a:srgbClr val="0070C0"/>
                  </a:solidFill>
                </a:ln>
              </c:spPr>
            </c:marker>
            <c:bubble3D val="0"/>
            <c:spPr>
              <a:ln w="25400" cap="rnd">
                <a:solidFill>
                  <a:srgbClr val="00B050"/>
                </a:solidFill>
                <a:round/>
                <a:headEnd type="none"/>
              </a:ln>
              <a:effectLst/>
            </c:spPr>
          </c:dPt>
          <c:dPt>
            <c:idx val="28"/>
            <c:marker>
              <c:spPr>
                <a:solidFill>
                  <a:schemeClr val="bg1"/>
                </a:solidFill>
                <a:ln w="25400">
                  <a:solidFill>
                    <a:srgbClr val="0070C0"/>
                  </a:solidFill>
                </a:ln>
              </c:spPr>
            </c:marker>
            <c:bubble3D val="0"/>
            <c:spPr>
              <a:ln w="25400" cap="rnd">
                <a:solidFill>
                  <a:srgbClr val="00B050"/>
                </a:solidFill>
                <a:round/>
                <a:headEnd type="none"/>
              </a:ln>
              <a:effectLst/>
            </c:spPr>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Diagnostics!$B$411:$AW$411</c:f>
              <c:numCache>
                <c:formatCode>#,##0</c:formatCode>
                <c:ptCount val="48"/>
                <c:pt idx="0">
                  <c:v>1594</c:v>
                </c:pt>
                <c:pt idx="1">
                  <c:v>1716</c:v>
                </c:pt>
                <c:pt idx="2">
                  <c:v>1994</c:v>
                </c:pt>
                <c:pt idx="3">
                  <c:v>2428</c:v>
                </c:pt>
                <c:pt idx="4">
                  <c:v>2320</c:v>
                </c:pt>
                <c:pt idx="5">
                  <c:v>2310</c:v>
                </c:pt>
                <c:pt idx="6">
                  <c:v>2398</c:v>
                </c:pt>
                <c:pt idx="7">
                  <c:v>1383</c:v>
                </c:pt>
                <c:pt idx="8">
                  <c:v>1213</c:v>
                </c:pt>
                <c:pt idx="9">
                  <c:v>1195</c:v>
                </c:pt>
                <c:pt idx="10">
                  <c:v>826</c:v>
                </c:pt>
                <c:pt idx="11">
                  <c:v>915</c:v>
                </c:pt>
                <c:pt idx="12">
                  <c:v>1513</c:v>
                </c:pt>
                <c:pt idx="13">
                  <c:v>1549</c:v>
                </c:pt>
                <c:pt idx="14">
                  <c:v>1640</c:v>
                </c:pt>
                <c:pt idx="15">
                  <c:v>1810</c:v>
                </c:pt>
                <c:pt idx="16">
                  <c:v>1887</c:v>
                </c:pt>
                <c:pt idx="17">
                  <c:v>2047</c:v>
                </c:pt>
                <c:pt idx="18">
                  <c:v>2308</c:v>
                </c:pt>
                <c:pt idx="19">
                  <c:v>2308</c:v>
                </c:pt>
                <c:pt idx="20">
                  <c:v>2250</c:v>
                </c:pt>
                <c:pt idx="21">
                  <c:v>2439</c:v>
                </c:pt>
                <c:pt idx="22">
                  <c:v>2209</c:v>
                </c:pt>
                <c:pt idx="23">
                  <c:v>2187</c:v>
                </c:pt>
                <c:pt idx="24">
                  <c:v>2561</c:v>
                </c:pt>
                <c:pt idx="25">
                  <c:v>2787</c:v>
                </c:pt>
                <c:pt idx="26">
                  <c:v>3038</c:v>
                </c:pt>
                <c:pt idx="27">
                  <c:v>3329</c:v>
                </c:pt>
                <c:pt idx="28">
                  <c:v>3553</c:v>
                </c:pt>
              </c:numCache>
            </c:numRef>
          </c:val>
          <c:smooth val="0"/>
        </c:ser>
        <c:ser>
          <c:idx val="3"/>
          <c:order val="1"/>
          <c:tx>
            <c:strRef>
              <c:f>Diagnostics!$A$418</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Diagnostics!$B$418:$AW$418</c:f>
              <c:numCache>
                <c:formatCode>#,##0</c:formatCode>
                <c:ptCount val="48"/>
                <c:pt idx="0">
                  <c:v>2058.8620689655172</c:v>
                </c:pt>
                <c:pt idx="1">
                  <c:v>2058.8620689655172</c:v>
                </c:pt>
                <c:pt idx="2">
                  <c:v>2058.8620689655172</c:v>
                </c:pt>
                <c:pt idx="3">
                  <c:v>2058.8620689655172</c:v>
                </c:pt>
                <c:pt idx="4">
                  <c:v>2058.8620689655172</c:v>
                </c:pt>
                <c:pt idx="5">
                  <c:v>2058.8620689655172</c:v>
                </c:pt>
                <c:pt idx="6">
                  <c:v>2058.8620689655172</c:v>
                </c:pt>
                <c:pt idx="7">
                  <c:v>2058.8620689655172</c:v>
                </c:pt>
                <c:pt idx="8">
                  <c:v>2058.8620689655172</c:v>
                </c:pt>
                <c:pt idx="9">
                  <c:v>2058.8620689655172</c:v>
                </c:pt>
                <c:pt idx="10">
                  <c:v>2058.8620689655172</c:v>
                </c:pt>
                <c:pt idx="11">
                  <c:v>2058.8620689655172</c:v>
                </c:pt>
                <c:pt idx="12">
                  <c:v>2058.8620689655172</c:v>
                </c:pt>
                <c:pt idx="13">
                  <c:v>2058.8620689655172</c:v>
                </c:pt>
                <c:pt idx="14">
                  <c:v>2058.8620689655172</c:v>
                </c:pt>
                <c:pt idx="15">
                  <c:v>2058.8620689655172</c:v>
                </c:pt>
                <c:pt idx="16">
                  <c:v>2058.8620689655172</c:v>
                </c:pt>
                <c:pt idx="17">
                  <c:v>2058.8620689655172</c:v>
                </c:pt>
                <c:pt idx="18">
                  <c:v>2058.8620689655172</c:v>
                </c:pt>
                <c:pt idx="19">
                  <c:v>2058.8620689655172</c:v>
                </c:pt>
                <c:pt idx="20">
                  <c:v>2058.8620689655172</c:v>
                </c:pt>
                <c:pt idx="21">
                  <c:v>2058.8620689655172</c:v>
                </c:pt>
                <c:pt idx="22">
                  <c:v>2058.8620689655172</c:v>
                </c:pt>
                <c:pt idx="23">
                  <c:v>2058.8620689655172</c:v>
                </c:pt>
                <c:pt idx="24">
                  <c:v>2058.8620689655172</c:v>
                </c:pt>
                <c:pt idx="25">
                  <c:v>2058.8620689655172</c:v>
                </c:pt>
                <c:pt idx="26">
                  <c:v>2058.8620689655172</c:v>
                </c:pt>
                <c:pt idx="27">
                  <c:v>2058.8620689655172</c:v>
                </c:pt>
                <c:pt idx="28">
                  <c:v>2058.8620689655172</c:v>
                </c:pt>
                <c:pt idx="29">
                  <c:v>2058.8620689655172</c:v>
                </c:pt>
                <c:pt idx="30">
                  <c:v>2058.8620689655172</c:v>
                </c:pt>
                <c:pt idx="31">
                  <c:v>2058.8620689655172</c:v>
                </c:pt>
                <c:pt idx="32">
                  <c:v>2058.8620689655172</c:v>
                </c:pt>
                <c:pt idx="33">
                  <c:v>2058.8620689655172</c:v>
                </c:pt>
                <c:pt idx="34">
                  <c:v>2058.8620689655172</c:v>
                </c:pt>
                <c:pt idx="35">
                  <c:v>2058.8620689655172</c:v>
                </c:pt>
                <c:pt idx="36">
                  <c:v>2058.8620689655172</c:v>
                </c:pt>
                <c:pt idx="37">
                  <c:v>2058.8620689655172</c:v>
                </c:pt>
                <c:pt idx="38">
                  <c:v>2058.8620689655172</c:v>
                </c:pt>
                <c:pt idx="39">
                  <c:v>2058.8620689655172</c:v>
                </c:pt>
                <c:pt idx="40">
                  <c:v>2058.8620689655172</c:v>
                </c:pt>
                <c:pt idx="41">
                  <c:v>2058.8620689655172</c:v>
                </c:pt>
                <c:pt idx="42">
                  <c:v>2058.8620689655172</c:v>
                </c:pt>
                <c:pt idx="43">
                  <c:v>2058.8620689655172</c:v>
                </c:pt>
                <c:pt idx="44">
                  <c:v>2058.8620689655172</c:v>
                </c:pt>
                <c:pt idx="45">
                  <c:v>2058.8620689655172</c:v>
                </c:pt>
                <c:pt idx="46">
                  <c:v>2058.8620689655172</c:v>
                </c:pt>
                <c:pt idx="47">
                  <c:v>2058.8620689655172</c:v>
                </c:pt>
              </c:numCache>
            </c:numRef>
          </c:val>
          <c:smooth val="0"/>
        </c:ser>
        <c:ser>
          <c:idx val="1"/>
          <c:order val="2"/>
          <c:tx>
            <c:strRef>
              <c:f>Diagnostics!$A$421</c:f>
              <c:strCache>
                <c:ptCount val="1"/>
                <c:pt idx="0">
                  <c:v>Upper Control Limit </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Diagnostics!$B$421:$AW$421</c:f>
              <c:numCache>
                <c:formatCode>#,##0</c:formatCode>
                <c:ptCount val="48"/>
                <c:pt idx="0">
                  <c:v>2624.876506655487</c:v>
                </c:pt>
                <c:pt idx="1">
                  <c:v>2624.876506655487</c:v>
                </c:pt>
                <c:pt idx="2">
                  <c:v>2624.876506655487</c:v>
                </c:pt>
                <c:pt idx="3">
                  <c:v>2624.876506655487</c:v>
                </c:pt>
                <c:pt idx="4">
                  <c:v>2624.876506655487</c:v>
                </c:pt>
                <c:pt idx="5">
                  <c:v>2624.876506655487</c:v>
                </c:pt>
                <c:pt idx="6">
                  <c:v>2624.876506655487</c:v>
                </c:pt>
                <c:pt idx="7">
                  <c:v>2624.876506655487</c:v>
                </c:pt>
                <c:pt idx="8">
                  <c:v>2624.876506655487</c:v>
                </c:pt>
                <c:pt idx="9">
                  <c:v>2624.876506655487</c:v>
                </c:pt>
                <c:pt idx="10">
                  <c:v>2624.876506655487</c:v>
                </c:pt>
                <c:pt idx="11">
                  <c:v>2624.876506655487</c:v>
                </c:pt>
                <c:pt idx="12">
                  <c:v>2624.876506655487</c:v>
                </c:pt>
                <c:pt idx="13">
                  <c:v>2624.876506655487</c:v>
                </c:pt>
                <c:pt idx="14">
                  <c:v>2624.876506655487</c:v>
                </c:pt>
                <c:pt idx="15">
                  <c:v>2624.876506655487</c:v>
                </c:pt>
                <c:pt idx="16">
                  <c:v>2624.876506655487</c:v>
                </c:pt>
                <c:pt idx="17">
                  <c:v>2624.876506655487</c:v>
                </c:pt>
                <c:pt idx="18">
                  <c:v>2624.876506655487</c:v>
                </c:pt>
                <c:pt idx="19">
                  <c:v>2624.876506655487</c:v>
                </c:pt>
                <c:pt idx="20">
                  <c:v>2624.876506655487</c:v>
                </c:pt>
                <c:pt idx="21">
                  <c:v>2624.876506655487</c:v>
                </c:pt>
                <c:pt idx="22">
                  <c:v>2624.876506655487</c:v>
                </c:pt>
                <c:pt idx="23">
                  <c:v>2624.876506655487</c:v>
                </c:pt>
                <c:pt idx="24">
                  <c:v>2624.876506655487</c:v>
                </c:pt>
                <c:pt idx="25">
                  <c:v>2624.876506655487</c:v>
                </c:pt>
                <c:pt idx="26">
                  <c:v>2624.876506655487</c:v>
                </c:pt>
                <c:pt idx="27">
                  <c:v>2624.876506655487</c:v>
                </c:pt>
                <c:pt idx="28">
                  <c:v>2624.876506655487</c:v>
                </c:pt>
                <c:pt idx="29">
                  <c:v>2624.876506655487</c:v>
                </c:pt>
                <c:pt idx="30">
                  <c:v>2624.876506655487</c:v>
                </c:pt>
                <c:pt idx="31">
                  <c:v>2624.876506655487</c:v>
                </c:pt>
                <c:pt idx="32">
                  <c:v>2624.876506655487</c:v>
                </c:pt>
                <c:pt idx="33">
                  <c:v>2624.876506655487</c:v>
                </c:pt>
                <c:pt idx="34">
                  <c:v>2624.876506655487</c:v>
                </c:pt>
                <c:pt idx="35">
                  <c:v>2624.876506655487</c:v>
                </c:pt>
                <c:pt idx="36">
                  <c:v>2624.876506655487</c:v>
                </c:pt>
                <c:pt idx="37">
                  <c:v>2624.876506655487</c:v>
                </c:pt>
                <c:pt idx="38">
                  <c:v>2624.876506655487</c:v>
                </c:pt>
                <c:pt idx="39">
                  <c:v>2624.876506655487</c:v>
                </c:pt>
                <c:pt idx="40">
                  <c:v>2624.876506655487</c:v>
                </c:pt>
                <c:pt idx="41">
                  <c:v>2624.876506655487</c:v>
                </c:pt>
                <c:pt idx="42">
                  <c:v>2624.876506655487</c:v>
                </c:pt>
                <c:pt idx="43">
                  <c:v>2624.876506655487</c:v>
                </c:pt>
                <c:pt idx="44">
                  <c:v>2624.876506655487</c:v>
                </c:pt>
                <c:pt idx="45">
                  <c:v>2624.876506655487</c:v>
                </c:pt>
                <c:pt idx="46">
                  <c:v>2624.876506655487</c:v>
                </c:pt>
                <c:pt idx="47">
                  <c:v>2624.876506655487</c:v>
                </c:pt>
              </c:numCache>
            </c:numRef>
          </c:val>
          <c:smooth val="0"/>
        </c:ser>
        <c:ser>
          <c:idx val="2"/>
          <c:order val="3"/>
          <c:tx>
            <c:strRef>
              <c:f>Diagnostics!$A$422</c:f>
              <c:strCache>
                <c:ptCount val="1"/>
                <c:pt idx="0">
                  <c:v>Lower Control Limit</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Diagnostics!$B$422:$AW$422</c:f>
              <c:numCache>
                <c:formatCode>#,##0</c:formatCode>
                <c:ptCount val="48"/>
                <c:pt idx="0">
                  <c:v>1492.8476312755474</c:v>
                </c:pt>
                <c:pt idx="1">
                  <c:v>1492.8476312755474</c:v>
                </c:pt>
                <c:pt idx="2">
                  <c:v>1492.8476312755474</c:v>
                </c:pt>
                <c:pt idx="3">
                  <c:v>1492.8476312755474</c:v>
                </c:pt>
                <c:pt idx="4">
                  <c:v>1492.8476312755474</c:v>
                </c:pt>
                <c:pt idx="5">
                  <c:v>1492.8476312755474</c:v>
                </c:pt>
                <c:pt idx="6">
                  <c:v>1492.8476312755474</c:v>
                </c:pt>
                <c:pt idx="7">
                  <c:v>1492.8476312755474</c:v>
                </c:pt>
                <c:pt idx="8">
                  <c:v>1492.8476312755474</c:v>
                </c:pt>
                <c:pt idx="9">
                  <c:v>1492.8476312755474</c:v>
                </c:pt>
                <c:pt idx="10">
                  <c:v>1492.8476312755474</c:v>
                </c:pt>
                <c:pt idx="11">
                  <c:v>1492.8476312755474</c:v>
                </c:pt>
                <c:pt idx="12">
                  <c:v>1492.8476312755474</c:v>
                </c:pt>
                <c:pt idx="13">
                  <c:v>1492.8476312755474</c:v>
                </c:pt>
                <c:pt idx="14">
                  <c:v>1492.8476312755474</c:v>
                </c:pt>
                <c:pt idx="15">
                  <c:v>1492.8476312755474</c:v>
                </c:pt>
                <c:pt idx="16">
                  <c:v>1492.8476312755474</c:v>
                </c:pt>
                <c:pt idx="17">
                  <c:v>1492.8476312755474</c:v>
                </c:pt>
                <c:pt idx="18">
                  <c:v>1492.8476312755474</c:v>
                </c:pt>
                <c:pt idx="19">
                  <c:v>1492.8476312755474</c:v>
                </c:pt>
                <c:pt idx="20">
                  <c:v>1492.8476312755474</c:v>
                </c:pt>
                <c:pt idx="21">
                  <c:v>1492.8476312755474</c:v>
                </c:pt>
                <c:pt idx="22">
                  <c:v>1492.8476312755474</c:v>
                </c:pt>
                <c:pt idx="23">
                  <c:v>1492.8476312755474</c:v>
                </c:pt>
                <c:pt idx="24">
                  <c:v>1492.8476312755474</c:v>
                </c:pt>
                <c:pt idx="25">
                  <c:v>1492.8476312755474</c:v>
                </c:pt>
                <c:pt idx="26">
                  <c:v>1492.8476312755474</c:v>
                </c:pt>
                <c:pt idx="27">
                  <c:v>1492.8476312755474</c:v>
                </c:pt>
                <c:pt idx="28">
                  <c:v>1492.8476312755474</c:v>
                </c:pt>
                <c:pt idx="29">
                  <c:v>1492.8476312755474</c:v>
                </c:pt>
                <c:pt idx="30">
                  <c:v>1492.8476312755474</c:v>
                </c:pt>
                <c:pt idx="31">
                  <c:v>1492.8476312755474</c:v>
                </c:pt>
                <c:pt idx="32">
                  <c:v>1492.8476312755474</c:v>
                </c:pt>
                <c:pt idx="33">
                  <c:v>1492.8476312755474</c:v>
                </c:pt>
                <c:pt idx="34">
                  <c:v>1492.8476312755474</c:v>
                </c:pt>
                <c:pt idx="35">
                  <c:v>1492.8476312755474</c:v>
                </c:pt>
                <c:pt idx="36">
                  <c:v>1492.8476312755474</c:v>
                </c:pt>
                <c:pt idx="37">
                  <c:v>1492.8476312755474</c:v>
                </c:pt>
                <c:pt idx="38">
                  <c:v>1492.8476312755474</c:v>
                </c:pt>
                <c:pt idx="39">
                  <c:v>1492.8476312755474</c:v>
                </c:pt>
                <c:pt idx="40">
                  <c:v>1492.8476312755474</c:v>
                </c:pt>
                <c:pt idx="41">
                  <c:v>1492.8476312755474</c:v>
                </c:pt>
                <c:pt idx="42">
                  <c:v>1492.8476312755474</c:v>
                </c:pt>
                <c:pt idx="43">
                  <c:v>1492.8476312755474</c:v>
                </c:pt>
                <c:pt idx="44">
                  <c:v>1492.8476312755474</c:v>
                </c:pt>
                <c:pt idx="45">
                  <c:v>1492.8476312755474</c:v>
                </c:pt>
                <c:pt idx="46">
                  <c:v>1492.8476312755474</c:v>
                </c:pt>
                <c:pt idx="47">
                  <c:v>1492.8476312755474</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1560832"/>
        <c:axId val="141015808"/>
      </c:lineChart>
      <c:dateAx>
        <c:axId val="14156083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1015808"/>
        <c:crosses val="autoZero"/>
        <c:auto val="1"/>
        <c:lblOffset val="100"/>
        <c:baseTimeUnit val="months"/>
        <c:majorUnit val="1"/>
        <c:majorTimeUnit val="months"/>
      </c:dateAx>
      <c:valAx>
        <c:axId val="14101580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1560832"/>
        <c:crosses val="autoZero"/>
        <c:crossBetween val="between"/>
      </c:valAx>
    </c:plotArea>
    <c:legend>
      <c:legendPos val="r"/>
      <c:layout>
        <c:manualLayout>
          <c:xMode val="edge"/>
          <c:yMode val="edge"/>
          <c:x val="5.4824561403508934E-3"/>
          <c:y val="0.87301587301589256"/>
          <c:w val="0.95024128562878085"/>
          <c:h val="0.12698412698412698"/>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376976562140299"/>
          <c:h val="0.754456248524492"/>
        </c:manualLayout>
      </c:layout>
      <c:lineChart>
        <c:grouping val="standard"/>
        <c:varyColors val="0"/>
        <c:ser>
          <c:idx val="4"/>
          <c:order val="0"/>
          <c:tx>
            <c:strRef>
              <c:f>Diagnostics!$A$333</c:f>
              <c:strCache>
                <c:ptCount val="1"/>
                <c:pt idx="0">
                  <c:v>Total Radiology Patients Over 6 Week Standard excl. Vascular Labs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dPt>
            <c:idx val="12"/>
            <c:marker>
              <c:spPr>
                <a:solidFill>
                  <a:schemeClr val="bg1"/>
                </a:solidFill>
                <a:ln w="25400">
                  <a:solidFill>
                    <a:srgbClr val="0070C0"/>
                  </a:solidFill>
                </a:ln>
              </c:spPr>
            </c:marker>
            <c:bubble3D val="0"/>
          </c:dPt>
          <c:dPt>
            <c:idx val="13"/>
            <c:marker>
              <c:spPr>
                <a:solidFill>
                  <a:schemeClr val="bg1"/>
                </a:solidFill>
                <a:ln w="25400">
                  <a:solidFill>
                    <a:srgbClr val="0070C0"/>
                  </a:solidFill>
                </a:ln>
              </c:spPr>
            </c:marker>
            <c:bubble3D val="0"/>
          </c:dPt>
          <c:dPt>
            <c:idx val="14"/>
            <c:marker>
              <c:spPr>
                <a:solidFill>
                  <a:schemeClr val="bg1"/>
                </a:solidFill>
                <a:ln w="25400">
                  <a:solidFill>
                    <a:srgbClr val="0070C0"/>
                  </a:solidFill>
                </a:ln>
              </c:spPr>
            </c:marker>
            <c:bubble3D val="0"/>
          </c:dPt>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Diagnostics!$B$333:$AW$333</c:f>
              <c:numCache>
                <c:formatCode>General</c:formatCode>
                <c:ptCount val="48"/>
                <c:pt idx="0">
                  <c:v>146</c:v>
                </c:pt>
                <c:pt idx="1">
                  <c:v>144</c:v>
                </c:pt>
                <c:pt idx="2">
                  <c:v>142</c:v>
                </c:pt>
                <c:pt idx="3">
                  <c:v>76</c:v>
                </c:pt>
                <c:pt idx="4">
                  <c:v>52</c:v>
                </c:pt>
                <c:pt idx="5">
                  <c:v>130</c:v>
                </c:pt>
                <c:pt idx="6">
                  <c:v>81</c:v>
                </c:pt>
                <c:pt idx="7">
                  <c:v>13</c:v>
                </c:pt>
                <c:pt idx="8">
                  <c:v>22</c:v>
                </c:pt>
                <c:pt idx="9">
                  <c:v>17</c:v>
                </c:pt>
                <c:pt idx="10">
                  <c:v>31</c:v>
                </c:pt>
                <c:pt idx="11">
                  <c:v>25</c:v>
                </c:pt>
                <c:pt idx="12">
                  <c:v>214</c:v>
                </c:pt>
                <c:pt idx="13">
                  <c:v>178</c:v>
                </c:pt>
                <c:pt idx="14">
                  <c:v>198</c:v>
                </c:pt>
                <c:pt idx="15">
                  <c:v>55</c:v>
                </c:pt>
                <c:pt idx="16">
                  <c:v>55</c:v>
                </c:pt>
                <c:pt idx="17">
                  <c:v>27</c:v>
                </c:pt>
                <c:pt idx="18">
                  <c:v>38</c:v>
                </c:pt>
                <c:pt idx="19">
                  <c:v>33</c:v>
                </c:pt>
                <c:pt idx="20">
                  <c:v>80</c:v>
                </c:pt>
                <c:pt idx="21">
                  <c:v>106</c:v>
                </c:pt>
                <c:pt idx="22">
                  <c:v>41</c:v>
                </c:pt>
                <c:pt idx="23">
                  <c:v>33</c:v>
                </c:pt>
                <c:pt idx="24">
                  <c:v>78</c:v>
                </c:pt>
                <c:pt idx="25">
                  <c:v>50</c:v>
                </c:pt>
                <c:pt idx="26">
                  <c:v>52</c:v>
                </c:pt>
                <c:pt idx="27">
                  <c:v>76</c:v>
                </c:pt>
                <c:pt idx="28">
                  <c:v>47</c:v>
                </c:pt>
              </c:numCache>
            </c:numRef>
          </c:val>
          <c:smooth val="0"/>
        </c:ser>
        <c:ser>
          <c:idx val="3"/>
          <c:order val="1"/>
          <c:tx>
            <c:strRef>
              <c:f>Diagnostics!$A$384</c:f>
              <c:strCache>
                <c:ptCount val="1"/>
                <c:pt idx="0">
                  <c:v>Mean</c:v>
                </c:pt>
              </c:strCache>
            </c:strRef>
          </c:tx>
          <c:spPr>
            <a:ln w="25400">
              <a:solidFill>
                <a:schemeClr val="tx1"/>
              </a:solidFill>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Diagnostics!$B$384:$AW$384</c:f>
              <c:numCache>
                <c:formatCode>0</c:formatCode>
                <c:ptCount val="48"/>
                <c:pt idx="0">
                  <c:v>77.241379310344826</c:v>
                </c:pt>
                <c:pt idx="1">
                  <c:v>77.241379310344826</c:v>
                </c:pt>
                <c:pt idx="2">
                  <c:v>77.241379310344826</c:v>
                </c:pt>
                <c:pt idx="3">
                  <c:v>77.241379310344826</c:v>
                </c:pt>
                <c:pt idx="4">
                  <c:v>77.241379310344826</c:v>
                </c:pt>
                <c:pt idx="5">
                  <c:v>77.241379310344826</c:v>
                </c:pt>
                <c:pt idx="6">
                  <c:v>77.241379310344826</c:v>
                </c:pt>
                <c:pt idx="7">
                  <c:v>77.241379310344826</c:v>
                </c:pt>
                <c:pt idx="8">
                  <c:v>77.241379310344826</c:v>
                </c:pt>
                <c:pt idx="9">
                  <c:v>77.241379310344826</c:v>
                </c:pt>
                <c:pt idx="10">
                  <c:v>77.241379310344826</c:v>
                </c:pt>
                <c:pt idx="11">
                  <c:v>77.241379310344826</c:v>
                </c:pt>
                <c:pt idx="12">
                  <c:v>77.241379310344826</c:v>
                </c:pt>
                <c:pt idx="13">
                  <c:v>77.241379310344826</c:v>
                </c:pt>
                <c:pt idx="14">
                  <c:v>77.241379310344826</c:v>
                </c:pt>
                <c:pt idx="15">
                  <c:v>77.241379310344826</c:v>
                </c:pt>
                <c:pt idx="16">
                  <c:v>77.241379310344826</c:v>
                </c:pt>
                <c:pt idx="17">
                  <c:v>77.241379310344826</c:v>
                </c:pt>
                <c:pt idx="18">
                  <c:v>77.241379310344826</c:v>
                </c:pt>
                <c:pt idx="19">
                  <c:v>77.241379310344826</c:v>
                </c:pt>
                <c:pt idx="20">
                  <c:v>77.241379310344826</c:v>
                </c:pt>
                <c:pt idx="21">
                  <c:v>77.241379310344826</c:v>
                </c:pt>
                <c:pt idx="22">
                  <c:v>77.241379310344826</c:v>
                </c:pt>
                <c:pt idx="23">
                  <c:v>77.241379310344826</c:v>
                </c:pt>
                <c:pt idx="24">
                  <c:v>77.241379310344826</c:v>
                </c:pt>
                <c:pt idx="25">
                  <c:v>77.241379310344826</c:v>
                </c:pt>
                <c:pt idx="26">
                  <c:v>77.241379310344826</c:v>
                </c:pt>
                <c:pt idx="27">
                  <c:v>77.241379310344826</c:v>
                </c:pt>
                <c:pt idx="28">
                  <c:v>77.241379310344826</c:v>
                </c:pt>
                <c:pt idx="29">
                  <c:v>77.241379310344826</c:v>
                </c:pt>
                <c:pt idx="30">
                  <c:v>77.241379310344826</c:v>
                </c:pt>
                <c:pt idx="31">
                  <c:v>77.241379310344826</c:v>
                </c:pt>
                <c:pt idx="32">
                  <c:v>77.241379310344826</c:v>
                </c:pt>
                <c:pt idx="33">
                  <c:v>77.241379310344826</c:v>
                </c:pt>
                <c:pt idx="34">
                  <c:v>77.241379310344826</c:v>
                </c:pt>
                <c:pt idx="35">
                  <c:v>77.241379310344826</c:v>
                </c:pt>
                <c:pt idx="36">
                  <c:v>77.241379310344826</c:v>
                </c:pt>
                <c:pt idx="37">
                  <c:v>77.241379310344826</c:v>
                </c:pt>
                <c:pt idx="38">
                  <c:v>77.241379310344826</c:v>
                </c:pt>
                <c:pt idx="39">
                  <c:v>77.241379310344826</c:v>
                </c:pt>
                <c:pt idx="40">
                  <c:v>77.241379310344826</c:v>
                </c:pt>
                <c:pt idx="41">
                  <c:v>77.241379310344826</c:v>
                </c:pt>
                <c:pt idx="42">
                  <c:v>77.241379310344826</c:v>
                </c:pt>
                <c:pt idx="43">
                  <c:v>77.241379310344826</c:v>
                </c:pt>
                <c:pt idx="44">
                  <c:v>77.241379310344826</c:v>
                </c:pt>
                <c:pt idx="45">
                  <c:v>77.241379310344826</c:v>
                </c:pt>
                <c:pt idx="46">
                  <c:v>77.241379310344826</c:v>
                </c:pt>
                <c:pt idx="47">
                  <c:v>77.241379310344826</c:v>
                </c:pt>
              </c:numCache>
            </c:numRef>
          </c:val>
          <c:smooth val="0"/>
        </c:ser>
        <c:ser>
          <c:idx val="1"/>
          <c:order val="2"/>
          <c:tx>
            <c:strRef>
              <c:f>Diagnostics!$A$387</c:f>
              <c:strCache>
                <c:ptCount val="1"/>
                <c:pt idx="0">
                  <c:v>Upper Control Limit </c:v>
                </c:pt>
              </c:strCache>
            </c:strRef>
          </c:tx>
          <c:spPr>
            <a:ln w="25400">
              <a:solidFill>
                <a:schemeClr val="bg1">
                  <a:lumMod val="65000"/>
                </a:schemeClr>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Diagnostics!$B$387:$AW$387</c:f>
              <c:numCache>
                <c:formatCode>0</c:formatCode>
                <c:ptCount val="48"/>
                <c:pt idx="0">
                  <c:v>174.98074101247249</c:v>
                </c:pt>
                <c:pt idx="1">
                  <c:v>174.98074101247249</c:v>
                </c:pt>
                <c:pt idx="2">
                  <c:v>174.98074101247249</c:v>
                </c:pt>
                <c:pt idx="3">
                  <c:v>174.98074101247249</c:v>
                </c:pt>
                <c:pt idx="4">
                  <c:v>174.98074101247249</c:v>
                </c:pt>
                <c:pt idx="5">
                  <c:v>174.98074101247249</c:v>
                </c:pt>
                <c:pt idx="6">
                  <c:v>174.98074101247249</c:v>
                </c:pt>
                <c:pt idx="7">
                  <c:v>174.98074101247249</c:v>
                </c:pt>
                <c:pt idx="8">
                  <c:v>174.98074101247249</c:v>
                </c:pt>
                <c:pt idx="9">
                  <c:v>174.98074101247249</c:v>
                </c:pt>
                <c:pt idx="10">
                  <c:v>174.98074101247249</c:v>
                </c:pt>
                <c:pt idx="11">
                  <c:v>174.98074101247249</c:v>
                </c:pt>
                <c:pt idx="12">
                  <c:v>174.98074101247249</c:v>
                </c:pt>
                <c:pt idx="13">
                  <c:v>174.98074101247249</c:v>
                </c:pt>
                <c:pt idx="14">
                  <c:v>174.98074101247249</c:v>
                </c:pt>
                <c:pt idx="15">
                  <c:v>174.98074101247249</c:v>
                </c:pt>
                <c:pt idx="16">
                  <c:v>174.98074101247249</c:v>
                </c:pt>
                <c:pt idx="17">
                  <c:v>174.98074101247249</c:v>
                </c:pt>
                <c:pt idx="18">
                  <c:v>174.98074101247249</c:v>
                </c:pt>
                <c:pt idx="19">
                  <c:v>174.98074101247249</c:v>
                </c:pt>
                <c:pt idx="20">
                  <c:v>174.98074101247249</c:v>
                </c:pt>
                <c:pt idx="21">
                  <c:v>174.98074101247249</c:v>
                </c:pt>
                <c:pt idx="22">
                  <c:v>174.98074101247249</c:v>
                </c:pt>
                <c:pt idx="23">
                  <c:v>174.98074101247249</c:v>
                </c:pt>
                <c:pt idx="24">
                  <c:v>174.98074101247249</c:v>
                </c:pt>
                <c:pt idx="25">
                  <c:v>174.98074101247249</c:v>
                </c:pt>
                <c:pt idx="26">
                  <c:v>174.98074101247249</c:v>
                </c:pt>
                <c:pt idx="27">
                  <c:v>174.98074101247249</c:v>
                </c:pt>
                <c:pt idx="28">
                  <c:v>174.98074101247249</c:v>
                </c:pt>
                <c:pt idx="29">
                  <c:v>174.98074101247249</c:v>
                </c:pt>
                <c:pt idx="30">
                  <c:v>174.98074101247249</c:v>
                </c:pt>
                <c:pt idx="31">
                  <c:v>174.98074101247249</c:v>
                </c:pt>
                <c:pt idx="32">
                  <c:v>174.98074101247249</c:v>
                </c:pt>
                <c:pt idx="33">
                  <c:v>174.98074101247249</c:v>
                </c:pt>
                <c:pt idx="34">
                  <c:v>174.98074101247249</c:v>
                </c:pt>
                <c:pt idx="35">
                  <c:v>174.98074101247249</c:v>
                </c:pt>
                <c:pt idx="36">
                  <c:v>174.98074101247249</c:v>
                </c:pt>
                <c:pt idx="37">
                  <c:v>174.98074101247249</c:v>
                </c:pt>
                <c:pt idx="38">
                  <c:v>174.98074101247249</c:v>
                </c:pt>
                <c:pt idx="39">
                  <c:v>174.98074101247249</c:v>
                </c:pt>
                <c:pt idx="40">
                  <c:v>174.98074101247249</c:v>
                </c:pt>
                <c:pt idx="41">
                  <c:v>174.98074101247249</c:v>
                </c:pt>
                <c:pt idx="42">
                  <c:v>174.98074101247249</c:v>
                </c:pt>
                <c:pt idx="43">
                  <c:v>174.98074101247249</c:v>
                </c:pt>
                <c:pt idx="44">
                  <c:v>174.98074101247249</c:v>
                </c:pt>
                <c:pt idx="45">
                  <c:v>174.98074101247249</c:v>
                </c:pt>
                <c:pt idx="46">
                  <c:v>174.98074101247249</c:v>
                </c:pt>
                <c:pt idx="47">
                  <c:v>174.98074101247249</c:v>
                </c:pt>
              </c:numCache>
            </c:numRef>
          </c:val>
          <c:smooth val="0"/>
        </c:ser>
        <c:ser>
          <c:idx val="2"/>
          <c:order val="3"/>
          <c:tx>
            <c:strRef>
              <c:f>Diagnostics!$A$388</c:f>
              <c:strCache>
                <c:ptCount val="1"/>
                <c:pt idx="0">
                  <c:v>Lower Control Limit</c:v>
                </c:pt>
              </c:strCache>
            </c:strRef>
          </c:tx>
          <c:spPr>
            <a:ln w="31750">
              <a:solidFill>
                <a:schemeClr val="bg1">
                  <a:lumMod val="65000"/>
                </a:schemeClr>
              </a:solidFill>
              <a:prstDash val="sys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Diagnostics!$B$388:$AW$388</c:f>
              <c:numCache>
                <c:formatCode>0</c:formatCode>
                <c:ptCount val="48"/>
                <c:pt idx="0">
                  <c:v>-20.497982391782841</c:v>
                </c:pt>
                <c:pt idx="1">
                  <c:v>-20.497982391782841</c:v>
                </c:pt>
                <c:pt idx="2">
                  <c:v>-20.497982391782841</c:v>
                </c:pt>
                <c:pt idx="3">
                  <c:v>-20.497982391782841</c:v>
                </c:pt>
                <c:pt idx="4">
                  <c:v>-20.497982391782841</c:v>
                </c:pt>
                <c:pt idx="5">
                  <c:v>-20.497982391782841</c:v>
                </c:pt>
                <c:pt idx="6">
                  <c:v>-20.497982391782841</c:v>
                </c:pt>
                <c:pt idx="7">
                  <c:v>-20.497982391782841</c:v>
                </c:pt>
                <c:pt idx="8">
                  <c:v>-20.497982391782841</c:v>
                </c:pt>
                <c:pt idx="9">
                  <c:v>-20.497982391782841</c:v>
                </c:pt>
                <c:pt idx="10">
                  <c:v>-20.497982391782841</c:v>
                </c:pt>
                <c:pt idx="11">
                  <c:v>-20.497982391782841</c:v>
                </c:pt>
                <c:pt idx="12">
                  <c:v>-20.497982391782841</c:v>
                </c:pt>
                <c:pt idx="13">
                  <c:v>-20.497982391782841</c:v>
                </c:pt>
                <c:pt idx="14">
                  <c:v>-20.497982391782841</c:v>
                </c:pt>
                <c:pt idx="15">
                  <c:v>-20.497982391782841</c:v>
                </c:pt>
                <c:pt idx="16">
                  <c:v>-20.497982391782841</c:v>
                </c:pt>
                <c:pt idx="17">
                  <c:v>-20.497982391782841</c:v>
                </c:pt>
                <c:pt idx="18">
                  <c:v>-20.497982391782841</c:v>
                </c:pt>
                <c:pt idx="19">
                  <c:v>-20.497982391782841</c:v>
                </c:pt>
                <c:pt idx="20">
                  <c:v>-20.497982391782841</c:v>
                </c:pt>
                <c:pt idx="21">
                  <c:v>-20.497982391782841</c:v>
                </c:pt>
                <c:pt idx="22">
                  <c:v>-20.497982391782841</c:v>
                </c:pt>
                <c:pt idx="23">
                  <c:v>-20.497982391782841</c:v>
                </c:pt>
                <c:pt idx="24">
                  <c:v>-20.497982391782841</c:v>
                </c:pt>
                <c:pt idx="25">
                  <c:v>-20.497982391782841</c:v>
                </c:pt>
                <c:pt idx="26">
                  <c:v>-20.497982391782841</c:v>
                </c:pt>
                <c:pt idx="27">
                  <c:v>-20.497982391782841</c:v>
                </c:pt>
                <c:pt idx="28">
                  <c:v>-20.497982391782841</c:v>
                </c:pt>
                <c:pt idx="29">
                  <c:v>-20.497982391782841</c:v>
                </c:pt>
                <c:pt idx="30">
                  <c:v>-20.497982391782841</c:v>
                </c:pt>
                <c:pt idx="31">
                  <c:v>-20.497982391782841</c:v>
                </c:pt>
                <c:pt idx="32">
                  <c:v>-20.497982391782841</c:v>
                </c:pt>
                <c:pt idx="33">
                  <c:v>-20.497982391782841</c:v>
                </c:pt>
                <c:pt idx="34">
                  <c:v>-20.497982391782841</c:v>
                </c:pt>
                <c:pt idx="35">
                  <c:v>-20.497982391782841</c:v>
                </c:pt>
                <c:pt idx="36">
                  <c:v>-20.497982391782841</c:v>
                </c:pt>
                <c:pt idx="37">
                  <c:v>-20.497982391782841</c:v>
                </c:pt>
                <c:pt idx="38">
                  <c:v>-20.497982391782841</c:v>
                </c:pt>
                <c:pt idx="39">
                  <c:v>-20.497982391782841</c:v>
                </c:pt>
                <c:pt idx="40">
                  <c:v>-20.497982391782841</c:v>
                </c:pt>
                <c:pt idx="41">
                  <c:v>-20.497982391782841</c:v>
                </c:pt>
                <c:pt idx="42">
                  <c:v>-20.497982391782841</c:v>
                </c:pt>
                <c:pt idx="43">
                  <c:v>-20.497982391782841</c:v>
                </c:pt>
                <c:pt idx="44">
                  <c:v>-20.497982391782841</c:v>
                </c:pt>
                <c:pt idx="45">
                  <c:v>-20.497982391782841</c:v>
                </c:pt>
                <c:pt idx="46">
                  <c:v>-20.497982391782841</c:v>
                </c:pt>
                <c:pt idx="47">
                  <c:v>-20.497982391782841</c:v>
                </c:pt>
              </c:numCache>
            </c:numRef>
          </c:val>
          <c:smooth val="0"/>
        </c:ser>
        <c:ser>
          <c:idx val="0"/>
          <c:order val="4"/>
          <c:tx>
            <c:strRef>
              <c:f>Diagnostics!$A$412</c:f>
              <c:strCache>
                <c:ptCount val="1"/>
                <c:pt idx="0">
                  <c:v>Target (max)</c:v>
                </c:pt>
              </c:strCache>
            </c:strRef>
          </c:tx>
          <c:spPr>
            <a:ln w="25400">
              <a:solidFill>
                <a:srgbClr val="FF0000"/>
              </a:solidFill>
              <a:prstDash val="dash"/>
            </a:ln>
          </c:spPr>
          <c:marker>
            <c:symbol val="none"/>
          </c:marker>
          <c:cat>
            <c:numRef>
              <c:f>Diagnostics!$B$265:$AW$265</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Diagnostics!$B$412:$AW$412</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1559296"/>
        <c:axId val="140838016"/>
      </c:lineChart>
      <c:dateAx>
        <c:axId val="141559296"/>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40838016"/>
        <c:crosses val="autoZero"/>
        <c:auto val="1"/>
        <c:lblOffset val="100"/>
        <c:baseTimeUnit val="months"/>
      </c:dateAx>
      <c:valAx>
        <c:axId val="140838016"/>
        <c:scaling>
          <c:orientation val="minMax"/>
          <c:min val="0"/>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1559296"/>
        <c:crosses val="autoZero"/>
        <c:crossBetween val="between"/>
      </c:valAx>
    </c:plotArea>
    <c:legend>
      <c:legendPos val="r"/>
      <c:layout>
        <c:manualLayout>
          <c:xMode val="edge"/>
          <c:yMode val="edge"/>
          <c:x val="5.4824561403508934E-3"/>
          <c:y val="0.90828924162257563"/>
          <c:w val="0.98532900492701558"/>
          <c:h val="9.1710758377425053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Patient Falls with Harm Rate per 1,000 Occupied Bed Days</a:t>
            </a:r>
          </a:p>
        </c:rich>
      </c:tx>
      <c:layout>
        <c:manualLayout>
          <c:xMode val="edge"/>
          <c:yMode val="edge"/>
          <c:x val="0.27791577320751804"/>
          <c:y val="2.2725214903692594E-2"/>
        </c:manualLayout>
      </c:layout>
      <c:overlay val="0"/>
      <c:spPr>
        <a:noFill/>
        <a:ln w="25400">
          <a:noFill/>
        </a:ln>
      </c:spPr>
    </c:title>
    <c:autoTitleDeleted val="0"/>
    <c:plotArea>
      <c:layout>
        <c:manualLayout>
          <c:layoutTarget val="inner"/>
          <c:xMode val="edge"/>
          <c:yMode val="edge"/>
          <c:x val="5.0943845835060085E-2"/>
          <c:y val="0.10565250409688642"/>
          <c:w val="0.91909748326663132"/>
          <c:h val="0.70520457785416413"/>
        </c:manualLayout>
      </c:layout>
      <c:lineChart>
        <c:grouping val="standard"/>
        <c:varyColors val="0"/>
        <c:ser>
          <c:idx val="3"/>
          <c:order val="0"/>
          <c:tx>
            <c:strRef>
              <c:f>Falls!$D$11</c:f>
              <c:strCache>
                <c:ptCount val="1"/>
                <c:pt idx="0">
                  <c:v>Rate</c:v>
                </c:pt>
              </c:strCache>
            </c:strRef>
          </c:tx>
          <c:spPr>
            <a:ln w="25400">
              <a:solidFill>
                <a:srgbClr val="0070C0"/>
              </a:solidFill>
            </a:ln>
          </c:spPr>
          <c:marker>
            <c:symbol val="circle"/>
            <c:size val="4"/>
            <c:spPr>
              <a:solidFill>
                <a:srgbClr val="0070C0"/>
              </a:solidFill>
              <a:ln w="25400">
                <a:solidFill>
                  <a:srgbClr val="0070C0"/>
                </a:solidFill>
                <a:prstDash val="solid"/>
              </a:ln>
            </c:spPr>
          </c:marker>
          <c:dPt>
            <c:idx val="80"/>
            <c:bubble3D val="0"/>
          </c:dPt>
          <c:dPt>
            <c:idx val="81"/>
            <c:bubble3D val="0"/>
            <c:spPr>
              <a:ln w="25400">
                <a:solidFill>
                  <a:srgbClr val="00B050"/>
                </a:solidFill>
              </a:ln>
            </c:spPr>
          </c:dPt>
          <c:dPt>
            <c:idx val="82"/>
            <c:bubble3D val="0"/>
            <c:spPr>
              <a:ln w="25400">
                <a:solidFill>
                  <a:srgbClr val="00B050"/>
                </a:solidFill>
              </a:ln>
            </c:spPr>
          </c:dPt>
          <c:dPt>
            <c:idx val="83"/>
            <c:bubble3D val="0"/>
            <c:spPr>
              <a:ln w="25400">
                <a:solidFill>
                  <a:srgbClr val="00B050"/>
                </a:solidFill>
              </a:ln>
            </c:spPr>
          </c:dPt>
          <c:dPt>
            <c:idx val="84"/>
            <c:bubble3D val="0"/>
            <c:spPr>
              <a:ln w="25400">
                <a:solidFill>
                  <a:srgbClr val="00B050"/>
                </a:solidFill>
              </a:ln>
            </c:spPr>
          </c:dPt>
          <c:dPt>
            <c:idx val="85"/>
            <c:bubble3D val="0"/>
            <c:spPr>
              <a:ln w="25400">
                <a:solidFill>
                  <a:srgbClr val="00B050"/>
                </a:solidFill>
              </a:ln>
            </c:spPr>
          </c:dPt>
          <c:dPt>
            <c:idx val="86"/>
            <c:bubble3D val="0"/>
            <c:spPr>
              <a:ln w="25400">
                <a:solidFill>
                  <a:srgbClr val="00B050"/>
                </a:solidFill>
              </a:ln>
            </c:spPr>
          </c:dPt>
          <c:dPt>
            <c:idx val="87"/>
            <c:bubble3D val="0"/>
            <c:spPr>
              <a:ln w="25400">
                <a:solidFill>
                  <a:srgbClr val="00B050"/>
                </a:solidFill>
              </a:ln>
            </c:spPr>
          </c:dPt>
          <c:dPt>
            <c:idx val="88"/>
            <c:bubble3D val="0"/>
            <c:spPr>
              <a:ln w="25400">
                <a:solidFill>
                  <a:srgbClr val="00B050"/>
                </a:solidFill>
              </a:ln>
            </c:spPr>
          </c:dPt>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numCache>
            </c:numRef>
          </c:cat>
          <c:val>
            <c:numRef>
              <c:f>Falls!$D$12:$D$119</c:f>
              <c:numCache>
                <c:formatCode>0.00</c:formatCode>
                <c:ptCount val="108"/>
                <c:pt idx="0">
                  <c:v>0.58845480380055692</c:v>
                </c:pt>
                <c:pt idx="1">
                  <c:v>0.51623264884708042</c:v>
                </c:pt>
                <c:pt idx="2">
                  <c:v>0.37092538464962388</c:v>
                </c:pt>
                <c:pt idx="3">
                  <c:v>0.41770471260423969</c:v>
                </c:pt>
                <c:pt idx="4">
                  <c:v>0.38047295715289159</c:v>
                </c:pt>
                <c:pt idx="5">
                  <c:v>0.38325189230621826</c:v>
                </c:pt>
                <c:pt idx="6">
                  <c:v>0.43009120463486522</c:v>
                </c:pt>
                <c:pt idx="7">
                  <c:v>0.35820742768687552</c:v>
                </c:pt>
                <c:pt idx="8">
                  <c:v>0.48382373537388118</c:v>
                </c:pt>
                <c:pt idx="9">
                  <c:v>0.36807557818538739</c:v>
                </c:pt>
                <c:pt idx="10">
                  <c:v>0.29853176649388008</c:v>
                </c:pt>
                <c:pt idx="11">
                  <c:v>0.29956189073480038</c:v>
                </c:pt>
                <c:pt idx="12">
                  <c:v>0.27839274588045021</c:v>
                </c:pt>
                <c:pt idx="13">
                  <c:v>0.4208378499011669</c:v>
                </c:pt>
                <c:pt idx="14">
                  <c:v>0.36364108624787339</c:v>
                </c:pt>
                <c:pt idx="15">
                  <c:v>0.34889130097689564</c:v>
                </c:pt>
                <c:pt idx="16">
                  <c:v>0.35525781567194481</c:v>
                </c:pt>
                <c:pt idx="17">
                  <c:v>0.36719385212579009</c:v>
                </c:pt>
                <c:pt idx="18">
                  <c:v>0.43981452393219317</c:v>
                </c:pt>
                <c:pt idx="19">
                  <c:v>0.34494653328734043</c:v>
                </c:pt>
                <c:pt idx="20">
                  <c:v>0.44067839290885508</c:v>
                </c:pt>
                <c:pt idx="21">
                  <c:v>0.27949593515694304</c:v>
                </c:pt>
                <c:pt idx="22">
                  <c:v>0.31068363344509314</c:v>
                </c:pt>
                <c:pt idx="23">
                  <c:v>0.36628247704629807</c:v>
                </c:pt>
                <c:pt idx="24">
                  <c:v>0.2900012608750473</c:v>
                </c:pt>
                <c:pt idx="25">
                  <c:v>0.40751305894120698</c:v>
                </c:pt>
                <c:pt idx="26">
                  <c:v>0.25564005879721352</c:v>
                </c:pt>
                <c:pt idx="27">
                  <c:v>0.20486031087552176</c:v>
                </c:pt>
                <c:pt idx="28">
                  <c:v>0.26580259727109334</c:v>
                </c:pt>
                <c:pt idx="29">
                  <c:v>0.14328140467878914</c:v>
                </c:pt>
                <c:pt idx="30">
                  <c:v>0.39810402955922419</c:v>
                </c:pt>
                <c:pt idx="31">
                  <c:v>0.21747473455289754</c:v>
                </c:pt>
                <c:pt idx="32">
                  <c:v>0.27583439905714785</c:v>
                </c:pt>
                <c:pt idx="33">
                  <c:v>0.35370267752926893</c:v>
                </c:pt>
                <c:pt idx="34">
                  <c:v>0.25256553410964006</c:v>
                </c:pt>
                <c:pt idx="35">
                  <c:v>0.35283239244695347</c:v>
                </c:pt>
                <c:pt idx="36">
                  <c:v>0.23850170717011449</c:v>
                </c:pt>
                <c:pt idx="37">
                  <c:v>0.17617597463065968</c:v>
                </c:pt>
                <c:pt idx="38">
                  <c:v>0.17974527526705014</c:v>
                </c:pt>
                <c:pt idx="39">
                  <c:v>0.34201892504718595</c:v>
                </c:pt>
                <c:pt idx="40">
                  <c:v>0.27773920288848769</c:v>
                </c:pt>
                <c:pt idx="41">
                  <c:v>0.27314230714202098</c:v>
                </c:pt>
                <c:pt idx="42">
                  <c:v>0.37171496896180012</c:v>
                </c:pt>
                <c:pt idx="43">
                  <c:v>0.32856908164941678</c:v>
                </c:pt>
                <c:pt idx="44">
                  <c:v>0.27699087189172178</c:v>
                </c:pt>
                <c:pt idx="45">
                  <c:v>0.33003689340987047</c:v>
                </c:pt>
                <c:pt idx="46">
                  <c:v>0.2196666235947797</c:v>
                </c:pt>
                <c:pt idx="47">
                  <c:v>0.32674780903924472</c:v>
                </c:pt>
                <c:pt idx="48">
                  <c:v>0.45490871088707197</c:v>
                </c:pt>
                <c:pt idx="49">
                  <c:v>0.23912548394443178</c:v>
                </c:pt>
                <c:pt idx="50">
                  <c:v>0.22510101408006841</c:v>
                </c:pt>
                <c:pt idx="51">
                  <c:v>0.17084708118439737</c:v>
                </c:pt>
                <c:pt idx="52">
                  <c:v>0.26612894971186424</c:v>
                </c:pt>
                <c:pt idx="53">
                  <c:v>0.13660627968559541</c:v>
                </c:pt>
                <c:pt idx="54">
                  <c:v>0.1823320266204759</c:v>
                </c:pt>
                <c:pt idx="55">
                  <c:v>0.17776662379353977</c:v>
                </c:pt>
                <c:pt idx="56">
                  <c:v>0.16647591301633544</c:v>
                </c:pt>
                <c:pt idx="57">
                  <c:v>0.12069884632019393</c:v>
                </c:pt>
                <c:pt idx="58">
                  <c:v>0.24243759986776131</c:v>
                </c:pt>
                <c:pt idx="59">
                  <c:v>0.18155776562909767</c:v>
                </c:pt>
                <c:pt idx="60">
                  <c:v>0.19074262461851474</c:v>
                </c:pt>
                <c:pt idx="61">
                  <c:v>0.16848135122043681</c:v>
                </c:pt>
                <c:pt idx="62">
                  <c:v>0.18820716072891525</c:v>
                </c:pt>
                <c:pt idx="63">
                  <c:v>0.26210602188585286</c:v>
                </c:pt>
                <c:pt idx="64">
                  <c:v>0.15265843764993239</c:v>
                </c:pt>
                <c:pt idx="65">
                  <c:v>0.19127988748241914</c:v>
                </c:pt>
                <c:pt idx="66">
                  <c:v>0.36851175444110856</c:v>
                </c:pt>
                <c:pt idx="67">
                  <c:v>0.21031192579309735</c:v>
                </c:pt>
                <c:pt idx="68">
                  <c:v>0.17607958797376416</c:v>
                </c:pt>
                <c:pt idx="69">
                  <c:v>0.25461489497135581</c:v>
                </c:pt>
                <c:pt idx="70">
                  <c:v>0.17946072053479295</c:v>
                </c:pt>
                <c:pt idx="71">
                  <c:v>0.13862674216492318</c:v>
                </c:pt>
                <c:pt idx="72">
                  <c:v>0.27002092662181321</c:v>
                </c:pt>
                <c:pt idx="73">
                  <c:v>0.23823087679320523</c:v>
                </c:pt>
                <c:pt idx="74">
                  <c:v>0.25919606021988462</c:v>
                </c:pt>
                <c:pt idx="75">
                  <c:v>0.19049433279359937</c:v>
                </c:pt>
                <c:pt idx="76">
                  <c:v>0.2311409960075646</c:v>
                </c:pt>
                <c:pt idx="77">
                  <c:v>0.20431865106675845</c:v>
                </c:pt>
                <c:pt idx="78">
                  <c:v>0.16648977128467671</c:v>
                </c:pt>
                <c:pt idx="79">
                  <c:v>0.18124440274638579</c:v>
                </c:pt>
                <c:pt idx="80">
                  <c:v>0.25500717207671464</c:v>
                </c:pt>
                <c:pt idx="81">
                  <c:v>0.32133343007888215</c:v>
                </c:pt>
                <c:pt idx="82">
                  <c:v>0.31926659901255405</c:v>
                </c:pt>
                <c:pt idx="83">
                  <c:v>0.25086758372705603</c:v>
                </c:pt>
                <c:pt idx="84">
                  <c:v>0.20743490365194606</c:v>
                </c:pt>
                <c:pt idx="85">
                  <c:v>0.28000000000000003</c:v>
                </c:pt>
                <c:pt idx="86">
                  <c:v>0.21165907293326056</c:v>
                </c:pt>
                <c:pt idx="87">
                  <c:v>0.30633232681283096</c:v>
                </c:pt>
                <c:pt idx="88">
                  <c:v>0.22720879406227684</c:v>
                </c:pt>
              </c:numCache>
            </c:numRef>
          </c:val>
          <c:smooth val="0"/>
        </c:ser>
        <c:ser>
          <c:idx val="0"/>
          <c:order val="1"/>
          <c:tx>
            <c:strRef>
              <c:f>Falls!$E$11</c:f>
              <c:strCache>
                <c:ptCount val="1"/>
                <c:pt idx="0">
                  <c:v>Baseline Median</c:v>
                </c:pt>
              </c:strCache>
            </c:strRef>
          </c:tx>
          <c:spPr>
            <a:ln w="25400">
              <a:solidFill>
                <a:srgbClr val="000000"/>
              </a:solidFill>
              <a:prstDash val="solid"/>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numCache>
            </c:numRef>
          </c:cat>
          <c:val>
            <c:numRef>
              <c:f>Falls!$E$12:$E$119</c:f>
              <c:numCache>
                <c:formatCode>0.00</c:formatCode>
                <c:ptCount val="108"/>
                <c:pt idx="0">
                  <c:v>0.38186242472955489</c:v>
                </c:pt>
                <c:pt idx="1">
                  <c:v>0.38186242472955489</c:v>
                </c:pt>
                <c:pt idx="2">
                  <c:v>0.38186242472955489</c:v>
                </c:pt>
                <c:pt idx="3">
                  <c:v>0.38186242472955489</c:v>
                </c:pt>
                <c:pt idx="4">
                  <c:v>0.38186242472955489</c:v>
                </c:pt>
                <c:pt idx="5">
                  <c:v>0.38186242472955489</c:v>
                </c:pt>
                <c:pt idx="6">
                  <c:v>0.38186242472955489</c:v>
                </c:pt>
                <c:pt idx="7">
                  <c:v>0.38186242472955489</c:v>
                </c:pt>
                <c:pt idx="8">
                  <c:v>0.38186242472955489</c:v>
                </c:pt>
                <c:pt idx="9">
                  <c:v>0.38186242472955489</c:v>
                </c:pt>
                <c:pt idx="10">
                  <c:v>0.38186242472955489</c:v>
                </c:pt>
                <c:pt idx="11">
                  <c:v>0.38186242472955489</c:v>
                </c:pt>
              </c:numCache>
            </c:numRef>
          </c:val>
          <c:smooth val="0"/>
        </c:ser>
        <c:ser>
          <c:idx val="1"/>
          <c:order val="2"/>
          <c:tx>
            <c:strRef>
              <c:f>Falls!$F$11</c:f>
              <c:strCache>
                <c:ptCount val="1"/>
                <c:pt idx="0">
                  <c:v>Extended Baseline Median</c:v>
                </c:pt>
              </c:strCache>
            </c:strRef>
          </c:tx>
          <c:spPr>
            <a:ln w="25400">
              <a:solidFill>
                <a:srgbClr val="000000"/>
              </a:solidFill>
              <a:prstDash val="sys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numCache>
            </c:numRef>
          </c:cat>
          <c:val>
            <c:numRef>
              <c:f>Falls!$F$12:$F$119</c:f>
              <c:numCache>
                <c:formatCode>0.00</c:formatCode>
                <c:ptCount val="108"/>
                <c:pt idx="12">
                  <c:v>0.38186242472955489</c:v>
                </c:pt>
                <c:pt idx="13">
                  <c:v>0.38186242472955489</c:v>
                </c:pt>
                <c:pt idx="14">
                  <c:v>0.38186242472955489</c:v>
                </c:pt>
                <c:pt idx="15">
                  <c:v>0.38186242472955489</c:v>
                </c:pt>
                <c:pt idx="16">
                  <c:v>0.38186242472955489</c:v>
                </c:pt>
                <c:pt idx="17">
                  <c:v>0.38186242472955489</c:v>
                </c:pt>
                <c:pt idx="18">
                  <c:v>0.38186242472955489</c:v>
                </c:pt>
                <c:pt idx="19">
                  <c:v>0.38186242472955489</c:v>
                </c:pt>
                <c:pt idx="20">
                  <c:v>0.38186242472955489</c:v>
                </c:pt>
                <c:pt idx="21">
                  <c:v>0.38186242472955489</c:v>
                </c:pt>
                <c:pt idx="22">
                  <c:v>0.38186242472955489</c:v>
                </c:pt>
                <c:pt idx="23">
                  <c:v>0.38186242472955489</c:v>
                </c:pt>
                <c:pt idx="24">
                  <c:v>0.38186242472955489</c:v>
                </c:pt>
                <c:pt idx="25">
                  <c:v>0.38186242472955489</c:v>
                </c:pt>
                <c:pt idx="26">
                  <c:v>0.38186242472955489</c:v>
                </c:pt>
                <c:pt idx="27">
                  <c:v>0.38186242472955489</c:v>
                </c:pt>
                <c:pt idx="28">
                  <c:v>0.38186242472955489</c:v>
                </c:pt>
                <c:pt idx="29">
                  <c:v>0.38186242472955489</c:v>
                </c:pt>
                <c:pt idx="30">
                  <c:v>0.38186242472955489</c:v>
                </c:pt>
              </c:numCache>
            </c:numRef>
          </c:val>
          <c:smooth val="0"/>
        </c:ser>
        <c:ser>
          <c:idx val="2"/>
          <c:order val="3"/>
          <c:tx>
            <c:strRef>
              <c:f>Falls!$G$11</c:f>
              <c:strCache>
                <c:ptCount val="1"/>
                <c:pt idx="0">
                  <c:v>Target Median (max)</c:v>
                </c:pt>
              </c:strCache>
            </c:strRef>
          </c:tx>
          <c:spPr>
            <a:ln w="25400">
              <a:solidFill>
                <a:srgbClr val="FF0000"/>
              </a:solidFill>
              <a:prstDash val="sys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numCache>
            </c:numRef>
          </c:cat>
          <c:val>
            <c:numRef>
              <c:f>Falls!$G$12:$G$119</c:f>
              <c:numCache>
                <c:formatCode>0.00</c:formatCode>
                <c:ptCount val="108"/>
                <c:pt idx="24">
                  <c:v>0.30548993978364392</c:v>
                </c:pt>
                <c:pt idx="25">
                  <c:v>0.30548993978364392</c:v>
                </c:pt>
                <c:pt idx="26">
                  <c:v>0.30548993978364392</c:v>
                </c:pt>
                <c:pt idx="27">
                  <c:v>0.30548993978364392</c:v>
                </c:pt>
                <c:pt idx="28">
                  <c:v>0.30548993978364392</c:v>
                </c:pt>
                <c:pt idx="29">
                  <c:v>0.30548993978364392</c:v>
                </c:pt>
                <c:pt idx="30">
                  <c:v>0.30548993978364392</c:v>
                </c:pt>
                <c:pt idx="31">
                  <c:v>0.30548993978364392</c:v>
                </c:pt>
                <c:pt idx="32">
                  <c:v>0.30548993978364392</c:v>
                </c:pt>
                <c:pt idx="33">
                  <c:v>0.30548993978364392</c:v>
                </c:pt>
                <c:pt idx="34">
                  <c:v>0.30548993978364392</c:v>
                </c:pt>
                <c:pt idx="35">
                  <c:v>0.30548993978364392</c:v>
                </c:pt>
                <c:pt idx="36">
                  <c:v>0.30548993978364392</c:v>
                </c:pt>
                <c:pt idx="37">
                  <c:v>0.30548993978364392</c:v>
                </c:pt>
                <c:pt idx="38">
                  <c:v>0.30548993978364392</c:v>
                </c:pt>
                <c:pt idx="39">
                  <c:v>0.30548993978364392</c:v>
                </c:pt>
                <c:pt idx="40">
                  <c:v>0.30548993978364392</c:v>
                </c:pt>
                <c:pt idx="41">
                  <c:v>0.30548993978364392</c:v>
                </c:pt>
                <c:pt idx="42">
                  <c:v>0.30548993978364392</c:v>
                </c:pt>
                <c:pt idx="43">
                  <c:v>0.30548993978364392</c:v>
                </c:pt>
                <c:pt idx="44">
                  <c:v>0.30548993978364392</c:v>
                </c:pt>
                <c:pt idx="45">
                  <c:v>0.30548993978364392</c:v>
                </c:pt>
                <c:pt idx="46">
                  <c:v>0.30548993978364392</c:v>
                </c:pt>
                <c:pt idx="47">
                  <c:v>0.30548993978364392</c:v>
                </c:pt>
                <c:pt idx="48">
                  <c:v>0.30548993978364392</c:v>
                </c:pt>
                <c:pt idx="49">
                  <c:v>0.30548993978364392</c:v>
                </c:pt>
                <c:pt idx="50">
                  <c:v>0.30548993978364392</c:v>
                </c:pt>
                <c:pt idx="51">
                  <c:v>0.30548993978364392</c:v>
                </c:pt>
                <c:pt idx="52">
                  <c:v>0.30548993978364392</c:v>
                </c:pt>
                <c:pt idx="53">
                  <c:v>0.30548993978364392</c:v>
                </c:pt>
                <c:pt idx="54">
                  <c:v>0.30548993978364392</c:v>
                </c:pt>
                <c:pt idx="55">
                  <c:v>0.30548993978364392</c:v>
                </c:pt>
                <c:pt idx="56">
                  <c:v>0.30548993978364392</c:v>
                </c:pt>
                <c:pt idx="57">
                  <c:v>0.30548993978364392</c:v>
                </c:pt>
                <c:pt idx="58">
                  <c:v>0.30548993978364392</c:v>
                </c:pt>
                <c:pt idx="59">
                  <c:v>0.30548993978364392</c:v>
                </c:pt>
                <c:pt idx="60">
                  <c:v>0.30548993978364392</c:v>
                </c:pt>
                <c:pt idx="61">
                  <c:v>0.30548993978364392</c:v>
                </c:pt>
                <c:pt idx="62">
                  <c:v>0.30548993978364392</c:v>
                </c:pt>
                <c:pt idx="63">
                  <c:v>0.30548993978364392</c:v>
                </c:pt>
                <c:pt idx="64">
                  <c:v>0.30548993978364392</c:v>
                </c:pt>
                <c:pt idx="65">
                  <c:v>0.30548993978364392</c:v>
                </c:pt>
                <c:pt idx="66">
                  <c:v>0.30548993978364392</c:v>
                </c:pt>
                <c:pt idx="67">
                  <c:v>0.30548993978364392</c:v>
                </c:pt>
                <c:pt idx="68">
                  <c:v>0.30548993978364392</c:v>
                </c:pt>
                <c:pt idx="69">
                  <c:v>0.30548993978364392</c:v>
                </c:pt>
                <c:pt idx="70">
                  <c:v>0.30548993978364392</c:v>
                </c:pt>
                <c:pt idx="71">
                  <c:v>0.30548993978364392</c:v>
                </c:pt>
                <c:pt idx="72">
                  <c:v>0.30548993978364392</c:v>
                </c:pt>
                <c:pt idx="73">
                  <c:v>0.30548993978364392</c:v>
                </c:pt>
                <c:pt idx="74">
                  <c:v>0.30548993978364392</c:v>
                </c:pt>
                <c:pt idx="75">
                  <c:v>0.30548993978364392</c:v>
                </c:pt>
                <c:pt idx="76">
                  <c:v>0.30548993978364392</c:v>
                </c:pt>
                <c:pt idx="77">
                  <c:v>0.30548993978364392</c:v>
                </c:pt>
                <c:pt idx="78">
                  <c:v>0.30548993978364392</c:v>
                </c:pt>
                <c:pt idx="79">
                  <c:v>0.30548993978364392</c:v>
                </c:pt>
                <c:pt idx="80">
                  <c:v>0.30548993978364392</c:v>
                </c:pt>
                <c:pt idx="81">
                  <c:v>0.30548993978364392</c:v>
                </c:pt>
                <c:pt idx="82">
                  <c:v>0.30548993978364392</c:v>
                </c:pt>
                <c:pt idx="83">
                  <c:v>0.30548993978364392</c:v>
                </c:pt>
                <c:pt idx="84">
                  <c:v>0.30548993978364392</c:v>
                </c:pt>
                <c:pt idx="85">
                  <c:v>0.30548993978364392</c:v>
                </c:pt>
                <c:pt idx="86">
                  <c:v>0.30548993978364392</c:v>
                </c:pt>
                <c:pt idx="87">
                  <c:v>0.30548993978364392</c:v>
                </c:pt>
                <c:pt idx="88">
                  <c:v>0.30548993978364392</c:v>
                </c:pt>
                <c:pt idx="89">
                  <c:v>0.30548993978364392</c:v>
                </c:pt>
                <c:pt idx="90">
                  <c:v>0.30548993978364392</c:v>
                </c:pt>
                <c:pt idx="91">
                  <c:v>0.30548993978364392</c:v>
                </c:pt>
                <c:pt idx="92">
                  <c:v>0.30548993978364392</c:v>
                </c:pt>
                <c:pt idx="93">
                  <c:v>0.30548993978364392</c:v>
                </c:pt>
                <c:pt idx="94">
                  <c:v>0.30548993978364392</c:v>
                </c:pt>
                <c:pt idx="95">
                  <c:v>0.30548993978364392</c:v>
                </c:pt>
                <c:pt idx="96">
                  <c:v>0.30548993978364392</c:v>
                </c:pt>
                <c:pt idx="97">
                  <c:v>0.30548993978364392</c:v>
                </c:pt>
                <c:pt idx="98">
                  <c:v>0.30548993978364392</c:v>
                </c:pt>
                <c:pt idx="99">
                  <c:v>0.30548993978364392</c:v>
                </c:pt>
                <c:pt idx="100">
                  <c:v>0.30548993978364392</c:v>
                </c:pt>
                <c:pt idx="101">
                  <c:v>0.30548993978364392</c:v>
                </c:pt>
                <c:pt idx="102">
                  <c:v>0.30548993978364392</c:v>
                </c:pt>
                <c:pt idx="103">
                  <c:v>0.30548993978364392</c:v>
                </c:pt>
                <c:pt idx="104">
                  <c:v>0.30548993978364392</c:v>
                </c:pt>
                <c:pt idx="105">
                  <c:v>0.30548993978364392</c:v>
                </c:pt>
                <c:pt idx="106">
                  <c:v>0.30548993978364392</c:v>
                </c:pt>
                <c:pt idx="107">
                  <c:v>0.30548993978364392</c:v>
                </c:pt>
              </c:numCache>
            </c:numRef>
          </c:val>
          <c:smooth val="0"/>
        </c:ser>
        <c:ser>
          <c:idx val="4"/>
          <c:order val="4"/>
          <c:tx>
            <c:strRef>
              <c:f>Falls!$H$11</c:f>
              <c:strCache>
                <c:ptCount val="1"/>
                <c:pt idx="0">
                  <c:v>New Median</c:v>
                </c:pt>
              </c:strCache>
            </c:strRef>
          </c:tx>
          <c:spPr>
            <a:ln w="25400">
              <a:solidFill>
                <a:srgbClr val="E69F00"/>
              </a:solidFill>
              <a:prstDash val="solid"/>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numCache>
            </c:numRef>
          </c:cat>
          <c:val>
            <c:numRef>
              <c:f>Falls!$H$12:$H$119</c:f>
              <c:numCache>
                <c:formatCode>0.00</c:formatCode>
                <c:ptCount val="108"/>
                <c:pt idx="31">
                  <c:v>0.27448835309958441</c:v>
                </c:pt>
                <c:pt idx="32">
                  <c:v>0.27448835309958441</c:v>
                </c:pt>
                <c:pt idx="33">
                  <c:v>0.27448835309958441</c:v>
                </c:pt>
                <c:pt idx="34">
                  <c:v>0.27448835309958441</c:v>
                </c:pt>
                <c:pt idx="35">
                  <c:v>0.27448835309958441</c:v>
                </c:pt>
                <c:pt idx="36">
                  <c:v>0.27448835309958441</c:v>
                </c:pt>
                <c:pt idx="37">
                  <c:v>0.27448835309958441</c:v>
                </c:pt>
                <c:pt idx="38">
                  <c:v>0.27448835309958441</c:v>
                </c:pt>
                <c:pt idx="39">
                  <c:v>0.27448835309958441</c:v>
                </c:pt>
                <c:pt idx="40">
                  <c:v>0.27448835309958441</c:v>
                </c:pt>
                <c:pt idx="41">
                  <c:v>0.27448835309958441</c:v>
                </c:pt>
                <c:pt idx="42">
                  <c:v>0.27448835309958441</c:v>
                </c:pt>
              </c:numCache>
            </c:numRef>
          </c:val>
          <c:smooth val="0"/>
        </c:ser>
        <c:ser>
          <c:idx val="5"/>
          <c:order val="5"/>
          <c:tx>
            <c:strRef>
              <c:f>Falls!$I$11</c:f>
              <c:strCache>
                <c:ptCount val="1"/>
                <c:pt idx="0">
                  <c:v>Extended New Median</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numCache>
            </c:numRef>
          </c:cat>
          <c:val>
            <c:numRef>
              <c:f>Falls!$I$12:$I$119</c:f>
              <c:numCache>
                <c:formatCode>0.00</c:formatCode>
                <c:ptCount val="108"/>
                <c:pt idx="43">
                  <c:v>0.27448835309958441</c:v>
                </c:pt>
                <c:pt idx="44">
                  <c:v>0.27448835309958441</c:v>
                </c:pt>
                <c:pt idx="45">
                  <c:v>0.27448835309958441</c:v>
                </c:pt>
                <c:pt idx="46">
                  <c:v>0.27448835309958441</c:v>
                </c:pt>
                <c:pt idx="47">
                  <c:v>0.27448835309958441</c:v>
                </c:pt>
                <c:pt idx="48">
                  <c:v>0.27448835309958441</c:v>
                </c:pt>
              </c:numCache>
            </c:numRef>
          </c:val>
          <c:smooth val="0"/>
        </c:ser>
        <c:ser>
          <c:idx val="6"/>
          <c:order val="6"/>
          <c:tx>
            <c:strRef>
              <c:f>Falls!$J$11</c:f>
              <c:strCache>
                <c:ptCount val="1"/>
                <c:pt idx="0">
                  <c:v>New Median 2</c:v>
                </c:pt>
              </c:strCache>
            </c:strRef>
          </c:tx>
          <c:spPr>
            <a:ln w="25400">
              <a:solidFill>
                <a:srgbClr val="E69F00"/>
              </a:solidFill>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numCache>
            </c:numRef>
          </c:cat>
          <c:val>
            <c:numRef>
              <c:f>Falls!$J$12:$J$119</c:f>
              <c:numCache>
                <c:formatCode>0.00</c:formatCode>
                <c:ptCount val="108"/>
                <c:pt idx="49">
                  <c:v>0.18194489612478679</c:v>
                </c:pt>
                <c:pt idx="50">
                  <c:v>0.18194489612478679</c:v>
                </c:pt>
                <c:pt idx="51">
                  <c:v>0.18194489612478679</c:v>
                </c:pt>
                <c:pt idx="52">
                  <c:v>0.18194489612478679</c:v>
                </c:pt>
                <c:pt idx="53">
                  <c:v>0.18194489612478679</c:v>
                </c:pt>
                <c:pt idx="54">
                  <c:v>0.18194489612478679</c:v>
                </c:pt>
                <c:pt idx="55">
                  <c:v>0.18194489612478679</c:v>
                </c:pt>
                <c:pt idx="56">
                  <c:v>0.18194489612478679</c:v>
                </c:pt>
                <c:pt idx="57">
                  <c:v>0.18194489612478679</c:v>
                </c:pt>
                <c:pt idx="58">
                  <c:v>0.18194489612478679</c:v>
                </c:pt>
                <c:pt idx="59">
                  <c:v>0.18194489612478679</c:v>
                </c:pt>
                <c:pt idx="60">
                  <c:v>0.18194489612478679</c:v>
                </c:pt>
              </c:numCache>
            </c:numRef>
          </c:val>
          <c:smooth val="0"/>
        </c:ser>
        <c:ser>
          <c:idx val="7"/>
          <c:order val="7"/>
          <c:tx>
            <c:strRef>
              <c:f>Falls!$K$11</c:f>
              <c:strCache>
                <c:ptCount val="1"/>
                <c:pt idx="0">
                  <c:v>Extended New Median 2</c:v>
                </c:pt>
              </c:strCache>
            </c:strRef>
          </c:tx>
          <c:spPr>
            <a:ln w="25400">
              <a:solidFill>
                <a:srgbClr val="E69F00"/>
              </a:solidFill>
              <a:prstDash val="dash"/>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numCache>
            </c:numRef>
          </c:cat>
          <c:val>
            <c:numRef>
              <c:f>Falls!$K$12:$K$119</c:f>
              <c:numCache>
                <c:formatCode>0.00</c:formatCode>
                <c:ptCount val="108"/>
                <c:pt idx="61">
                  <c:v>0.18194489612478679</c:v>
                </c:pt>
                <c:pt idx="62">
                  <c:v>0.18194489612478679</c:v>
                </c:pt>
                <c:pt idx="63">
                  <c:v>0.18194489612478679</c:v>
                </c:pt>
                <c:pt idx="64">
                  <c:v>0.18194489612478679</c:v>
                </c:pt>
                <c:pt idx="65">
                  <c:v>0.18194489612478679</c:v>
                </c:pt>
                <c:pt idx="66">
                  <c:v>0.18194489612478679</c:v>
                </c:pt>
                <c:pt idx="67">
                  <c:v>0.18194489612478679</c:v>
                </c:pt>
                <c:pt idx="68">
                  <c:v>0.18194489612478679</c:v>
                </c:pt>
                <c:pt idx="69">
                  <c:v>0.18194489612478679</c:v>
                </c:pt>
                <c:pt idx="70">
                  <c:v>0.18194489612478679</c:v>
                </c:pt>
                <c:pt idx="71">
                  <c:v>0.18194489612478679</c:v>
                </c:pt>
                <c:pt idx="72">
                  <c:v>0.18194489612478679</c:v>
                </c:pt>
                <c:pt idx="73">
                  <c:v>0.18194489612478679</c:v>
                </c:pt>
                <c:pt idx="74">
                  <c:v>0.18194489612478679</c:v>
                </c:pt>
                <c:pt idx="75">
                  <c:v>0.18194489612478679</c:v>
                </c:pt>
                <c:pt idx="76">
                  <c:v>0.18194489612478679</c:v>
                </c:pt>
                <c:pt idx="77">
                  <c:v>0.18194489612478679</c:v>
                </c:pt>
                <c:pt idx="78">
                  <c:v>0.18194489612478679</c:v>
                </c:pt>
                <c:pt idx="79">
                  <c:v>0.18194489612478679</c:v>
                </c:pt>
              </c:numCache>
            </c:numRef>
          </c:val>
          <c:smooth val="0"/>
        </c:ser>
        <c:ser>
          <c:idx val="8"/>
          <c:order val="8"/>
          <c:tx>
            <c:strRef>
              <c:f>Falls!$L$11</c:f>
              <c:strCache>
                <c:ptCount val="1"/>
                <c:pt idx="0">
                  <c:v>New Median 3</c:v>
                </c:pt>
              </c:strCache>
            </c:strRef>
          </c:tx>
          <c:spPr>
            <a:ln w="25400">
              <a:solidFill>
                <a:srgbClr val="E69F00"/>
              </a:solidFill>
            </a:ln>
          </c:spPr>
          <c:marker>
            <c:symbol val="none"/>
          </c:marker>
          <c:cat>
            <c:numRef>
              <c:f>Falls!$A$12:$A$119</c:f>
              <c:numCache>
                <c:formatCode>mmm\ yy</c:formatCode>
                <c:ptCount val="108"/>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numCache>
            </c:numRef>
          </c:cat>
          <c:val>
            <c:numRef>
              <c:f>Falls!$L$12:$L$119</c:f>
              <c:numCache>
                <c:formatCode>0.00</c:formatCode>
                <c:ptCount val="108"/>
                <c:pt idx="80">
                  <c:v>0.25500717207671464</c:v>
                </c:pt>
                <c:pt idx="81">
                  <c:v>0.25500717207671464</c:v>
                </c:pt>
                <c:pt idx="82">
                  <c:v>0.25500717207671464</c:v>
                </c:pt>
                <c:pt idx="83">
                  <c:v>0.25500717207671464</c:v>
                </c:pt>
                <c:pt idx="84">
                  <c:v>0.25500717207671464</c:v>
                </c:pt>
                <c:pt idx="85">
                  <c:v>0.25500717207671464</c:v>
                </c:pt>
                <c:pt idx="86">
                  <c:v>0.25500717207671464</c:v>
                </c:pt>
                <c:pt idx="87">
                  <c:v>0.25500717207671464</c:v>
                </c:pt>
                <c:pt idx="88">
                  <c:v>0.25500717207671464</c:v>
                </c:pt>
              </c:numCache>
            </c:numRef>
          </c:val>
          <c:smooth val="0"/>
        </c:ser>
        <c:dLbls>
          <c:showLegendKey val="0"/>
          <c:showVal val="0"/>
          <c:showCatName val="0"/>
          <c:showSerName val="0"/>
          <c:showPercent val="0"/>
          <c:showBubbleSize val="0"/>
        </c:dLbls>
        <c:marker val="1"/>
        <c:smooth val="0"/>
        <c:axId val="139744256"/>
        <c:axId val="140840896"/>
      </c:lineChart>
      <c:dateAx>
        <c:axId val="139744256"/>
        <c:scaling>
          <c:orientation val="minMax"/>
        </c:scaling>
        <c:delete val="0"/>
        <c:axPos val="b"/>
        <c:numFmt formatCode="mmm\ yy" sourceLinked="0"/>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40840896"/>
        <c:crossesAt val="0"/>
        <c:auto val="0"/>
        <c:lblOffset val="100"/>
        <c:baseTimeUnit val="months"/>
        <c:majorUnit val="3"/>
        <c:majorTimeUnit val="months"/>
        <c:minorUnit val="1"/>
        <c:minorTimeUnit val="months"/>
      </c:dateAx>
      <c:valAx>
        <c:axId val="14084089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9744256"/>
        <c:crosses val="autoZero"/>
        <c:crossBetween val="between"/>
      </c:valAx>
      <c:spPr>
        <a:noFill/>
        <a:ln w="25400">
          <a:noFill/>
        </a:ln>
      </c:spPr>
    </c:plotArea>
    <c:legend>
      <c:legendPos val="r"/>
      <c:layout>
        <c:manualLayout>
          <c:xMode val="edge"/>
          <c:yMode val="edge"/>
          <c:x val="1.035191438997358E-2"/>
          <c:y val="0.93033907563585005"/>
          <c:w val="0.9849126260533223"/>
          <c:h val="6.966092436414990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noFill/>
      <a:prstDash val="solid"/>
    </a:ln>
  </c:spPr>
  <c:txPr>
    <a:bodyPr/>
    <a:lstStyle/>
    <a:p>
      <a:pPr>
        <a:defRPr sz="16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349419803874137E-2"/>
          <c:y val="5.0925925925925923E-2"/>
          <c:w val="0.89834479897673458"/>
          <c:h val="0.78869611111111115"/>
        </c:manualLayout>
      </c:layout>
      <c:lineChart>
        <c:grouping val="standard"/>
        <c:varyColors val="0"/>
        <c:ser>
          <c:idx val="0"/>
          <c:order val="0"/>
          <c:tx>
            <c:strRef>
              <c:f>ABI!$B$13</c:f>
              <c:strCache>
                <c:ptCount val="1"/>
                <c:pt idx="0">
                  <c:v>Lothian</c:v>
                </c:pt>
              </c:strCache>
            </c:strRef>
          </c:tx>
          <c:spPr>
            <a:ln w="25400">
              <a:solidFill>
                <a:srgbClr val="0070C0"/>
              </a:solidFill>
            </a:ln>
          </c:spPr>
          <c:marker>
            <c:symbol val="circle"/>
            <c:size val="4"/>
            <c:spPr>
              <a:solidFill>
                <a:srgbClr val="0070C0"/>
              </a:solidFill>
              <a:ln w="25400">
                <a:solidFill>
                  <a:srgbClr val="0070C0"/>
                </a:solidFill>
              </a:ln>
            </c:spPr>
          </c:marker>
          <c:cat>
            <c:numRef>
              <c:f>ABI!$A$14:$A$17</c:f>
              <c:numCache>
                <c:formatCode>mmm\-yy</c:formatCode>
                <c:ptCount val="4"/>
                <c:pt idx="0">
                  <c:v>42156</c:v>
                </c:pt>
                <c:pt idx="1">
                  <c:v>42248</c:v>
                </c:pt>
                <c:pt idx="2">
                  <c:v>42339</c:v>
                </c:pt>
                <c:pt idx="3">
                  <c:v>42430</c:v>
                </c:pt>
              </c:numCache>
            </c:numRef>
          </c:cat>
          <c:val>
            <c:numRef>
              <c:f>ABI!$B$14:$B$17</c:f>
              <c:numCache>
                <c:formatCode>#,##0</c:formatCode>
                <c:ptCount val="4"/>
                <c:pt idx="0">
                  <c:v>5748</c:v>
                </c:pt>
                <c:pt idx="1">
                  <c:v>12856</c:v>
                </c:pt>
                <c:pt idx="2">
                  <c:v>21470</c:v>
                </c:pt>
                <c:pt idx="3">
                  <c:v>28972</c:v>
                </c:pt>
              </c:numCache>
            </c:numRef>
          </c:val>
          <c:smooth val="0"/>
        </c:ser>
        <c:ser>
          <c:idx val="1"/>
          <c:order val="1"/>
          <c:tx>
            <c:strRef>
              <c:f>ABI!$C$13</c:f>
              <c:strCache>
                <c:ptCount val="1"/>
                <c:pt idx="0">
                  <c:v>Target (min)</c:v>
                </c:pt>
              </c:strCache>
            </c:strRef>
          </c:tx>
          <c:spPr>
            <a:ln w="25400">
              <a:solidFill>
                <a:srgbClr val="FF0000"/>
              </a:solidFill>
              <a:prstDash val="dash"/>
            </a:ln>
          </c:spPr>
          <c:marker>
            <c:symbol val="none"/>
          </c:marker>
          <c:cat>
            <c:numRef>
              <c:f>ABI!$A$14:$A$17</c:f>
              <c:numCache>
                <c:formatCode>mmm\-yy</c:formatCode>
                <c:ptCount val="4"/>
                <c:pt idx="0">
                  <c:v>42156</c:v>
                </c:pt>
                <c:pt idx="1">
                  <c:v>42248</c:v>
                </c:pt>
                <c:pt idx="2">
                  <c:v>42339</c:v>
                </c:pt>
                <c:pt idx="3">
                  <c:v>42430</c:v>
                </c:pt>
              </c:numCache>
            </c:numRef>
          </c:cat>
          <c:val>
            <c:numRef>
              <c:f>ABI!$C$14:$C$17</c:f>
              <c:numCache>
                <c:formatCode>#,##0</c:formatCode>
                <c:ptCount val="4"/>
                <c:pt idx="0">
                  <c:v>2440</c:v>
                </c:pt>
                <c:pt idx="1">
                  <c:v>4878.5</c:v>
                </c:pt>
                <c:pt idx="2">
                  <c:v>7317.75</c:v>
                </c:pt>
                <c:pt idx="3">
                  <c:v>9757</c:v>
                </c:pt>
              </c:numCache>
            </c:numRef>
          </c:val>
          <c:smooth val="0"/>
        </c:ser>
        <c:dLbls>
          <c:showLegendKey val="0"/>
          <c:showVal val="0"/>
          <c:showCatName val="0"/>
          <c:showSerName val="0"/>
          <c:showPercent val="0"/>
          <c:showBubbleSize val="0"/>
        </c:dLbls>
        <c:marker val="1"/>
        <c:smooth val="0"/>
        <c:axId val="126007296"/>
        <c:axId val="102226112"/>
      </c:lineChart>
      <c:dateAx>
        <c:axId val="126007296"/>
        <c:scaling>
          <c:orientation val="minMax"/>
        </c:scaling>
        <c:delete val="0"/>
        <c:axPos val="b"/>
        <c:numFmt formatCode="mmm\ yy"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02226112"/>
        <c:crosses val="autoZero"/>
        <c:auto val="1"/>
        <c:lblOffset val="100"/>
        <c:baseTimeUnit val="months"/>
        <c:majorUnit val="3"/>
        <c:majorTimeUnit val="months"/>
      </c:dateAx>
      <c:valAx>
        <c:axId val="102226112"/>
        <c:scaling>
          <c:orientation val="minMax"/>
          <c:max val="30000"/>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6007296"/>
        <c:crosses val="autoZero"/>
        <c:crossBetween val="between"/>
      </c:valAx>
    </c:plotArea>
    <c:legend>
      <c:legendPos val="r"/>
      <c:layout>
        <c:manualLayout>
          <c:xMode val="edge"/>
          <c:yMode val="edge"/>
          <c:x val="0.30467897686990736"/>
          <c:y val="0.90211640211640209"/>
          <c:w val="0.43852011332101104"/>
          <c:h val="8.730158730158313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590972222222234E-2"/>
          <c:y val="6.1904761904761914E-2"/>
          <c:w val="0.91107094907407404"/>
          <c:h val="0.71428571428571463"/>
        </c:manualLayout>
      </c:layout>
      <c:lineChart>
        <c:grouping val="standard"/>
        <c:varyColors val="0"/>
        <c:ser>
          <c:idx val="0"/>
          <c:order val="0"/>
          <c:tx>
            <c:strRef>
              <c:f>'HAI - C.Diff'!$B$10</c:f>
              <c:strCache>
                <c:ptCount val="1"/>
                <c:pt idx="0">
                  <c:v>Patients</c:v>
                </c:pt>
              </c:strCache>
            </c:strRef>
          </c:tx>
          <c:spPr>
            <a:ln w="25400">
              <a:solidFill>
                <a:srgbClr val="0070C0"/>
              </a:solidFill>
            </a:ln>
          </c:spPr>
          <c:marker>
            <c:symbol val="circle"/>
            <c:size val="4"/>
            <c:spPr>
              <a:solidFill>
                <a:srgbClr val="0070C0"/>
              </a:solidFill>
              <a:ln w="25400">
                <a:solidFill>
                  <a:srgbClr val="0070C0"/>
                </a:solidFill>
                <a:prstDash val="solid"/>
              </a:ln>
            </c:spPr>
          </c:marker>
          <c:dPt>
            <c:idx val="44"/>
            <c:bubble3D val="0"/>
            <c:spPr>
              <a:ln w="25400">
                <a:solidFill>
                  <a:srgbClr val="00B050"/>
                </a:solidFill>
              </a:ln>
            </c:spPr>
          </c:dPt>
          <c:dPt>
            <c:idx val="45"/>
            <c:bubble3D val="0"/>
            <c:spPr>
              <a:ln w="25400">
                <a:solidFill>
                  <a:srgbClr val="00B050"/>
                </a:solidFill>
              </a:ln>
            </c:spPr>
          </c:dPt>
          <c:dPt>
            <c:idx val="46"/>
            <c:bubble3D val="0"/>
            <c:spPr>
              <a:ln w="25400">
                <a:solidFill>
                  <a:srgbClr val="00B050"/>
                </a:solidFill>
              </a:ln>
            </c:spPr>
          </c:dPt>
          <c:dPt>
            <c:idx val="47"/>
            <c:bubble3D val="0"/>
            <c:spPr>
              <a:ln w="25400">
                <a:solidFill>
                  <a:srgbClr val="00B050"/>
                </a:solidFill>
              </a:ln>
            </c:spPr>
          </c:dPt>
          <c:dPt>
            <c:idx val="48"/>
            <c:bubble3D val="0"/>
            <c:spPr>
              <a:ln w="25400">
                <a:solidFill>
                  <a:srgbClr val="00B050"/>
                </a:solidFill>
              </a:ln>
            </c:spPr>
          </c:dPt>
          <c:dPt>
            <c:idx val="49"/>
            <c:bubble3D val="0"/>
            <c:spPr>
              <a:ln w="25400">
                <a:solidFill>
                  <a:srgbClr val="00B050"/>
                </a:solidFill>
              </a:ln>
            </c:spPr>
          </c:dPt>
          <c:dPt>
            <c:idx val="50"/>
            <c:bubble3D val="0"/>
            <c:spPr>
              <a:ln w="25400">
                <a:solidFill>
                  <a:srgbClr val="00B050"/>
                </a:solidFill>
              </a:ln>
            </c:spPr>
          </c:dPt>
          <c:dPt>
            <c:idx val="51"/>
            <c:bubble3D val="0"/>
            <c:spPr>
              <a:ln w="25400">
                <a:solidFill>
                  <a:srgbClr val="00B050"/>
                </a:solidFill>
              </a:ln>
            </c:spPr>
          </c:dPt>
          <c:dPt>
            <c:idx val="52"/>
            <c:bubble3D val="0"/>
            <c:spPr>
              <a:ln w="25400">
                <a:solidFill>
                  <a:srgbClr val="00B050"/>
                </a:solidFill>
              </a:ln>
            </c:spPr>
          </c:dPt>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C.Diff'!$B$11:$B$82</c:f>
              <c:numCache>
                <c:formatCode>General</c:formatCode>
                <c:ptCount val="72"/>
                <c:pt idx="0">
                  <c:v>42</c:v>
                </c:pt>
                <c:pt idx="1">
                  <c:v>25</c:v>
                </c:pt>
                <c:pt idx="2">
                  <c:v>37</c:v>
                </c:pt>
                <c:pt idx="3">
                  <c:v>34</c:v>
                </c:pt>
                <c:pt idx="4">
                  <c:v>39</c:v>
                </c:pt>
                <c:pt idx="5">
                  <c:v>38</c:v>
                </c:pt>
                <c:pt idx="6">
                  <c:v>52</c:v>
                </c:pt>
                <c:pt idx="7">
                  <c:v>34</c:v>
                </c:pt>
                <c:pt idx="8">
                  <c:v>32</c:v>
                </c:pt>
                <c:pt idx="9">
                  <c:v>37</c:v>
                </c:pt>
                <c:pt idx="10">
                  <c:v>33</c:v>
                </c:pt>
                <c:pt idx="11">
                  <c:v>22</c:v>
                </c:pt>
                <c:pt idx="12">
                  <c:v>34</c:v>
                </c:pt>
                <c:pt idx="13">
                  <c:v>39</c:v>
                </c:pt>
                <c:pt idx="14">
                  <c:v>34</c:v>
                </c:pt>
                <c:pt idx="15">
                  <c:v>39</c:v>
                </c:pt>
                <c:pt idx="16">
                  <c:v>38</c:v>
                </c:pt>
                <c:pt idx="17">
                  <c:v>29</c:v>
                </c:pt>
                <c:pt idx="18">
                  <c:v>32</c:v>
                </c:pt>
                <c:pt idx="19">
                  <c:v>33</c:v>
                </c:pt>
                <c:pt idx="20">
                  <c:v>33</c:v>
                </c:pt>
                <c:pt idx="21">
                  <c:v>30</c:v>
                </c:pt>
                <c:pt idx="22">
                  <c:v>21</c:v>
                </c:pt>
                <c:pt idx="23">
                  <c:v>31</c:v>
                </c:pt>
                <c:pt idx="24">
                  <c:v>29</c:v>
                </c:pt>
                <c:pt idx="25">
                  <c:v>22</c:v>
                </c:pt>
                <c:pt idx="26">
                  <c:v>24</c:v>
                </c:pt>
                <c:pt idx="27">
                  <c:v>26</c:v>
                </c:pt>
                <c:pt idx="28">
                  <c:v>36</c:v>
                </c:pt>
                <c:pt idx="29">
                  <c:v>40</c:v>
                </c:pt>
                <c:pt idx="30">
                  <c:v>30</c:v>
                </c:pt>
                <c:pt idx="31">
                  <c:v>24</c:v>
                </c:pt>
                <c:pt idx="32">
                  <c:v>29</c:v>
                </c:pt>
                <c:pt idx="33">
                  <c:v>17</c:v>
                </c:pt>
                <c:pt idx="34">
                  <c:v>27</c:v>
                </c:pt>
                <c:pt idx="35">
                  <c:v>21</c:v>
                </c:pt>
                <c:pt idx="36">
                  <c:v>20</c:v>
                </c:pt>
                <c:pt idx="37">
                  <c:v>28</c:v>
                </c:pt>
                <c:pt idx="38">
                  <c:v>25</c:v>
                </c:pt>
                <c:pt idx="39">
                  <c:v>21</c:v>
                </c:pt>
                <c:pt idx="40">
                  <c:v>17</c:v>
                </c:pt>
                <c:pt idx="41">
                  <c:v>14</c:v>
                </c:pt>
                <c:pt idx="42">
                  <c:v>15</c:v>
                </c:pt>
                <c:pt idx="43">
                  <c:v>18</c:v>
                </c:pt>
                <c:pt idx="44">
                  <c:v>7</c:v>
                </c:pt>
                <c:pt idx="45">
                  <c:v>17</c:v>
                </c:pt>
                <c:pt idx="46">
                  <c:v>19</c:v>
                </c:pt>
                <c:pt idx="47">
                  <c:v>21</c:v>
                </c:pt>
                <c:pt idx="48">
                  <c:v>17</c:v>
                </c:pt>
                <c:pt idx="49">
                  <c:v>11</c:v>
                </c:pt>
                <c:pt idx="50">
                  <c:v>15</c:v>
                </c:pt>
                <c:pt idx="51">
                  <c:v>9</c:v>
                </c:pt>
                <c:pt idx="52">
                  <c:v>15</c:v>
                </c:pt>
              </c:numCache>
            </c:numRef>
          </c:val>
          <c:smooth val="0"/>
        </c:ser>
        <c:ser>
          <c:idx val="1"/>
          <c:order val="1"/>
          <c:tx>
            <c:strRef>
              <c:f>'HAI - C.Diff'!$I$10</c:f>
              <c:strCache>
                <c:ptCount val="1"/>
                <c:pt idx="0">
                  <c:v>Baseline Median</c:v>
                </c:pt>
              </c:strCache>
            </c:strRef>
          </c:tx>
          <c:spPr>
            <a:ln w="25400">
              <a:solidFill>
                <a:schemeClr val="tx1"/>
              </a:solidFill>
              <a:prstDash val="solid"/>
            </a:ln>
          </c:spPr>
          <c:marker>
            <c:symbol val="none"/>
          </c:marker>
          <c:dPt>
            <c:idx val="12"/>
            <c:bubble3D val="0"/>
            <c:spPr>
              <a:ln w="25400">
                <a:noFill/>
                <a:prstDash val="solid"/>
              </a:ln>
            </c:spPr>
          </c:dPt>
          <c:dPt>
            <c:idx val="13"/>
            <c:bubble3D val="0"/>
            <c:spPr>
              <a:ln w="25400">
                <a:noFill/>
                <a:prstDash val="solid"/>
              </a:ln>
            </c:spPr>
          </c:dPt>
          <c:dPt>
            <c:idx val="14"/>
            <c:bubble3D val="0"/>
            <c:spPr>
              <a:ln w="25400">
                <a:noFill/>
                <a:prstDash val="solid"/>
              </a:ln>
            </c:spPr>
          </c:dPt>
          <c:dPt>
            <c:idx val="15"/>
            <c:bubble3D val="0"/>
            <c:spPr>
              <a:ln w="25400">
                <a:noFill/>
                <a:prstDash val="solid"/>
              </a:ln>
            </c:spPr>
          </c:dPt>
          <c:dPt>
            <c:idx val="16"/>
            <c:bubble3D val="0"/>
            <c:spPr>
              <a:ln w="25400">
                <a:noFill/>
                <a:prstDash val="solid"/>
              </a:ln>
            </c:spPr>
          </c:dPt>
          <c:dPt>
            <c:idx val="17"/>
            <c:bubble3D val="0"/>
            <c:spPr>
              <a:ln w="25400">
                <a:noFill/>
                <a:prstDash val="solid"/>
              </a:ln>
            </c:spPr>
          </c:dPt>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C.Diff'!$I$11:$I$82</c:f>
              <c:numCache>
                <c:formatCode>General</c:formatCode>
                <c:ptCount val="72"/>
                <c:pt idx="0">
                  <c:v>35.5</c:v>
                </c:pt>
                <c:pt idx="1">
                  <c:v>35.5</c:v>
                </c:pt>
                <c:pt idx="2">
                  <c:v>35.5</c:v>
                </c:pt>
                <c:pt idx="3">
                  <c:v>35.5</c:v>
                </c:pt>
                <c:pt idx="4">
                  <c:v>35.5</c:v>
                </c:pt>
                <c:pt idx="5">
                  <c:v>35.5</c:v>
                </c:pt>
                <c:pt idx="6">
                  <c:v>35.5</c:v>
                </c:pt>
                <c:pt idx="7">
                  <c:v>35.5</c:v>
                </c:pt>
                <c:pt idx="8">
                  <c:v>35.5</c:v>
                </c:pt>
                <c:pt idx="9">
                  <c:v>35.5</c:v>
                </c:pt>
                <c:pt idx="10">
                  <c:v>35.5</c:v>
                </c:pt>
                <c:pt idx="11">
                  <c:v>35.5</c:v>
                </c:pt>
                <c:pt idx="12">
                  <c:v>0</c:v>
                </c:pt>
                <c:pt idx="13">
                  <c:v>0</c:v>
                </c:pt>
                <c:pt idx="14">
                  <c:v>0</c:v>
                </c:pt>
                <c:pt idx="15">
                  <c:v>0</c:v>
                </c:pt>
                <c:pt idx="16">
                  <c:v>0</c:v>
                </c:pt>
                <c:pt idx="17">
                  <c:v>0</c:v>
                </c:pt>
              </c:numCache>
            </c:numRef>
          </c:val>
          <c:smooth val="0"/>
        </c:ser>
        <c:ser>
          <c:idx val="4"/>
          <c:order val="2"/>
          <c:tx>
            <c:strRef>
              <c:f>'HAI - C.Diff'!$J$10</c:f>
              <c:strCache>
                <c:ptCount val="1"/>
                <c:pt idx="0">
                  <c:v>Extended Baseline Median</c:v>
                </c:pt>
              </c:strCache>
            </c:strRef>
          </c:tx>
          <c:spPr>
            <a:ln w="25400">
              <a:solidFill>
                <a:schemeClr val="tx1"/>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C.Diff'!$J$11:$J$27</c:f>
              <c:numCache>
                <c:formatCode>General</c:formatCode>
                <c:ptCount val="17"/>
                <c:pt idx="11">
                  <c:v>35.5</c:v>
                </c:pt>
                <c:pt idx="12">
                  <c:v>35.5</c:v>
                </c:pt>
                <c:pt idx="13">
                  <c:v>35.5</c:v>
                </c:pt>
                <c:pt idx="14">
                  <c:v>35.5</c:v>
                </c:pt>
                <c:pt idx="15">
                  <c:v>35.5</c:v>
                </c:pt>
                <c:pt idx="16">
                  <c:v>35.5</c:v>
                </c:pt>
              </c:numCache>
            </c:numRef>
          </c:val>
          <c:smooth val="0"/>
        </c:ser>
        <c:ser>
          <c:idx val="2"/>
          <c:order val="3"/>
          <c:tx>
            <c:strRef>
              <c:f>'HAI - C.Diff'!$K$10</c:f>
              <c:strCache>
                <c:ptCount val="1"/>
                <c:pt idx="0">
                  <c:v>New Median</c:v>
                </c:pt>
              </c:strCache>
            </c:strRef>
          </c:tx>
          <c:spPr>
            <a:ln w="25400">
              <a:solidFill>
                <a:srgbClr val="E6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C.Diff'!$K$11:$K$82</c:f>
              <c:numCache>
                <c:formatCode>General</c:formatCode>
                <c:ptCount val="72"/>
                <c:pt idx="17">
                  <c:v>29.5</c:v>
                </c:pt>
                <c:pt idx="18">
                  <c:v>29.5</c:v>
                </c:pt>
                <c:pt idx="19">
                  <c:v>29.5</c:v>
                </c:pt>
                <c:pt idx="20">
                  <c:v>29.5</c:v>
                </c:pt>
                <c:pt idx="21">
                  <c:v>29.5</c:v>
                </c:pt>
                <c:pt idx="22">
                  <c:v>29.5</c:v>
                </c:pt>
                <c:pt idx="23">
                  <c:v>29.5</c:v>
                </c:pt>
                <c:pt idx="24">
                  <c:v>29.5</c:v>
                </c:pt>
                <c:pt idx="25">
                  <c:v>29.5</c:v>
                </c:pt>
                <c:pt idx="26">
                  <c:v>29.5</c:v>
                </c:pt>
                <c:pt idx="27">
                  <c:v>29.5</c:v>
                </c:pt>
                <c:pt idx="28">
                  <c:v>29.5</c:v>
                </c:pt>
              </c:numCache>
            </c:numRef>
          </c:val>
          <c:smooth val="0"/>
        </c:ser>
        <c:ser>
          <c:idx val="5"/>
          <c:order val="4"/>
          <c:tx>
            <c:strRef>
              <c:f>'HAI - C.Diff'!$L$10</c:f>
              <c:strCache>
                <c:ptCount val="1"/>
                <c:pt idx="0">
                  <c:v>Extended New Median</c:v>
                </c:pt>
              </c:strCache>
            </c:strRef>
          </c:tx>
          <c:spPr>
            <a:ln w="25400">
              <a:solidFill>
                <a:srgbClr val="E69F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C.Diff'!$L$11:$L$82</c:f>
              <c:numCache>
                <c:formatCode>General</c:formatCode>
                <c:ptCount val="72"/>
                <c:pt idx="28">
                  <c:v>29.5</c:v>
                </c:pt>
                <c:pt idx="29">
                  <c:v>29.5</c:v>
                </c:pt>
                <c:pt idx="30">
                  <c:v>29.5</c:v>
                </c:pt>
              </c:numCache>
            </c:numRef>
          </c:val>
          <c:smooth val="0"/>
        </c:ser>
        <c:ser>
          <c:idx val="3"/>
          <c:order val="5"/>
          <c:tx>
            <c:strRef>
              <c:f>'HAI - C.Diff'!$M$10</c:f>
              <c:strCache>
                <c:ptCount val="1"/>
                <c:pt idx="0">
                  <c:v>New Median 2</c:v>
                </c:pt>
              </c:strCache>
            </c:strRef>
          </c:tx>
          <c:spPr>
            <a:ln w="25400">
              <a:solidFill>
                <a:srgbClr val="E39F00"/>
              </a:solidFill>
              <a:prstDash val="solid"/>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C.Diff'!$M$11:$M$82</c:f>
              <c:numCache>
                <c:formatCode>General</c:formatCode>
                <c:ptCount val="72"/>
                <c:pt idx="31">
                  <c:v>21</c:v>
                </c:pt>
                <c:pt idx="32">
                  <c:v>21</c:v>
                </c:pt>
                <c:pt idx="33">
                  <c:v>21</c:v>
                </c:pt>
                <c:pt idx="34">
                  <c:v>21</c:v>
                </c:pt>
                <c:pt idx="35">
                  <c:v>21</c:v>
                </c:pt>
                <c:pt idx="36">
                  <c:v>21</c:v>
                </c:pt>
                <c:pt idx="37">
                  <c:v>21</c:v>
                </c:pt>
                <c:pt idx="38">
                  <c:v>21</c:v>
                </c:pt>
                <c:pt idx="39">
                  <c:v>21</c:v>
                </c:pt>
                <c:pt idx="40">
                  <c:v>21</c:v>
                </c:pt>
                <c:pt idx="41">
                  <c:v>21</c:v>
                </c:pt>
                <c:pt idx="42">
                  <c:v>21</c:v>
                </c:pt>
              </c:numCache>
            </c:numRef>
          </c:val>
          <c:smooth val="0"/>
        </c:ser>
        <c:ser>
          <c:idx val="6"/>
          <c:order val="6"/>
          <c:tx>
            <c:strRef>
              <c:f>'HAI - C.Diff'!$N$10</c:f>
              <c:strCache>
                <c:ptCount val="1"/>
                <c:pt idx="0">
                  <c:v>Extended New Median 2</c:v>
                </c:pt>
              </c:strCache>
            </c:strRef>
          </c:tx>
          <c:spPr>
            <a:ln w="25400">
              <a:solidFill>
                <a:srgbClr val="E39F00"/>
              </a:solidFill>
              <a:prstDash val="dash"/>
            </a:ln>
          </c:spPr>
          <c:marker>
            <c:symbol val="none"/>
          </c:marker>
          <c:cat>
            <c:numRef>
              <c:f>'HAI - C.Diff'!$A$11:$A$82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42584</c:v>
                </c:pt>
                <c:pt idx="41">
                  <c:v>42616</c:v>
                </c:pt>
                <c:pt idx="42">
                  <c:v>42648</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C.Diff'!$N$11:$N$82</c:f>
              <c:numCache>
                <c:formatCode>General</c:formatCode>
                <c:ptCount val="72"/>
                <c:pt idx="42">
                  <c:v>21</c:v>
                </c:pt>
                <c:pt idx="43">
                  <c:v>21</c:v>
                </c:pt>
                <c:pt idx="44">
                  <c:v>21</c:v>
                </c:pt>
                <c:pt idx="45">
                  <c:v>21</c:v>
                </c:pt>
                <c:pt idx="46">
                  <c:v>21</c:v>
                </c:pt>
                <c:pt idx="47">
                  <c:v>21</c:v>
                </c:pt>
                <c:pt idx="48">
                  <c:v>21</c:v>
                </c:pt>
                <c:pt idx="49">
                  <c:v>21</c:v>
                </c:pt>
                <c:pt idx="50">
                  <c:v>21</c:v>
                </c:pt>
                <c:pt idx="51">
                  <c:v>21</c:v>
                </c:pt>
                <c:pt idx="52">
                  <c:v>21</c:v>
                </c:pt>
              </c:numCache>
            </c:numRef>
          </c:val>
          <c:smooth val="0"/>
        </c:ser>
        <c:dLbls>
          <c:showLegendKey val="0"/>
          <c:showVal val="0"/>
          <c:showCatName val="0"/>
          <c:showSerName val="0"/>
          <c:showPercent val="0"/>
          <c:showBubbleSize val="0"/>
        </c:dLbls>
        <c:marker val="1"/>
        <c:smooth val="0"/>
        <c:axId val="131390464"/>
        <c:axId val="141358720"/>
      </c:lineChart>
      <c:dateAx>
        <c:axId val="131390464"/>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141358720"/>
        <c:crosses val="autoZero"/>
        <c:auto val="1"/>
        <c:lblOffset val="100"/>
        <c:baseTimeUnit val="months"/>
        <c:majorUnit val="2"/>
        <c:majorTimeUnit val="months"/>
        <c:minorUnit val="1"/>
        <c:minorTimeUnit val="months"/>
      </c:dateAx>
      <c:valAx>
        <c:axId val="141358720"/>
        <c:scaling>
          <c:orientation val="minMax"/>
          <c:min val="0"/>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CDI</a:t>
                </a:r>
              </a:p>
            </c:rich>
          </c:tx>
          <c:layout>
            <c:manualLayout>
              <c:xMode val="edge"/>
              <c:yMode val="edge"/>
              <c:x val="1.2949731889908481E-2"/>
              <c:y val="0.25555555555555559"/>
            </c:manualLayout>
          </c:layout>
          <c:overlay val="0"/>
          <c:spPr>
            <a:noFill/>
            <a:ln w="25400">
              <a:noFill/>
            </a:ln>
          </c:spPr>
        </c:title>
        <c:numFmt formatCode="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31390464"/>
        <c:crosses val="autoZero"/>
        <c:crossBetween val="between"/>
      </c:valAx>
      <c:spPr>
        <a:solidFill>
          <a:srgbClr val="FFFFFF"/>
        </a:solidFill>
        <a:ln w="12700">
          <a:solidFill>
            <a:srgbClr val="808080"/>
          </a:solidFill>
          <a:prstDash val="solid"/>
        </a:ln>
      </c:spPr>
    </c:plotArea>
    <c:legend>
      <c:legendPos val="r"/>
      <c:layout>
        <c:manualLayout>
          <c:xMode val="edge"/>
          <c:yMode val="edge"/>
          <c:x val="6.6152149944873314E-3"/>
          <c:y val="0.89682539682539764"/>
          <c:w val="0.97656743844174931"/>
          <c:h val="8.2010582010582006E-2"/>
        </c:manualLayout>
      </c:layout>
      <c:overlay val="0"/>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30787037038476E-2"/>
          <c:y val="6.1904761904761914E-2"/>
          <c:w val="0.90813113425925918"/>
          <c:h val="0.71428571428571463"/>
        </c:manualLayout>
      </c:layout>
      <c:lineChart>
        <c:grouping val="standard"/>
        <c:varyColors val="0"/>
        <c:ser>
          <c:idx val="0"/>
          <c:order val="0"/>
          <c:tx>
            <c:strRef>
              <c:f>'HAI - SAB'!$B$10</c:f>
              <c:strCache>
                <c:ptCount val="1"/>
                <c:pt idx="0">
                  <c:v>Patients</c:v>
                </c:pt>
              </c:strCache>
            </c:strRef>
          </c:tx>
          <c:spPr>
            <a:ln w="25400">
              <a:solidFill>
                <a:srgbClr val="0070C0"/>
              </a:solidFill>
              <a:prstDash val="solid"/>
            </a:ln>
          </c:spPr>
          <c:marker>
            <c:symbol val="circle"/>
            <c:size val="4"/>
            <c:spPr>
              <a:solidFill>
                <a:srgbClr val="0070C0"/>
              </a:solidFill>
              <a:ln w="25400">
                <a:solidFill>
                  <a:srgbClr val="0070C0"/>
                </a:solidFill>
                <a:prstDash val="solid"/>
              </a:ln>
            </c:spPr>
          </c:marker>
          <c:dPt>
            <c:idx val="14"/>
            <c:bubble3D val="0"/>
          </c:dPt>
          <c:dPt>
            <c:idx val="15"/>
            <c:bubble3D val="0"/>
            <c:spPr>
              <a:ln w="25400">
                <a:solidFill>
                  <a:srgbClr val="00B050"/>
                </a:solidFill>
                <a:prstDash val="solid"/>
              </a:ln>
            </c:spPr>
          </c:dPt>
          <c:dPt>
            <c:idx val="16"/>
            <c:bubble3D val="0"/>
            <c:spPr>
              <a:ln w="25400">
                <a:solidFill>
                  <a:srgbClr val="00B050"/>
                </a:solidFill>
                <a:prstDash val="solid"/>
              </a:ln>
            </c:spPr>
          </c:dPt>
          <c:dPt>
            <c:idx val="17"/>
            <c:bubble3D val="0"/>
            <c:spPr>
              <a:ln w="25400">
                <a:solidFill>
                  <a:srgbClr val="00B050"/>
                </a:solidFill>
                <a:prstDash val="solid"/>
              </a:ln>
            </c:spPr>
          </c:dPt>
          <c:dPt>
            <c:idx val="18"/>
            <c:bubble3D val="0"/>
            <c:spPr>
              <a:ln w="25400">
                <a:solidFill>
                  <a:srgbClr val="00B050"/>
                </a:solidFill>
                <a:prstDash val="solid"/>
              </a:ln>
            </c:spPr>
          </c:dPt>
          <c:dPt>
            <c:idx val="19"/>
            <c:bubble3D val="0"/>
            <c:spPr>
              <a:ln w="25400">
                <a:solidFill>
                  <a:srgbClr val="00B050"/>
                </a:solidFill>
                <a:prstDash val="solid"/>
              </a:ln>
            </c:spPr>
          </c:dPt>
          <c:dPt>
            <c:idx val="24"/>
            <c:bubble3D val="0"/>
          </c:dPt>
          <c:dPt>
            <c:idx val="27"/>
            <c:bubble3D val="0"/>
          </c:dPt>
          <c:dPt>
            <c:idx val="28"/>
            <c:bubble3D val="0"/>
            <c:spPr>
              <a:ln w="25400">
                <a:solidFill>
                  <a:srgbClr val="00B050"/>
                </a:solidFill>
                <a:prstDash val="solid"/>
              </a:ln>
            </c:spPr>
          </c:dPt>
          <c:dPt>
            <c:idx val="29"/>
            <c:bubble3D val="0"/>
            <c:spPr>
              <a:ln w="25400">
                <a:solidFill>
                  <a:srgbClr val="00B050"/>
                </a:solidFill>
                <a:prstDash val="solid"/>
              </a:ln>
            </c:spPr>
          </c:dPt>
          <c:dPt>
            <c:idx val="30"/>
            <c:bubble3D val="0"/>
            <c:spPr>
              <a:ln w="25400">
                <a:solidFill>
                  <a:srgbClr val="00B050"/>
                </a:solidFill>
                <a:prstDash val="solid"/>
              </a:ln>
            </c:spPr>
          </c:dPt>
          <c:dPt>
            <c:idx val="31"/>
            <c:bubble3D val="0"/>
            <c:spPr>
              <a:ln w="25400">
                <a:solidFill>
                  <a:srgbClr val="00B050"/>
                </a:solidFill>
                <a:prstDash val="solid"/>
              </a:ln>
            </c:spPr>
          </c:dPt>
          <c:dPt>
            <c:idx val="32"/>
            <c:bubble3D val="0"/>
            <c:spPr>
              <a:ln w="25400">
                <a:solidFill>
                  <a:srgbClr val="00B050"/>
                </a:solidFill>
                <a:prstDash val="solid"/>
              </a:ln>
            </c:spPr>
          </c:dPt>
          <c:dPt>
            <c:idx val="33"/>
            <c:bubble3D val="0"/>
            <c:spPr>
              <a:ln w="25400">
                <a:solidFill>
                  <a:srgbClr val="00B050"/>
                </a:solidFill>
                <a:prstDash val="solid"/>
              </a:ln>
            </c:spPr>
          </c:dPt>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SAB'!$B$11:$B$82</c:f>
              <c:numCache>
                <c:formatCode>General</c:formatCode>
                <c:ptCount val="72"/>
                <c:pt idx="0">
                  <c:v>19</c:v>
                </c:pt>
                <c:pt idx="1">
                  <c:v>18</c:v>
                </c:pt>
                <c:pt idx="2">
                  <c:v>17</c:v>
                </c:pt>
                <c:pt idx="3">
                  <c:v>21</c:v>
                </c:pt>
                <c:pt idx="4">
                  <c:v>18</c:v>
                </c:pt>
                <c:pt idx="5">
                  <c:v>20</c:v>
                </c:pt>
                <c:pt idx="6">
                  <c:v>25</c:v>
                </c:pt>
                <c:pt idx="7">
                  <c:v>24</c:v>
                </c:pt>
                <c:pt idx="8">
                  <c:v>21</c:v>
                </c:pt>
                <c:pt idx="9">
                  <c:v>16</c:v>
                </c:pt>
                <c:pt idx="10">
                  <c:v>21</c:v>
                </c:pt>
                <c:pt idx="11">
                  <c:v>23</c:v>
                </c:pt>
                <c:pt idx="12">
                  <c:v>17</c:v>
                </c:pt>
                <c:pt idx="13">
                  <c:v>10</c:v>
                </c:pt>
                <c:pt idx="14">
                  <c:v>24</c:v>
                </c:pt>
                <c:pt idx="15">
                  <c:v>22</c:v>
                </c:pt>
                <c:pt idx="16">
                  <c:v>26</c:v>
                </c:pt>
                <c:pt idx="17">
                  <c:v>24</c:v>
                </c:pt>
                <c:pt idx="18">
                  <c:v>29</c:v>
                </c:pt>
                <c:pt idx="19">
                  <c:v>27</c:v>
                </c:pt>
                <c:pt idx="20">
                  <c:v>19</c:v>
                </c:pt>
                <c:pt idx="21">
                  <c:v>28</c:v>
                </c:pt>
                <c:pt idx="22">
                  <c:v>27</c:v>
                </c:pt>
                <c:pt idx="23">
                  <c:v>29</c:v>
                </c:pt>
                <c:pt idx="24">
                  <c:v>35</c:v>
                </c:pt>
                <c:pt idx="25">
                  <c:v>22</c:v>
                </c:pt>
                <c:pt idx="26">
                  <c:v>23</c:v>
                </c:pt>
                <c:pt idx="27">
                  <c:v>17</c:v>
                </c:pt>
                <c:pt idx="28">
                  <c:v>16</c:v>
                </c:pt>
                <c:pt idx="29">
                  <c:v>18</c:v>
                </c:pt>
                <c:pt idx="30">
                  <c:v>8</c:v>
                </c:pt>
                <c:pt idx="31">
                  <c:v>16</c:v>
                </c:pt>
                <c:pt idx="32">
                  <c:v>20</c:v>
                </c:pt>
                <c:pt idx="33">
                  <c:v>20</c:v>
                </c:pt>
                <c:pt idx="34">
                  <c:v>23</c:v>
                </c:pt>
                <c:pt idx="35">
                  <c:v>25</c:v>
                </c:pt>
                <c:pt idx="36">
                  <c:v>13</c:v>
                </c:pt>
                <c:pt idx="37">
                  <c:v>22</c:v>
                </c:pt>
                <c:pt idx="38">
                  <c:v>26</c:v>
                </c:pt>
                <c:pt idx="39">
                  <c:v>20</c:v>
                </c:pt>
                <c:pt idx="40">
                  <c:v>30</c:v>
                </c:pt>
                <c:pt idx="41">
                  <c:v>13</c:v>
                </c:pt>
                <c:pt idx="42">
                  <c:v>23</c:v>
                </c:pt>
                <c:pt idx="43">
                  <c:v>14</c:v>
                </c:pt>
                <c:pt idx="44">
                  <c:v>22</c:v>
                </c:pt>
                <c:pt idx="45">
                  <c:v>18</c:v>
                </c:pt>
                <c:pt idx="46">
                  <c:v>19</c:v>
                </c:pt>
                <c:pt idx="47">
                  <c:v>20</c:v>
                </c:pt>
                <c:pt idx="48">
                  <c:v>23</c:v>
                </c:pt>
                <c:pt idx="49">
                  <c:v>11</c:v>
                </c:pt>
                <c:pt idx="50">
                  <c:v>15</c:v>
                </c:pt>
                <c:pt idx="51">
                  <c:v>9</c:v>
                </c:pt>
                <c:pt idx="52">
                  <c:v>25</c:v>
                </c:pt>
              </c:numCache>
            </c:numRef>
          </c:val>
          <c:smooth val="0"/>
        </c:ser>
        <c:ser>
          <c:idx val="1"/>
          <c:order val="1"/>
          <c:tx>
            <c:strRef>
              <c:f>'HAI - SAB'!$I$10</c:f>
              <c:strCache>
                <c:ptCount val="1"/>
                <c:pt idx="0">
                  <c:v>Baseline Median</c:v>
                </c:pt>
              </c:strCache>
            </c:strRef>
          </c:tx>
          <c:spPr>
            <a:ln w="25400">
              <a:solidFill>
                <a:schemeClr val="tx1"/>
              </a:solidFill>
              <a:prstDash val="solid"/>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SAB'!$I$11:$I$82</c:f>
              <c:numCache>
                <c:formatCode>General</c:formatCode>
                <c:ptCount val="7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mooth val="0"/>
        </c:ser>
        <c:ser>
          <c:idx val="2"/>
          <c:order val="2"/>
          <c:tx>
            <c:strRef>
              <c:f>'HAI - SAB'!$J$10</c:f>
              <c:strCache>
                <c:ptCount val="1"/>
                <c:pt idx="0">
                  <c:v>Extended Baseline Median</c:v>
                </c:pt>
              </c:strCache>
            </c:strRef>
          </c:tx>
          <c:spPr>
            <a:ln w="25400">
              <a:solidFill>
                <a:prstClr val="black"/>
              </a:solidFill>
              <a:prstDash val="dash"/>
            </a:ln>
          </c:spPr>
          <c:marker>
            <c:symbol val="none"/>
          </c:marker>
          <c:cat>
            <c:numRef>
              <c:f>'HAI - SAB'!$A$11:$A$82</c:f>
              <c:numCache>
                <c:formatCode>mmm\ yy</c:formatCode>
                <c:ptCount val="72"/>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pt idx="13">
                  <c:v>41760</c:v>
                </c:pt>
                <c:pt idx="14">
                  <c:v>41791</c:v>
                </c:pt>
                <c:pt idx="15">
                  <c:v>41821</c:v>
                </c:pt>
                <c:pt idx="16">
                  <c:v>41852</c:v>
                </c:pt>
                <c:pt idx="17">
                  <c:v>41883</c:v>
                </c:pt>
                <c:pt idx="18">
                  <c:v>41913</c:v>
                </c:pt>
                <c:pt idx="19">
                  <c:v>41944</c:v>
                </c:pt>
                <c:pt idx="20">
                  <c:v>41974</c:v>
                </c:pt>
                <c:pt idx="21">
                  <c:v>42005</c:v>
                </c:pt>
                <c:pt idx="22">
                  <c:v>42036</c:v>
                </c:pt>
                <c:pt idx="23">
                  <c:v>42064</c:v>
                </c:pt>
                <c:pt idx="24">
                  <c:v>42095</c:v>
                </c:pt>
                <c:pt idx="25">
                  <c:v>42125</c:v>
                </c:pt>
                <c:pt idx="26">
                  <c:v>42156</c:v>
                </c:pt>
                <c:pt idx="27">
                  <c:v>42186</c:v>
                </c:pt>
                <c:pt idx="28">
                  <c:v>42217</c:v>
                </c:pt>
                <c:pt idx="29">
                  <c:v>42248</c:v>
                </c:pt>
                <c:pt idx="30">
                  <c:v>42278</c:v>
                </c:pt>
                <c:pt idx="31">
                  <c:v>42309</c:v>
                </c:pt>
                <c:pt idx="32">
                  <c:v>42339</c:v>
                </c:pt>
                <c:pt idx="33">
                  <c:v>42370</c:v>
                </c:pt>
                <c:pt idx="34">
                  <c:v>42401</c:v>
                </c:pt>
                <c:pt idx="35">
                  <c:v>42430</c:v>
                </c:pt>
                <c:pt idx="36">
                  <c:v>42461</c:v>
                </c:pt>
                <c:pt idx="37">
                  <c:v>42491</c:v>
                </c:pt>
                <c:pt idx="38">
                  <c:v>42522</c:v>
                </c:pt>
                <c:pt idx="39">
                  <c:v>42552</c:v>
                </c:pt>
                <c:pt idx="40">
                  <c:v>42583</c:v>
                </c:pt>
                <c:pt idx="41">
                  <c:v>42614</c:v>
                </c:pt>
                <c:pt idx="42">
                  <c:v>42644</c:v>
                </c:pt>
                <c:pt idx="43">
                  <c:v>42675</c:v>
                </c:pt>
                <c:pt idx="44">
                  <c:v>42705</c:v>
                </c:pt>
                <c:pt idx="45">
                  <c:v>42736</c:v>
                </c:pt>
                <c:pt idx="46">
                  <c:v>42767</c:v>
                </c:pt>
                <c:pt idx="47">
                  <c:v>42795</c:v>
                </c:pt>
                <c:pt idx="48">
                  <c:v>42826</c:v>
                </c:pt>
                <c:pt idx="49">
                  <c:v>42856</c:v>
                </c:pt>
                <c:pt idx="50">
                  <c:v>42887</c:v>
                </c:pt>
                <c:pt idx="51">
                  <c:v>42917</c:v>
                </c:pt>
                <c:pt idx="52">
                  <c:v>42948</c:v>
                </c:pt>
              </c:numCache>
            </c:numRef>
          </c:cat>
          <c:val>
            <c:numRef>
              <c:f>'HAI - SAB'!$J$11:$J$82</c:f>
              <c:numCache>
                <c:formatCode>General</c:formatCode>
                <c:ptCount val="72"/>
                <c:pt idx="11">
                  <c:v>20.5</c:v>
                </c:pt>
                <c:pt idx="12">
                  <c:v>20.5</c:v>
                </c:pt>
                <c:pt idx="13">
                  <c:v>20.5</c:v>
                </c:pt>
                <c:pt idx="14">
                  <c:v>20.5</c:v>
                </c:pt>
                <c:pt idx="15">
                  <c:v>20.5</c:v>
                </c:pt>
                <c:pt idx="16">
                  <c:v>20.5</c:v>
                </c:pt>
                <c:pt idx="17">
                  <c:v>20.5</c:v>
                </c:pt>
                <c:pt idx="18">
                  <c:v>20.5</c:v>
                </c:pt>
                <c:pt idx="19">
                  <c:v>20.5</c:v>
                </c:pt>
                <c:pt idx="20">
                  <c:v>20.5</c:v>
                </c:pt>
                <c:pt idx="21">
                  <c:v>20.5</c:v>
                </c:pt>
                <c:pt idx="22">
                  <c:v>20.5</c:v>
                </c:pt>
                <c:pt idx="23">
                  <c:v>20.5</c:v>
                </c:pt>
                <c:pt idx="24">
                  <c:v>20.5</c:v>
                </c:pt>
                <c:pt idx="25">
                  <c:v>20.5</c:v>
                </c:pt>
                <c:pt idx="26">
                  <c:v>20.5</c:v>
                </c:pt>
                <c:pt idx="27">
                  <c:v>20.5</c:v>
                </c:pt>
                <c:pt idx="28">
                  <c:v>20.5</c:v>
                </c:pt>
                <c:pt idx="29">
                  <c:v>20.5</c:v>
                </c:pt>
                <c:pt idx="30">
                  <c:v>20.5</c:v>
                </c:pt>
                <c:pt idx="31">
                  <c:v>20.5</c:v>
                </c:pt>
                <c:pt idx="32">
                  <c:v>20.5</c:v>
                </c:pt>
                <c:pt idx="33">
                  <c:v>20.5</c:v>
                </c:pt>
                <c:pt idx="34">
                  <c:v>20.5</c:v>
                </c:pt>
                <c:pt idx="35">
                  <c:v>20.5</c:v>
                </c:pt>
                <c:pt idx="36">
                  <c:v>20.5</c:v>
                </c:pt>
                <c:pt idx="37">
                  <c:v>20.5</c:v>
                </c:pt>
                <c:pt idx="38">
                  <c:v>20.5</c:v>
                </c:pt>
                <c:pt idx="39">
                  <c:v>20.5</c:v>
                </c:pt>
                <c:pt idx="40">
                  <c:v>20.5</c:v>
                </c:pt>
                <c:pt idx="41">
                  <c:v>20.5</c:v>
                </c:pt>
                <c:pt idx="42">
                  <c:v>20.5</c:v>
                </c:pt>
                <c:pt idx="43">
                  <c:v>20.5</c:v>
                </c:pt>
                <c:pt idx="44">
                  <c:v>20.5</c:v>
                </c:pt>
                <c:pt idx="45">
                  <c:v>20.5</c:v>
                </c:pt>
                <c:pt idx="46">
                  <c:v>20.5</c:v>
                </c:pt>
                <c:pt idx="47">
                  <c:v>20.5</c:v>
                </c:pt>
                <c:pt idx="48">
                  <c:v>20.5</c:v>
                </c:pt>
                <c:pt idx="49">
                  <c:v>20.5</c:v>
                </c:pt>
                <c:pt idx="50">
                  <c:v>20.5</c:v>
                </c:pt>
                <c:pt idx="51">
                  <c:v>20.5</c:v>
                </c:pt>
                <c:pt idx="52">
                  <c:v>20.5</c:v>
                </c:pt>
              </c:numCache>
            </c:numRef>
          </c:val>
          <c:smooth val="0"/>
        </c:ser>
        <c:dLbls>
          <c:showLegendKey val="0"/>
          <c:showVal val="0"/>
          <c:showCatName val="0"/>
          <c:showSerName val="0"/>
          <c:showPercent val="0"/>
          <c:showBubbleSize val="0"/>
        </c:dLbls>
        <c:marker val="1"/>
        <c:smooth val="0"/>
        <c:axId val="131387904"/>
        <c:axId val="130411904"/>
      </c:lineChart>
      <c:dateAx>
        <c:axId val="131387904"/>
        <c:scaling>
          <c:orientation val="minMax"/>
        </c:scaling>
        <c:delete val="0"/>
        <c:axPos val="b"/>
        <c:numFmt formatCode="mmm\ yy" sourceLinked="0"/>
        <c:majorTickMark val="out"/>
        <c:minorTickMark val="none"/>
        <c:tickLblPos val="nextTo"/>
        <c:spPr>
          <a:ln w="3175">
            <a:solidFill>
              <a:srgbClr val="333333"/>
            </a:solidFill>
            <a:prstDash val="solid"/>
          </a:ln>
        </c:spPr>
        <c:txPr>
          <a:bodyPr rot="-5400000" vert="horz"/>
          <a:lstStyle/>
          <a:p>
            <a:pPr>
              <a:defRPr sz="800" b="0" i="0" u="none" strike="noStrike" baseline="0">
                <a:solidFill>
                  <a:srgbClr val="333333"/>
                </a:solidFill>
                <a:latin typeface="Arial"/>
                <a:ea typeface="Arial"/>
                <a:cs typeface="Arial"/>
              </a:defRPr>
            </a:pPr>
            <a:endParaRPr lang="en-US"/>
          </a:p>
        </c:txPr>
        <c:crossAx val="130411904"/>
        <c:crosses val="autoZero"/>
        <c:auto val="1"/>
        <c:lblOffset val="100"/>
        <c:baseTimeUnit val="months"/>
        <c:majorUnit val="2"/>
        <c:majorTimeUnit val="months"/>
        <c:minorUnit val="1"/>
        <c:minorTimeUnit val="months"/>
      </c:dateAx>
      <c:valAx>
        <c:axId val="130411904"/>
        <c:scaling>
          <c:orientation val="minMax"/>
          <c:min val="0"/>
        </c:scaling>
        <c:delete val="0"/>
        <c:axPos val="l"/>
        <c:majorGridlines>
          <c:spPr>
            <a:ln w="3175">
              <a:solidFill>
                <a:schemeClr val="bg1">
                  <a:lumMod val="6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en-GB"/>
                  <a:t>Number of Episodes of SAB</a:t>
                </a:r>
              </a:p>
            </c:rich>
          </c:tx>
          <c:layout>
            <c:manualLayout>
              <c:xMode val="edge"/>
              <c:yMode val="edge"/>
              <c:x val="1.2949731889908481E-2"/>
              <c:y val="0.24920634920635196"/>
            </c:manualLayout>
          </c:layout>
          <c:overlay val="0"/>
          <c:spPr>
            <a:noFill/>
            <a:ln w="25400">
              <a:noFill/>
            </a:ln>
          </c:spPr>
        </c:title>
        <c:numFmt formatCode="0" sourceLinked="0"/>
        <c:majorTickMark val="out"/>
        <c:minorTickMark val="none"/>
        <c:tickLblPos val="nextTo"/>
        <c:spPr>
          <a:ln w="3175">
            <a:solidFill>
              <a:srgbClr val="333333"/>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31387904"/>
        <c:crosses val="autoZero"/>
        <c:crossBetween val="between"/>
      </c:valAx>
      <c:spPr>
        <a:solidFill>
          <a:srgbClr val="FFFFFF"/>
        </a:solidFill>
        <a:ln w="12700">
          <a:solidFill>
            <a:srgbClr val="808080"/>
          </a:solidFill>
          <a:prstDash val="solid"/>
        </a:ln>
      </c:spPr>
    </c:plotArea>
    <c:legend>
      <c:legendPos val="r"/>
      <c:layout>
        <c:manualLayout>
          <c:xMode val="edge"/>
          <c:yMode val="edge"/>
          <c:x val="5.1451672179345827E-3"/>
          <c:y val="0.9003527336860665"/>
          <c:w val="0.98538772510105643"/>
          <c:h val="7.8483245149911923E-2"/>
        </c:manualLayout>
      </c:layout>
      <c:overlay val="0"/>
      <c:spPr>
        <a:noFill/>
        <a:ln w="127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42706913565504E-2"/>
          <c:y val="4.5431821022372233E-2"/>
          <c:w val="0.91705098997657819"/>
          <c:h val="0.76000861111112283"/>
        </c:manualLayout>
      </c:layout>
      <c:lineChart>
        <c:grouping val="standard"/>
        <c:varyColors val="0"/>
        <c:ser>
          <c:idx val="4"/>
          <c:order val="0"/>
          <c:tx>
            <c:strRef>
              <c:f>'Inpatient - TTG'!$A$19</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TTG'!$B$29:$AW$29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'Inpatient - TTG'!$B$19:$AW$19</c:f>
              <c:numCache>
                <c:formatCode>#,##0</c:formatCode>
                <c:ptCount val="48"/>
                <c:pt idx="0">
                  <c:v>500</c:v>
                </c:pt>
                <c:pt idx="1">
                  <c:v>476</c:v>
                </c:pt>
                <c:pt idx="2">
                  <c:v>349</c:v>
                </c:pt>
                <c:pt idx="3">
                  <c:v>347</c:v>
                </c:pt>
                <c:pt idx="4">
                  <c:v>398</c:v>
                </c:pt>
                <c:pt idx="5">
                  <c:v>345</c:v>
                </c:pt>
                <c:pt idx="6">
                  <c:v>277</c:v>
                </c:pt>
                <c:pt idx="7">
                  <c:v>193</c:v>
                </c:pt>
                <c:pt idx="8">
                  <c:v>127</c:v>
                </c:pt>
                <c:pt idx="9">
                  <c:v>161</c:v>
                </c:pt>
                <c:pt idx="10">
                  <c:v>221</c:v>
                </c:pt>
                <c:pt idx="11">
                  <c:v>289</c:v>
                </c:pt>
                <c:pt idx="12">
                  <c:v>404</c:v>
                </c:pt>
                <c:pt idx="13">
                  <c:v>416</c:v>
                </c:pt>
                <c:pt idx="14">
                  <c:v>399</c:v>
                </c:pt>
                <c:pt idx="15">
                  <c:v>463</c:v>
                </c:pt>
                <c:pt idx="16">
                  <c:v>583</c:v>
                </c:pt>
                <c:pt idx="17">
                  <c:v>791</c:v>
                </c:pt>
                <c:pt idx="18">
                  <c:v>910</c:v>
                </c:pt>
                <c:pt idx="19">
                  <c:v>1114</c:v>
                </c:pt>
                <c:pt idx="20">
                  <c:v>1318</c:v>
                </c:pt>
                <c:pt idx="21">
                  <c:v>1434</c:v>
                </c:pt>
                <c:pt idx="22">
                  <c:v>1497</c:v>
                </c:pt>
                <c:pt idx="23">
                  <c:v>1362</c:v>
                </c:pt>
                <c:pt idx="24">
                  <c:v>1500</c:v>
                </c:pt>
                <c:pt idx="25">
                  <c:v>1447</c:v>
                </c:pt>
                <c:pt idx="26">
                  <c:v>1361</c:v>
                </c:pt>
                <c:pt idx="27">
                  <c:v>1280</c:v>
                </c:pt>
                <c:pt idx="28">
                  <c:v>1198</c:v>
                </c:pt>
              </c:numCache>
            </c:numRef>
          </c:val>
          <c:smooth val="0"/>
        </c:ser>
        <c:ser>
          <c:idx val="0"/>
          <c:order val="1"/>
          <c:tx>
            <c:strRef>
              <c:f>'Inpatient - TTG'!$A$20</c:f>
              <c:strCache>
                <c:ptCount val="1"/>
                <c:pt idx="0">
                  <c:v>Target (max)</c:v>
                </c:pt>
              </c:strCache>
            </c:strRef>
          </c:tx>
          <c:spPr>
            <a:ln w="25400">
              <a:solidFill>
                <a:srgbClr val="FF0000"/>
              </a:solidFill>
              <a:prstDash val="dash"/>
            </a:ln>
          </c:spPr>
          <c:marker>
            <c:symbol val="none"/>
          </c:marker>
          <c:cat>
            <c:numRef>
              <c:f>'Inpatient - TTG'!$B$29:$AW$29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'Inpatient - TTG'!$B$20:$AW$20</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1967872"/>
        <c:axId val="130414208"/>
      </c:lineChart>
      <c:dateAx>
        <c:axId val="14196787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30414208"/>
        <c:crosses val="autoZero"/>
        <c:auto val="1"/>
        <c:lblOffset val="100"/>
        <c:baseTimeUnit val="months"/>
        <c:majorUnit val="1"/>
        <c:majorTimeUnit val="months"/>
      </c:dateAx>
      <c:valAx>
        <c:axId val="130414208"/>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1967872"/>
        <c:crosses val="autoZero"/>
        <c:crossBetween val="between"/>
        <c:majorUnit val="100"/>
      </c:valAx>
    </c:plotArea>
    <c:legend>
      <c:legendPos val="r"/>
      <c:layout>
        <c:manualLayout>
          <c:xMode val="edge"/>
          <c:yMode val="edge"/>
          <c:x val="7.4237412715913484E-2"/>
          <c:y val="0.94973544973544977"/>
          <c:w val="0.87798603454612911"/>
          <c:h val="3.4391534391531538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75505902777779521"/>
        </c:manualLayout>
      </c:layout>
      <c:lineChart>
        <c:grouping val="standard"/>
        <c:varyColors val="0"/>
        <c:ser>
          <c:idx val="4"/>
          <c:order val="0"/>
          <c:tx>
            <c:strRef>
              <c:f>'Inpatient - TTG'!$A$26</c:f>
              <c:strCache>
                <c:ptCount val="1"/>
                <c:pt idx="0">
                  <c:v>% of patients seen within the 12 week Treatment Time Guarantee</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TTG'!$B$22:$AW$22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'Inpatient - TTG'!$B$26:$AW$26</c:f>
              <c:numCache>
                <c:formatCode>0.0%</c:formatCode>
                <c:ptCount val="48"/>
                <c:pt idx="0">
                  <c:v>0.8845220766618147</c:v>
                </c:pt>
                <c:pt idx="1">
                  <c:v>0.89156908665105383</c:v>
                </c:pt>
                <c:pt idx="2">
                  <c:v>0.91476774758983348</c:v>
                </c:pt>
                <c:pt idx="3">
                  <c:v>0.92292587137947968</c:v>
                </c:pt>
                <c:pt idx="4">
                  <c:v>0.92428261393778632</c:v>
                </c:pt>
                <c:pt idx="5">
                  <c:v>0.91666666666666663</c:v>
                </c:pt>
                <c:pt idx="6">
                  <c:v>0.93345446286622757</c:v>
                </c:pt>
                <c:pt idx="7">
                  <c:v>0.94029850746268662</c:v>
                </c:pt>
                <c:pt idx="8">
                  <c:v>0.9493392070484582</c:v>
                </c:pt>
                <c:pt idx="9">
                  <c:v>0.95926018495376153</c:v>
                </c:pt>
                <c:pt idx="10">
                  <c:v>0.95040760869565222</c:v>
                </c:pt>
                <c:pt idx="11">
                  <c:v>0.93413173652694614</c:v>
                </c:pt>
                <c:pt idx="12">
                  <c:v>0.92829550941574124</c:v>
                </c:pt>
                <c:pt idx="13">
                  <c:v>0.90066388000983522</c:v>
                </c:pt>
                <c:pt idx="14">
                  <c:v>0.90240313879352629</c:v>
                </c:pt>
                <c:pt idx="15">
                  <c:v>0.90758500435919787</c:v>
                </c:pt>
                <c:pt idx="16">
                  <c:v>0.89912170639899625</c:v>
                </c:pt>
                <c:pt idx="17">
                  <c:v>0.8964176617606221</c:v>
                </c:pt>
                <c:pt idx="18">
                  <c:v>0.8727221754976171</c:v>
                </c:pt>
                <c:pt idx="19">
                  <c:v>0.87540493396461505</c:v>
                </c:pt>
                <c:pt idx="20">
                  <c:v>0.86840545346769416</c:v>
                </c:pt>
                <c:pt idx="21">
                  <c:v>0.84101251422070533</c:v>
                </c:pt>
                <c:pt idx="22">
                  <c:v>0.80732621863282383</c:v>
                </c:pt>
                <c:pt idx="23">
                  <c:v>0.79655674102812801</c:v>
                </c:pt>
                <c:pt idx="24">
                  <c:v>0.83786204837264855</c:v>
                </c:pt>
                <c:pt idx="25">
                  <c:v>0.81668711656441717</c:v>
                </c:pt>
                <c:pt idx="26">
                  <c:v>0.81208410966196432</c:v>
                </c:pt>
                <c:pt idx="27">
                  <c:v>0.83730389308541542</c:v>
                </c:pt>
                <c:pt idx="28">
                  <c:v>0.83940886699507389</c:v>
                </c:pt>
              </c:numCache>
            </c:numRef>
          </c:val>
          <c:smooth val="0"/>
        </c:ser>
        <c:ser>
          <c:idx val="0"/>
          <c:order val="1"/>
          <c:tx>
            <c:strRef>
              <c:f>'Inpatient - TTG'!$A$27</c:f>
              <c:strCache>
                <c:ptCount val="1"/>
                <c:pt idx="0">
                  <c:v>Target (min)</c:v>
                </c:pt>
              </c:strCache>
            </c:strRef>
          </c:tx>
          <c:spPr>
            <a:ln w="25400">
              <a:solidFill>
                <a:srgbClr val="FF0000"/>
              </a:solidFill>
              <a:prstDash val="dash"/>
            </a:ln>
          </c:spPr>
          <c:marker>
            <c:symbol val="none"/>
          </c:marker>
          <c:cat>
            <c:numRef>
              <c:f>'Inpatient - TTG'!$B$22:$AW$22</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'Inpatient - TTG'!$B$27:$AW$27</c:f>
              <c:numCache>
                <c:formatCode>0.0%</c:formatCode>
                <c:ptCount val="4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ser>
        <c:dLbls>
          <c:showLegendKey val="0"/>
          <c:showVal val="0"/>
          <c:showCatName val="0"/>
          <c:showSerName val="0"/>
          <c:showPercent val="0"/>
          <c:showBubbleSize val="0"/>
        </c:dLbls>
        <c:marker val="1"/>
        <c:smooth val="0"/>
        <c:axId val="142264832"/>
        <c:axId val="141361152"/>
      </c:lineChart>
      <c:dateAx>
        <c:axId val="142264832"/>
        <c:scaling>
          <c:orientation val="minMax"/>
        </c:scaling>
        <c:delete val="0"/>
        <c:axPos val="b"/>
        <c:numFmt formatCode="mmm\ yy" sourceLinked="0"/>
        <c:majorTickMark val="out"/>
        <c:minorTickMark val="none"/>
        <c:tickLblPos val="nextTo"/>
        <c:spPr>
          <a:ln>
            <a:solidFill>
              <a:schemeClr val="bg1">
                <a:lumMod val="50000"/>
              </a:schemeClr>
            </a:solidFill>
          </a:ln>
        </c:spPr>
        <c:txPr>
          <a:bodyPr rot="-5400000" vert="horz"/>
          <a:lstStyle/>
          <a:p>
            <a:pPr>
              <a:defRPr sz="800" b="0" i="0" u="none" strike="noStrike" baseline="0">
                <a:solidFill>
                  <a:srgbClr val="000000"/>
                </a:solidFill>
                <a:latin typeface="Arial"/>
                <a:ea typeface="Arial"/>
                <a:cs typeface="Arial"/>
              </a:defRPr>
            </a:pPr>
            <a:endParaRPr lang="en-US"/>
          </a:p>
        </c:txPr>
        <c:crossAx val="141361152"/>
        <c:crosses val="autoZero"/>
        <c:auto val="1"/>
        <c:lblOffset val="100"/>
        <c:baseTimeUnit val="months"/>
        <c:majorUnit val="1"/>
        <c:majorTimeUnit val="months"/>
      </c:dateAx>
      <c:valAx>
        <c:axId val="141361152"/>
        <c:scaling>
          <c:orientation val="minMax"/>
          <c:max val="1"/>
          <c:min val="0.5"/>
        </c:scaling>
        <c:delete val="0"/>
        <c:axPos val="l"/>
        <c:majorGridlines/>
        <c:numFmt formatCode="0.0%" sourceLinked="1"/>
        <c:majorTickMark val="out"/>
        <c:minorTickMark val="none"/>
        <c:tickLblPos val="nextTo"/>
        <c:spPr>
          <a:ln>
            <a:solidFill>
              <a:schemeClr val="bg1">
                <a:lumMod val="50000"/>
              </a:schemeClr>
            </a:solidFill>
          </a:ln>
        </c:spPr>
        <c:txPr>
          <a:bodyPr rot="0" vert="horz"/>
          <a:lstStyle/>
          <a:p>
            <a:pPr>
              <a:defRPr sz="800" b="0" i="0" u="none" strike="noStrike" baseline="0">
                <a:solidFill>
                  <a:srgbClr val="000000"/>
                </a:solidFill>
                <a:latin typeface="Arial"/>
                <a:ea typeface="Arial"/>
                <a:cs typeface="Arial"/>
              </a:defRPr>
            </a:pPr>
            <a:endParaRPr lang="en-US"/>
          </a:p>
        </c:txPr>
        <c:crossAx val="142264832"/>
        <c:crosses val="autoZero"/>
        <c:crossBetween val="between"/>
      </c:valAx>
    </c:plotArea>
    <c:legend>
      <c:legendPos val="r"/>
      <c:layout>
        <c:manualLayout>
          <c:xMode val="edge"/>
          <c:yMode val="edge"/>
          <c:x val="0.19514884233737825"/>
          <c:y val="0.9285714285714286"/>
          <c:w val="0.6074972436604249"/>
          <c:h val="5.8201058201058246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42706913565504E-2"/>
          <c:y val="4.5431821022372233E-2"/>
          <c:w val="0.91705098997657819"/>
          <c:h val="0.7600086111111235"/>
        </c:manualLayout>
      </c:layout>
      <c:lineChart>
        <c:grouping val="standard"/>
        <c:varyColors val="0"/>
        <c:ser>
          <c:idx val="4"/>
          <c:order val="0"/>
          <c:tx>
            <c:strRef>
              <c:f>'Inpatient - TTG'!$A$19</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'Inpatient - TTG'!$B$10:$AW$10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'Inpatient - TTG'!$B$19:$AW$19</c:f>
              <c:numCache>
                <c:formatCode>#,##0</c:formatCode>
                <c:ptCount val="48"/>
                <c:pt idx="0">
                  <c:v>500</c:v>
                </c:pt>
                <c:pt idx="1">
                  <c:v>476</c:v>
                </c:pt>
                <c:pt idx="2">
                  <c:v>349</c:v>
                </c:pt>
                <c:pt idx="3">
                  <c:v>347</c:v>
                </c:pt>
                <c:pt idx="4">
                  <c:v>398</c:v>
                </c:pt>
                <c:pt idx="5">
                  <c:v>345</c:v>
                </c:pt>
                <c:pt idx="6">
                  <c:v>277</c:v>
                </c:pt>
                <c:pt idx="7">
                  <c:v>193</c:v>
                </c:pt>
                <c:pt idx="8">
                  <c:v>127</c:v>
                </c:pt>
                <c:pt idx="9">
                  <c:v>161</c:v>
                </c:pt>
                <c:pt idx="10">
                  <c:v>221</c:v>
                </c:pt>
                <c:pt idx="11">
                  <c:v>289</c:v>
                </c:pt>
                <c:pt idx="12">
                  <c:v>404</c:v>
                </c:pt>
                <c:pt idx="13">
                  <c:v>416</c:v>
                </c:pt>
                <c:pt idx="14">
                  <c:v>399</c:v>
                </c:pt>
                <c:pt idx="15">
                  <c:v>463</c:v>
                </c:pt>
                <c:pt idx="16">
                  <c:v>583</c:v>
                </c:pt>
                <c:pt idx="17">
                  <c:v>791</c:v>
                </c:pt>
                <c:pt idx="18">
                  <c:v>910</c:v>
                </c:pt>
                <c:pt idx="19">
                  <c:v>1114</c:v>
                </c:pt>
                <c:pt idx="20">
                  <c:v>1318</c:v>
                </c:pt>
                <c:pt idx="21">
                  <c:v>1434</c:v>
                </c:pt>
                <c:pt idx="22">
                  <c:v>1497</c:v>
                </c:pt>
                <c:pt idx="23">
                  <c:v>1362</c:v>
                </c:pt>
                <c:pt idx="24">
                  <c:v>1500</c:v>
                </c:pt>
                <c:pt idx="25">
                  <c:v>1447</c:v>
                </c:pt>
                <c:pt idx="26">
                  <c:v>1361</c:v>
                </c:pt>
                <c:pt idx="27">
                  <c:v>1280</c:v>
                </c:pt>
                <c:pt idx="28">
                  <c:v>1198</c:v>
                </c:pt>
              </c:numCache>
            </c:numRef>
          </c:val>
          <c:smooth val="0"/>
        </c:ser>
        <c:dLbls>
          <c:showLegendKey val="0"/>
          <c:showVal val="0"/>
          <c:showCatName val="0"/>
          <c:showSerName val="0"/>
          <c:showPercent val="0"/>
          <c:showBubbleSize val="0"/>
        </c:dLbls>
        <c:marker val="1"/>
        <c:smooth val="0"/>
        <c:axId val="139624448"/>
        <c:axId val="141363456"/>
      </c:lineChart>
      <c:lineChart>
        <c:grouping val="standard"/>
        <c:varyColors val="0"/>
        <c:ser>
          <c:idx val="1"/>
          <c:order val="1"/>
          <c:tx>
            <c:strRef>
              <c:f>'Inpatient - TTG'!$A$26</c:f>
              <c:strCache>
                <c:ptCount val="1"/>
                <c:pt idx="0">
                  <c:v>% of patients seen within the 12 week Treatment Time Guarantee</c:v>
                </c:pt>
              </c:strCache>
            </c:strRef>
          </c:tx>
          <c:spPr>
            <a:ln w="25400">
              <a:solidFill>
                <a:srgbClr val="0070C0"/>
              </a:solidFill>
              <a:prstDash val="dash"/>
            </a:ln>
          </c:spPr>
          <c:marker>
            <c:symbol val="none"/>
          </c:marker>
          <c:cat>
            <c:numRef>
              <c:f>'Inpatient - TTG'!$B$10:$AW$10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'Inpatient - TTG'!$B$26:$AW$26</c:f>
              <c:numCache>
                <c:formatCode>0.0%</c:formatCode>
                <c:ptCount val="48"/>
                <c:pt idx="0">
                  <c:v>0.8845220766618147</c:v>
                </c:pt>
                <c:pt idx="1">
                  <c:v>0.89156908665105383</c:v>
                </c:pt>
                <c:pt idx="2">
                  <c:v>0.91476774758983348</c:v>
                </c:pt>
                <c:pt idx="3">
                  <c:v>0.92292587137947968</c:v>
                </c:pt>
                <c:pt idx="4">
                  <c:v>0.92428261393778632</c:v>
                </c:pt>
                <c:pt idx="5">
                  <c:v>0.91666666666666663</c:v>
                </c:pt>
                <c:pt idx="6">
                  <c:v>0.93345446286622757</c:v>
                </c:pt>
                <c:pt idx="7">
                  <c:v>0.94029850746268662</c:v>
                </c:pt>
                <c:pt idx="8">
                  <c:v>0.9493392070484582</c:v>
                </c:pt>
                <c:pt idx="9">
                  <c:v>0.95926018495376153</c:v>
                </c:pt>
                <c:pt idx="10">
                  <c:v>0.95040760869565222</c:v>
                </c:pt>
                <c:pt idx="11">
                  <c:v>0.93413173652694614</c:v>
                </c:pt>
                <c:pt idx="12">
                  <c:v>0.92829550941574124</c:v>
                </c:pt>
                <c:pt idx="13">
                  <c:v>0.90066388000983522</c:v>
                </c:pt>
                <c:pt idx="14">
                  <c:v>0.90240313879352629</c:v>
                </c:pt>
                <c:pt idx="15">
                  <c:v>0.90758500435919787</c:v>
                </c:pt>
                <c:pt idx="16">
                  <c:v>0.89912170639899625</c:v>
                </c:pt>
                <c:pt idx="17">
                  <c:v>0.8964176617606221</c:v>
                </c:pt>
                <c:pt idx="18">
                  <c:v>0.8727221754976171</c:v>
                </c:pt>
                <c:pt idx="19">
                  <c:v>0.87540493396461505</c:v>
                </c:pt>
                <c:pt idx="20">
                  <c:v>0.86840545346769416</c:v>
                </c:pt>
                <c:pt idx="21">
                  <c:v>0.84101251422070533</c:v>
                </c:pt>
                <c:pt idx="22">
                  <c:v>0.80732621863282383</c:v>
                </c:pt>
                <c:pt idx="23">
                  <c:v>0.79655674102812801</c:v>
                </c:pt>
                <c:pt idx="24">
                  <c:v>0.83786204837264855</c:v>
                </c:pt>
                <c:pt idx="25">
                  <c:v>0.81668711656441717</c:v>
                </c:pt>
                <c:pt idx="26">
                  <c:v>0.81208410966196432</c:v>
                </c:pt>
                <c:pt idx="27">
                  <c:v>0.83730389308541542</c:v>
                </c:pt>
                <c:pt idx="28">
                  <c:v>0.83940886699507389</c:v>
                </c:pt>
              </c:numCache>
            </c:numRef>
          </c:val>
          <c:smooth val="0"/>
        </c:ser>
        <c:dLbls>
          <c:showLegendKey val="0"/>
          <c:showVal val="0"/>
          <c:showCatName val="0"/>
          <c:showSerName val="0"/>
          <c:showPercent val="0"/>
          <c:showBubbleSize val="0"/>
        </c:dLbls>
        <c:marker val="1"/>
        <c:smooth val="0"/>
        <c:axId val="139624960"/>
        <c:axId val="141364032"/>
      </c:lineChart>
      <c:dateAx>
        <c:axId val="13962444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1363456"/>
        <c:crosses val="autoZero"/>
        <c:auto val="1"/>
        <c:lblOffset val="100"/>
        <c:baseTimeUnit val="months"/>
        <c:majorUnit val="1"/>
        <c:majorTimeUnit val="months"/>
        <c:minorUnit val="1"/>
        <c:minorTimeUnit val="days"/>
      </c:dateAx>
      <c:valAx>
        <c:axId val="141363456"/>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9624448"/>
        <c:crosses val="autoZero"/>
        <c:crossBetween val="between"/>
        <c:majorUnit val="100"/>
      </c:valAx>
      <c:dateAx>
        <c:axId val="139624960"/>
        <c:scaling>
          <c:orientation val="minMax"/>
        </c:scaling>
        <c:delete val="1"/>
        <c:axPos val="b"/>
        <c:numFmt formatCode="mmm\ yy" sourceLinked="1"/>
        <c:majorTickMark val="out"/>
        <c:minorTickMark val="none"/>
        <c:tickLblPos val="none"/>
        <c:crossAx val="141364032"/>
        <c:crosses val="autoZero"/>
        <c:auto val="1"/>
        <c:lblOffset val="100"/>
        <c:baseTimeUnit val="days"/>
      </c:dateAx>
      <c:valAx>
        <c:axId val="141364032"/>
        <c:scaling>
          <c:orientation val="minMax"/>
          <c:max val="1"/>
        </c:scaling>
        <c:delete val="0"/>
        <c:axPos val="r"/>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9624960"/>
        <c:crosses val="max"/>
        <c:crossBetween val="between"/>
      </c:valAx>
    </c:plotArea>
    <c:legend>
      <c:legendPos val="b"/>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75505902777779521"/>
        </c:manualLayout>
      </c:layout>
      <c:lineChart>
        <c:grouping val="standard"/>
        <c:varyColors val="0"/>
        <c:ser>
          <c:idx val="4"/>
          <c:order val="0"/>
          <c:tx>
            <c:strRef>
              <c:f>IVF!$A$13</c:f>
              <c:strCache>
                <c:ptCount val="1"/>
                <c:pt idx="0">
                  <c:v>% commenced within 12 months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IVF!$B$9:$AW$9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IVF!$B$13:$AW$13</c:f>
              <c:numCache>
                <c:formatCode>0.0%</c:formatCode>
                <c:ptCount val="48"/>
                <c:pt idx="0">
                  <c:v>1</c:v>
                </c:pt>
                <c:pt idx="1">
                  <c:v>1</c:v>
                </c:pt>
                <c:pt idx="2">
                  <c:v>1</c:v>
                </c:pt>
                <c:pt idx="3">
                  <c:v>1</c:v>
                </c:pt>
                <c:pt idx="4">
                  <c:v>1</c:v>
                </c:pt>
                <c:pt idx="5">
                  <c:v>1</c:v>
                </c:pt>
                <c:pt idx="6">
                  <c:v>1</c:v>
                </c:pt>
                <c:pt idx="7">
                  <c:v>1</c:v>
                </c:pt>
                <c:pt idx="8">
                  <c:v>1</c:v>
                </c:pt>
                <c:pt idx="9">
                  <c:v>0.967741935483871</c:v>
                </c:pt>
                <c:pt idx="10">
                  <c:v>1</c:v>
                </c:pt>
                <c:pt idx="11">
                  <c:v>1</c:v>
                </c:pt>
                <c:pt idx="12">
                  <c:v>1</c:v>
                </c:pt>
                <c:pt idx="13">
                  <c:v>0.96551724137931039</c:v>
                </c:pt>
                <c:pt idx="14">
                  <c:v>1</c:v>
                </c:pt>
                <c:pt idx="15">
                  <c:v>1</c:v>
                </c:pt>
                <c:pt idx="16">
                  <c:v>1</c:v>
                </c:pt>
                <c:pt idx="17">
                  <c:v>1</c:v>
                </c:pt>
                <c:pt idx="18">
                  <c:v>1</c:v>
                </c:pt>
                <c:pt idx="19">
                  <c:v>0.97222222222222221</c:v>
                </c:pt>
                <c:pt idx="20">
                  <c:v>1</c:v>
                </c:pt>
                <c:pt idx="21">
                  <c:v>1</c:v>
                </c:pt>
                <c:pt idx="22">
                  <c:v>1</c:v>
                </c:pt>
                <c:pt idx="23">
                  <c:v>1</c:v>
                </c:pt>
                <c:pt idx="24">
                  <c:v>0.94117647058823528</c:v>
                </c:pt>
                <c:pt idx="25">
                  <c:v>1</c:v>
                </c:pt>
                <c:pt idx="26">
                  <c:v>1</c:v>
                </c:pt>
                <c:pt idx="27">
                  <c:v>1</c:v>
                </c:pt>
                <c:pt idx="28">
                  <c:v>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0"/>
          <c:order val="1"/>
          <c:tx>
            <c:strRef>
              <c:f>IVF!$A$14</c:f>
              <c:strCache>
                <c:ptCount val="1"/>
                <c:pt idx="0">
                  <c:v>Target</c:v>
                </c:pt>
              </c:strCache>
            </c:strRef>
          </c:tx>
          <c:spPr>
            <a:ln w="25400">
              <a:solidFill>
                <a:srgbClr val="FF0000"/>
              </a:solidFill>
              <a:prstDash val="dash"/>
            </a:ln>
          </c:spPr>
          <c:marker>
            <c:symbol val="none"/>
          </c:marker>
          <c:cat>
            <c:numRef>
              <c:f>IVF!$B$9:$AW$9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IVF!$B$14:$AW$14</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142737408"/>
        <c:axId val="141366336"/>
      </c:lineChart>
      <c:dateAx>
        <c:axId val="14273740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1366336"/>
        <c:crosses val="autoZero"/>
        <c:auto val="1"/>
        <c:lblOffset val="100"/>
        <c:baseTimeUnit val="months"/>
      </c:dateAx>
      <c:valAx>
        <c:axId val="141366336"/>
        <c:scaling>
          <c:orientation val="minMax"/>
          <c:max val="1"/>
          <c:min val="0.60000000000000064"/>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2737408"/>
        <c:crosses val="autoZero"/>
        <c:crossBetween val="between"/>
      </c:valAx>
    </c:plotArea>
    <c:legend>
      <c:legendPos val="r"/>
      <c:layout>
        <c:manualLayout>
          <c:xMode val="edge"/>
          <c:yMode val="edge"/>
          <c:x val="0.19514884233737825"/>
          <c:y val="0.9285714285714286"/>
          <c:w val="0.6074972436604249"/>
          <c:h val="5.8201058201058246E-2"/>
        </c:manualLayout>
      </c:layout>
      <c:overlay val="0"/>
      <c:txPr>
        <a:bodyPr/>
        <a:lstStyle/>
        <a:p>
          <a:pPr>
            <a:defRPr sz="575"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86868686868689E-2"/>
          <c:y val="4.8959027777777775E-2"/>
          <c:w val="0.90260996180598341"/>
          <c:h val="0.75505902777779477"/>
        </c:manualLayout>
      </c:layout>
      <c:lineChart>
        <c:grouping val="standard"/>
        <c:varyColors val="0"/>
        <c:ser>
          <c:idx val="4"/>
          <c:order val="0"/>
          <c:tx>
            <c:strRef>
              <c:f>Outpatient!$A$22</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Outpatient!$B$22:$AW$22</c:f>
              <c:numCache>
                <c:formatCode>#,##0</c:formatCode>
                <c:ptCount val="48"/>
                <c:pt idx="0">
                  <c:v>3467</c:v>
                </c:pt>
                <c:pt idx="1">
                  <c:v>4261</c:v>
                </c:pt>
                <c:pt idx="2">
                  <c:v>4192</c:v>
                </c:pt>
                <c:pt idx="3">
                  <c:v>6087</c:v>
                </c:pt>
                <c:pt idx="4">
                  <c:v>6933</c:v>
                </c:pt>
                <c:pt idx="5">
                  <c:v>7428</c:v>
                </c:pt>
                <c:pt idx="6">
                  <c:v>7491</c:v>
                </c:pt>
                <c:pt idx="7">
                  <c:v>6779</c:v>
                </c:pt>
                <c:pt idx="8">
                  <c:v>7142</c:v>
                </c:pt>
                <c:pt idx="9">
                  <c:v>7825</c:v>
                </c:pt>
                <c:pt idx="10">
                  <c:v>7986</c:v>
                </c:pt>
                <c:pt idx="11">
                  <c:v>7036</c:v>
                </c:pt>
                <c:pt idx="12">
                  <c:v>8260</c:v>
                </c:pt>
                <c:pt idx="13">
                  <c:v>9404</c:v>
                </c:pt>
                <c:pt idx="14">
                  <c:v>10135</c:v>
                </c:pt>
                <c:pt idx="15">
                  <c:v>11711</c:v>
                </c:pt>
                <c:pt idx="16">
                  <c:v>14168</c:v>
                </c:pt>
                <c:pt idx="17">
                  <c:v>16265</c:v>
                </c:pt>
                <c:pt idx="18">
                  <c:v>17890</c:v>
                </c:pt>
                <c:pt idx="19">
                  <c:v>18580</c:v>
                </c:pt>
                <c:pt idx="20">
                  <c:v>19211</c:v>
                </c:pt>
                <c:pt idx="21">
                  <c:v>19016</c:v>
                </c:pt>
                <c:pt idx="22">
                  <c:v>17967</c:v>
                </c:pt>
                <c:pt idx="23">
                  <c:v>15487</c:v>
                </c:pt>
                <c:pt idx="24">
                  <c:v>17311</c:v>
                </c:pt>
                <c:pt idx="25">
                  <c:v>18699</c:v>
                </c:pt>
                <c:pt idx="26">
                  <c:v>19773</c:v>
                </c:pt>
                <c:pt idx="27">
                  <c:v>21273</c:v>
                </c:pt>
                <c:pt idx="28">
                  <c:v>23195</c:v>
                </c:pt>
              </c:numCache>
            </c:numRef>
          </c:val>
          <c:smooth val="0"/>
        </c:ser>
        <c:ser>
          <c:idx val="0"/>
          <c:order val="1"/>
          <c:tx>
            <c:strRef>
              <c:f>Outpatient!$A$23</c:f>
              <c:strCache>
                <c:ptCount val="1"/>
                <c:pt idx="0">
                  <c:v>Target (max)</c:v>
                </c:pt>
              </c:strCache>
            </c:strRef>
          </c:tx>
          <c:spPr>
            <a:ln w="25400">
              <a:solidFill>
                <a:srgbClr val="FF0000"/>
              </a:solidFill>
              <a:prstDash val="dash"/>
            </a:ln>
          </c:spPr>
          <c:marker>
            <c:symbol val="none"/>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Outpatient!$B$23:$AW$23</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39627520"/>
        <c:axId val="141368640"/>
      </c:lineChart>
      <c:dateAx>
        <c:axId val="13962752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1368640"/>
        <c:crosses val="autoZero"/>
        <c:auto val="1"/>
        <c:lblOffset val="100"/>
        <c:baseTimeUnit val="months"/>
        <c:majorUnit val="1"/>
        <c:majorTimeUnit val="months"/>
      </c:dateAx>
      <c:valAx>
        <c:axId val="14136864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39627520"/>
        <c:crosses val="autoZero"/>
        <c:crossBetween val="between"/>
        <c:majorUnit val="2000"/>
      </c:valAx>
    </c:plotArea>
    <c:legend>
      <c:legendPos val="r"/>
      <c:layout>
        <c:manualLayout>
          <c:xMode val="edge"/>
          <c:yMode val="edge"/>
          <c:x val="0.20102903344358691"/>
          <c:y val="0.93474426807760136"/>
          <c:w val="0.59827356200100124"/>
          <c:h val="6.5255731922398585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0260996180598341"/>
          <c:h val="0.75505902777779521"/>
        </c:manualLayout>
      </c:layout>
      <c:lineChart>
        <c:grouping val="standard"/>
        <c:varyColors val="0"/>
        <c:ser>
          <c:idx val="4"/>
          <c:order val="0"/>
          <c:tx>
            <c:strRef>
              <c:f>Outpatient!$A$32</c:f>
              <c:strCache>
                <c:ptCount val="1"/>
                <c:pt idx="0">
                  <c:v>% of patients waiting 12 weeks or less for a new outpatient appointment</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Outpatient!$B$31:$AW$31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Outpatient!$B$32:$AW$32</c:f>
              <c:numCache>
                <c:formatCode>0.0%</c:formatCode>
                <c:ptCount val="48"/>
                <c:pt idx="0">
                  <c:v>0.92551614497174894</c:v>
                </c:pt>
                <c:pt idx="1">
                  <c:v>0.91245479947403019</c:v>
                </c:pt>
                <c:pt idx="2">
                  <c:v>0.91656549171028801</c:v>
                </c:pt>
                <c:pt idx="3">
                  <c:v>0.88525053726953962</c:v>
                </c:pt>
                <c:pt idx="4">
                  <c:v>0.8667755572636433</c:v>
                </c:pt>
                <c:pt idx="5">
                  <c:v>0.85374497912892811</c:v>
                </c:pt>
                <c:pt idx="6">
                  <c:v>0.85268436578171092</c:v>
                </c:pt>
                <c:pt idx="7">
                  <c:v>0.86121404442624627</c:v>
                </c:pt>
                <c:pt idx="8">
                  <c:v>0.85120523344236343</c:v>
                </c:pt>
                <c:pt idx="9">
                  <c:v>0.83421258924977226</c:v>
                </c:pt>
                <c:pt idx="10">
                  <c:v>0.83511582772432591</c:v>
                </c:pt>
                <c:pt idx="11">
                  <c:v>0.855467225406216</c:v>
                </c:pt>
                <c:pt idx="12">
                  <c:v>0.83984178074223448</c:v>
                </c:pt>
                <c:pt idx="13">
                  <c:v>0.82218356464848918</c:v>
                </c:pt>
                <c:pt idx="14">
                  <c:v>0.81497708892418352</c:v>
                </c:pt>
                <c:pt idx="15">
                  <c:v>0.79554818435754193</c:v>
                </c:pt>
                <c:pt idx="16">
                  <c:v>0.75773328089464953</c:v>
                </c:pt>
                <c:pt idx="17">
                  <c:v>0.72753618332886627</c:v>
                </c:pt>
                <c:pt idx="18">
                  <c:v>0.70601768166431134</c:v>
                </c:pt>
                <c:pt idx="19">
                  <c:v>0.69207312020417966</c:v>
                </c:pt>
                <c:pt idx="20">
                  <c:v>0.67645721407278914</c:v>
                </c:pt>
                <c:pt idx="21">
                  <c:v>0.67161137686290084</c:v>
                </c:pt>
                <c:pt idx="22">
                  <c:v>0.68429653318339168</c:v>
                </c:pt>
                <c:pt idx="23">
                  <c:v>0.72732234664412987</c:v>
                </c:pt>
                <c:pt idx="24">
                  <c:v>0.70697068183357037</c:v>
                </c:pt>
                <c:pt idx="25">
                  <c:v>0.69181705809641536</c:v>
                </c:pt>
                <c:pt idx="26">
                  <c:v>0.68477186493639008</c:v>
                </c:pt>
                <c:pt idx="27">
                  <c:v>0.67184463024095264</c:v>
                </c:pt>
                <c:pt idx="28">
                  <c:v>0.64513019797435822</c:v>
                </c:pt>
              </c:numCache>
            </c:numRef>
          </c:val>
          <c:smooth val="0"/>
        </c:ser>
        <c:ser>
          <c:idx val="0"/>
          <c:order val="1"/>
          <c:tx>
            <c:strRef>
              <c:f>Outpatient!$A$33</c:f>
              <c:strCache>
                <c:ptCount val="1"/>
                <c:pt idx="0">
                  <c:v>Target (min)</c:v>
                </c:pt>
              </c:strCache>
            </c:strRef>
          </c:tx>
          <c:spPr>
            <a:ln w="25400">
              <a:solidFill>
                <a:srgbClr val="FF0000"/>
              </a:solidFill>
              <a:prstDash val="dash"/>
            </a:ln>
          </c:spPr>
          <c:marker>
            <c:symbol val="none"/>
          </c:marker>
          <c:cat>
            <c:numRef>
              <c:f>Outpatient!$B$31:$AW$31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Outpatient!$B$33:$AW$33</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42740992"/>
        <c:axId val="143148736"/>
      </c:lineChart>
      <c:dateAx>
        <c:axId val="14274099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3148736"/>
        <c:crosses val="autoZero"/>
        <c:auto val="1"/>
        <c:lblOffset val="100"/>
        <c:baseTimeUnit val="months"/>
        <c:majorUnit val="1"/>
        <c:majorTimeUnit val="months"/>
      </c:dateAx>
      <c:valAx>
        <c:axId val="143148736"/>
        <c:scaling>
          <c:orientation val="minMax"/>
          <c:min val="0.60000000000000064"/>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2740992"/>
        <c:crosses val="autoZero"/>
        <c:crossBetween val="between"/>
      </c:valAx>
    </c:plotArea>
    <c:legend>
      <c:legendPos val="r"/>
      <c:layout>
        <c:manualLayout>
          <c:xMode val="edge"/>
          <c:yMode val="edge"/>
          <c:x val="0.11074197120708749"/>
          <c:y val="0.9285714285714286"/>
          <c:w val="0.78294573643412213"/>
          <c:h val="5.8201058201058246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742706913565504E-2"/>
          <c:y val="4.5431821022372233E-2"/>
          <c:w val="0.91705098997657819"/>
          <c:h val="0.7600086111111235"/>
        </c:manualLayout>
      </c:layout>
      <c:lineChart>
        <c:grouping val="standard"/>
        <c:varyColors val="0"/>
        <c:ser>
          <c:idx val="4"/>
          <c:order val="0"/>
          <c:tx>
            <c:strRef>
              <c:f>Outpatient!$A$22</c:f>
              <c:strCache>
                <c:ptCount val="1"/>
                <c:pt idx="0">
                  <c:v>Total Over 12 Weeks at Month End</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Outpatient!$B$22:$AW$22</c:f>
              <c:numCache>
                <c:formatCode>#,##0</c:formatCode>
                <c:ptCount val="48"/>
                <c:pt idx="0">
                  <c:v>3467</c:v>
                </c:pt>
                <c:pt idx="1">
                  <c:v>4261</c:v>
                </c:pt>
                <c:pt idx="2">
                  <c:v>4192</c:v>
                </c:pt>
                <c:pt idx="3">
                  <c:v>6087</c:v>
                </c:pt>
                <c:pt idx="4">
                  <c:v>6933</c:v>
                </c:pt>
                <c:pt idx="5">
                  <c:v>7428</c:v>
                </c:pt>
                <c:pt idx="6">
                  <c:v>7491</c:v>
                </c:pt>
                <c:pt idx="7">
                  <c:v>6779</c:v>
                </c:pt>
                <c:pt idx="8">
                  <c:v>7142</c:v>
                </c:pt>
                <c:pt idx="9">
                  <c:v>7825</c:v>
                </c:pt>
                <c:pt idx="10">
                  <c:v>7986</c:v>
                </c:pt>
                <c:pt idx="11">
                  <c:v>7036</c:v>
                </c:pt>
                <c:pt idx="12">
                  <c:v>8260</c:v>
                </c:pt>
                <c:pt idx="13">
                  <c:v>9404</c:v>
                </c:pt>
                <c:pt idx="14">
                  <c:v>10135</c:v>
                </c:pt>
                <c:pt idx="15">
                  <c:v>11711</c:v>
                </c:pt>
                <c:pt idx="16">
                  <c:v>14168</c:v>
                </c:pt>
                <c:pt idx="17">
                  <c:v>16265</c:v>
                </c:pt>
                <c:pt idx="18">
                  <c:v>17890</c:v>
                </c:pt>
                <c:pt idx="19">
                  <c:v>18580</c:v>
                </c:pt>
                <c:pt idx="20">
                  <c:v>19211</c:v>
                </c:pt>
                <c:pt idx="21">
                  <c:v>19016</c:v>
                </c:pt>
                <c:pt idx="22">
                  <c:v>17967</c:v>
                </c:pt>
                <c:pt idx="23">
                  <c:v>15487</c:v>
                </c:pt>
                <c:pt idx="24">
                  <c:v>17311</c:v>
                </c:pt>
                <c:pt idx="25">
                  <c:v>18699</c:v>
                </c:pt>
                <c:pt idx="26">
                  <c:v>19773</c:v>
                </c:pt>
                <c:pt idx="27">
                  <c:v>21273</c:v>
                </c:pt>
                <c:pt idx="28">
                  <c:v>23195</c:v>
                </c:pt>
              </c:numCache>
            </c:numRef>
          </c:val>
          <c:smooth val="0"/>
        </c:ser>
        <c:dLbls>
          <c:showLegendKey val="0"/>
          <c:showVal val="0"/>
          <c:showCatName val="0"/>
          <c:showSerName val="0"/>
          <c:showPercent val="0"/>
          <c:showBubbleSize val="0"/>
        </c:dLbls>
        <c:marker val="1"/>
        <c:smooth val="0"/>
        <c:axId val="143511552"/>
        <c:axId val="143151040"/>
      </c:lineChart>
      <c:lineChart>
        <c:grouping val="standard"/>
        <c:varyColors val="0"/>
        <c:ser>
          <c:idx val="0"/>
          <c:order val="1"/>
          <c:tx>
            <c:strRef>
              <c:f>Outpatient!$A$32</c:f>
              <c:strCache>
                <c:ptCount val="1"/>
                <c:pt idx="0">
                  <c:v>% of patients waiting 12 weeks or less for a new outpatient appointment</c:v>
                </c:pt>
              </c:strCache>
            </c:strRef>
          </c:tx>
          <c:spPr>
            <a:ln w="25400">
              <a:prstDash val="dash"/>
            </a:ln>
          </c:spPr>
          <c:marker>
            <c:symbol val="none"/>
          </c:marker>
          <c:cat>
            <c:numRef>
              <c:f>Outpatient!$B$10:$AW$10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Outpatient!$B$32:$AV$32</c:f>
              <c:numCache>
                <c:formatCode>0.0%</c:formatCode>
                <c:ptCount val="47"/>
                <c:pt idx="0">
                  <c:v>0.92551614497174894</c:v>
                </c:pt>
                <c:pt idx="1">
                  <c:v>0.91245479947403019</c:v>
                </c:pt>
                <c:pt idx="2">
                  <c:v>0.91656549171028801</c:v>
                </c:pt>
                <c:pt idx="3">
                  <c:v>0.88525053726953962</c:v>
                </c:pt>
                <c:pt idx="4">
                  <c:v>0.8667755572636433</c:v>
                </c:pt>
                <c:pt idx="5">
                  <c:v>0.85374497912892811</c:v>
                </c:pt>
                <c:pt idx="6">
                  <c:v>0.85268436578171092</c:v>
                </c:pt>
                <c:pt idx="7">
                  <c:v>0.86121404442624627</c:v>
                </c:pt>
                <c:pt idx="8">
                  <c:v>0.85120523344236343</c:v>
                </c:pt>
                <c:pt idx="9">
                  <c:v>0.83421258924977226</c:v>
                </c:pt>
                <c:pt idx="10">
                  <c:v>0.83511582772432591</c:v>
                </c:pt>
                <c:pt idx="11">
                  <c:v>0.855467225406216</c:v>
                </c:pt>
                <c:pt idx="12">
                  <c:v>0.83984178074223448</c:v>
                </c:pt>
                <c:pt idx="13">
                  <c:v>0.82218356464848918</c:v>
                </c:pt>
                <c:pt idx="14">
                  <c:v>0.81497708892418352</c:v>
                </c:pt>
                <c:pt idx="15">
                  <c:v>0.79554818435754193</c:v>
                </c:pt>
                <c:pt idx="16">
                  <c:v>0.75773328089464953</c:v>
                </c:pt>
                <c:pt idx="17">
                  <c:v>0.72753618332886627</c:v>
                </c:pt>
                <c:pt idx="18">
                  <c:v>0.70601768166431134</c:v>
                </c:pt>
                <c:pt idx="19">
                  <c:v>0.69207312020417966</c:v>
                </c:pt>
                <c:pt idx="20">
                  <c:v>0.67645721407278914</c:v>
                </c:pt>
                <c:pt idx="21">
                  <c:v>0.67161137686290084</c:v>
                </c:pt>
                <c:pt idx="22">
                  <c:v>0.68429653318339168</c:v>
                </c:pt>
                <c:pt idx="23">
                  <c:v>0.72732234664412987</c:v>
                </c:pt>
                <c:pt idx="24">
                  <c:v>0.70697068183357037</c:v>
                </c:pt>
                <c:pt idx="25">
                  <c:v>0.69181705809641536</c:v>
                </c:pt>
                <c:pt idx="26">
                  <c:v>0.68477186493639008</c:v>
                </c:pt>
                <c:pt idx="27">
                  <c:v>0.67184463024095264</c:v>
                </c:pt>
                <c:pt idx="28">
                  <c:v>0.64513019797435822</c:v>
                </c:pt>
              </c:numCache>
            </c:numRef>
          </c:val>
          <c:smooth val="0"/>
        </c:ser>
        <c:dLbls>
          <c:showLegendKey val="0"/>
          <c:showVal val="0"/>
          <c:showCatName val="0"/>
          <c:showSerName val="0"/>
          <c:showPercent val="0"/>
          <c:showBubbleSize val="0"/>
        </c:dLbls>
        <c:marker val="1"/>
        <c:smooth val="0"/>
        <c:axId val="143512576"/>
        <c:axId val="143151616"/>
      </c:lineChart>
      <c:dateAx>
        <c:axId val="14351155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3151040"/>
        <c:crosses val="autoZero"/>
        <c:auto val="1"/>
        <c:lblOffset val="100"/>
        <c:baseTimeUnit val="months"/>
        <c:majorUnit val="1"/>
        <c:majorTimeUnit val="months"/>
        <c:minorUnit val="1"/>
        <c:minorTimeUnit val="days"/>
      </c:dateAx>
      <c:valAx>
        <c:axId val="143151040"/>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3511552"/>
        <c:crosses val="autoZero"/>
        <c:crossBetween val="between"/>
        <c:majorUnit val="2000"/>
      </c:valAx>
      <c:valAx>
        <c:axId val="143151616"/>
        <c:scaling>
          <c:orientation val="minMax"/>
        </c:scaling>
        <c:delete val="0"/>
        <c:axPos val="r"/>
        <c:numFmt formatCode="0.0%" sourceLinked="1"/>
        <c:majorTickMark val="out"/>
        <c:minorTickMark val="none"/>
        <c:tickLblPos val="nextTo"/>
        <c:crossAx val="143512576"/>
        <c:crosses val="max"/>
        <c:crossBetween val="between"/>
      </c:valAx>
      <c:dateAx>
        <c:axId val="143512576"/>
        <c:scaling>
          <c:orientation val="minMax"/>
        </c:scaling>
        <c:delete val="1"/>
        <c:axPos val="b"/>
        <c:numFmt formatCode="mmm\ yy" sourceLinked="1"/>
        <c:majorTickMark val="out"/>
        <c:minorTickMark val="none"/>
        <c:tickLblPos val="nextTo"/>
        <c:crossAx val="143151616"/>
        <c:crosses val="autoZero"/>
        <c:auto val="1"/>
        <c:lblOffset val="100"/>
        <c:baseTimeUnit val="days"/>
        <c:majorUnit val="1"/>
        <c:minorUnit val="1"/>
      </c:dateAx>
    </c:plotArea>
    <c:legend>
      <c:legendPos val="b"/>
      <c:layout>
        <c:manualLayout>
          <c:xMode val="edge"/>
          <c:yMode val="edge"/>
          <c:x val="0.11017683980241168"/>
          <c:y val="0.933525253787721"/>
          <c:w val="0.77964620464338319"/>
          <c:h val="5.236539876959824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88285312650592E-2"/>
          <c:y val="3.9855072463768806E-2"/>
          <c:w val="0.9545551000881447"/>
          <c:h val="0.7688272222222301"/>
        </c:manualLayout>
      </c:layout>
      <c:lineChart>
        <c:grouping val="standard"/>
        <c:varyColors val="0"/>
        <c:ser>
          <c:idx val="0"/>
          <c:order val="0"/>
          <c:tx>
            <c:strRef>
              <c:f>'Patient Experience'!$B$11</c:f>
              <c:strCache>
                <c:ptCount val="1"/>
                <c:pt idx="0">
                  <c:v>Average of Weighted Response Scores</c:v>
                </c:pt>
              </c:strCache>
            </c:strRef>
          </c:tx>
          <c:spPr>
            <a:ln w="25400">
              <a:solidFill>
                <a:srgbClr val="0070C0"/>
              </a:solidFill>
            </a:ln>
          </c:spPr>
          <c:marker>
            <c:symbol val="circle"/>
            <c:size val="4"/>
            <c:spPr>
              <a:solidFill>
                <a:srgbClr val="0070C0"/>
              </a:solidFill>
              <a:ln w="25400">
                <a:solidFill>
                  <a:srgbClr val="0070C0"/>
                </a:solidFill>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dLblPos val="b"/>
            <c:showLegendKey val="0"/>
            <c:showVal val="1"/>
            <c:showCatName val="0"/>
            <c:showSerName val="0"/>
            <c:showPercent val="0"/>
            <c:showBubbleSize val="0"/>
            <c:showLeaderLines val="0"/>
          </c:dLbls>
          <c:cat>
            <c:numRef>
              <c:f>'Patient Experience'!$A$12:$A$59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'Patient Experience'!$B$12:$B$59</c:f>
              <c:numCache>
                <c:formatCode>0.00</c:formatCode>
                <c:ptCount val="48"/>
                <c:pt idx="0">
                  <c:v>8.5366972477064227</c:v>
                </c:pt>
                <c:pt idx="1">
                  <c:v>8.6256684491978604</c:v>
                </c:pt>
                <c:pt idx="2">
                  <c:v>8.5081433224755703</c:v>
                </c:pt>
                <c:pt idx="3">
                  <c:v>8.7009803921568629</c:v>
                </c:pt>
                <c:pt idx="4">
                  <c:v>8.7175324675324681</c:v>
                </c:pt>
                <c:pt idx="5">
                  <c:v>8.68</c:v>
                </c:pt>
                <c:pt idx="6">
                  <c:v>8.67</c:v>
                </c:pt>
                <c:pt idx="7">
                  <c:v>8.7200000000000006</c:v>
                </c:pt>
                <c:pt idx="8">
                  <c:v>8.73</c:v>
                </c:pt>
                <c:pt idx="9">
                  <c:v>8.43</c:v>
                </c:pt>
                <c:pt idx="10">
                  <c:v>8.74</c:v>
                </c:pt>
                <c:pt idx="11">
                  <c:v>8.5500000000000007</c:v>
                </c:pt>
                <c:pt idx="12">
                  <c:v>8.69</c:v>
                </c:pt>
                <c:pt idx="13">
                  <c:v>8.89</c:v>
                </c:pt>
                <c:pt idx="14">
                  <c:v>8.82</c:v>
                </c:pt>
                <c:pt idx="15">
                  <c:v>9.08</c:v>
                </c:pt>
                <c:pt idx="16">
                  <c:v>9</c:v>
                </c:pt>
                <c:pt idx="17">
                  <c:v>8.9700000000000006</c:v>
                </c:pt>
                <c:pt idx="18">
                  <c:v>8.92</c:v>
                </c:pt>
                <c:pt idx="19">
                  <c:v>8.9600000000000009</c:v>
                </c:pt>
                <c:pt idx="20">
                  <c:v>8.8800000000000008</c:v>
                </c:pt>
                <c:pt idx="21">
                  <c:v>8.64</c:v>
                </c:pt>
                <c:pt idx="22">
                  <c:v>8.94</c:v>
                </c:pt>
                <c:pt idx="23">
                  <c:v>8.8000000000000007</c:v>
                </c:pt>
                <c:pt idx="24">
                  <c:v>8.9</c:v>
                </c:pt>
                <c:pt idx="25">
                  <c:v>8.8000000000000007</c:v>
                </c:pt>
                <c:pt idx="26">
                  <c:v>8.9</c:v>
                </c:pt>
              </c:numCache>
            </c:numRef>
          </c:val>
          <c:smooth val="0"/>
        </c:ser>
        <c:ser>
          <c:idx val="1"/>
          <c:order val="1"/>
          <c:tx>
            <c:strRef>
              <c:f>'Patient Experience'!$C$11</c:f>
              <c:strCache>
                <c:ptCount val="1"/>
                <c:pt idx="0">
                  <c:v>Target (min)</c:v>
                </c:pt>
              </c:strCache>
            </c:strRef>
          </c:tx>
          <c:spPr>
            <a:ln w="25400">
              <a:solidFill>
                <a:srgbClr val="FF0000"/>
              </a:solidFill>
              <a:prstDash val="sysDash"/>
            </a:ln>
          </c:spPr>
          <c:marker>
            <c:symbol val="none"/>
          </c:marker>
          <c:cat>
            <c:numRef>
              <c:f>'Patient Experience'!$A$12:$A$59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'Patient Experience'!$C$12:$C$59</c:f>
              <c:numCache>
                <c:formatCode>0.0</c:formatCode>
                <c:ptCount val="48"/>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numCache>
            </c:numRef>
          </c:val>
          <c:smooth val="0"/>
        </c:ser>
        <c:dLbls>
          <c:showLegendKey val="0"/>
          <c:showVal val="0"/>
          <c:showCatName val="0"/>
          <c:showSerName val="0"/>
          <c:showPercent val="0"/>
          <c:showBubbleSize val="0"/>
        </c:dLbls>
        <c:marker val="1"/>
        <c:smooth val="0"/>
        <c:axId val="143514624"/>
        <c:axId val="143153920"/>
      </c:lineChart>
      <c:dateAx>
        <c:axId val="14351462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3153920"/>
        <c:crosses val="autoZero"/>
        <c:auto val="1"/>
        <c:lblOffset val="100"/>
        <c:baseTimeUnit val="months"/>
      </c:dateAx>
      <c:valAx>
        <c:axId val="143153920"/>
        <c:scaling>
          <c:orientation val="minMax"/>
          <c:max val="10"/>
          <c:min val="0"/>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3514624"/>
        <c:crosses val="autoZero"/>
        <c:crossBetween val="between"/>
        <c:majorUnit val="1"/>
      </c:valAx>
    </c:plotArea>
    <c:legend>
      <c:legendPos val="r"/>
      <c:layout>
        <c:manualLayout>
          <c:xMode val="edge"/>
          <c:yMode val="edge"/>
          <c:x val="0.34781098889651435"/>
          <c:y val="0.92796511547167715"/>
          <c:w val="0.32833956946120685"/>
          <c:h val="6.521740338013082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26388888888912E-2"/>
          <c:y val="4.8611111111111112E-2"/>
          <c:w val="0.89364583333335113"/>
          <c:h val="0.78075916666666678"/>
        </c:manualLayout>
      </c:layout>
      <c:lineChart>
        <c:grouping val="standard"/>
        <c:varyColors val="0"/>
        <c:ser>
          <c:idx val="0"/>
          <c:order val="0"/>
          <c:tx>
            <c:strRef>
              <c:f>ABI!$B$13</c:f>
              <c:strCache>
                <c:ptCount val="1"/>
                <c:pt idx="0">
                  <c:v>Lothian</c:v>
                </c:pt>
              </c:strCache>
            </c:strRef>
          </c:tx>
          <c:spPr>
            <a:ln w="25400">
              <a:solidFill>
                <a:srgbClr val="0070C0"/>
              </a:solidFill>
            </a:ln>
          </c:spPr>
          <c:marker>
            <c:symbol val="circle"/>
            <c:size val="4"/>
            <c:spPr>
              <a:solidFill>
                <a:srgbClr val="0070C0"/>
              </a:solidFill>
              <a:ln w="25400">
                <a:solidFill>
                  <a:srgbClr val="0070C0"/>
                </a:solidFill>
              </a:ln>
            </c:spPr>
          </c:marker>
          <c:cat>
            <c:numRef>
              <c:f>ABI!$A$18:$A$21</c:f>
              <c:numCache>
                <c:formatCode>mmm\-yy</c:formatCode>
                <c:ptCount val="4"/>
                <c:pt idx="0">
                  <c:v>42522</c:v>
                </c:pt>
                <c:pt idx="1">
                  <c:v>42614</c:v>
                </c:pt>
                <c:pt idx="2">
                  <c:v>42705</c:v>
                </c:pt>
                <c:pt idx="3">
                  <c:v>42795</c:v>
                </c:pt>
              </c:numCache>
            </c:numRef>
          </c:cat>
          <c:val>
            <c:numRef>
              <c:f>ABI!$B$18:$B$21</c:f>
              <c:numCache>
                <c:formatCode>#,##0</c:formatCode>
                <c:ptCount val="4"/>
                <c:pt idx="0">
                  <c:v>6192</c:v>
                </c:pt>
                <c:pt idx="1">
                  <c:v>11370</c:v>
                </c:pt>
                <c:pt idx="2">
                  <c:v>16831</c:v>
                </c:pt>
                <c:pt idx="3">
                  <c:v>22291</c:v>
                </c:pt>
              </c:numCache>
            </c:numRef>
          </c:val>
          <c:smooth val="0"/>
        </c:ser>
        <c:ser>
          <c:idx val="1"/>
          <c:order val="1"/>
          <c:tx>
            <c:strRef>
              <c:f>ABI!$C$13</c:f>
              <c:strCache>
                <c:ptCount val="1"/>
                <c:pt idx="0">
                  <c:v>Target (min)</c:v>
                </c:pt>
              </c:strCache>
            </c:strRef>
          </c:tx>
          <c:spPr>
            <a:ln w="25400">
              <a:solidFill>
                <a:srgbClr val="FF0000"/>
              </a:solidFill>
              <a:prstDash val="dash"/>
            </a:ln>
          </c:spPr>
          <c:marker>
            <c:symbol val="none"/>
          </c:marker>
          <c:cat>
            <c:numRef>
              <c:f>ABI!$A$18:$A$21</c:f>
              <c:numCache>
                <c:formatCode>mmm\-yy</c:formatCode>
                <c:ptCount val="4"/>
                <c:pt idx="0">
                  <c:v>42522</c:v>
                </c:pt>
                <c:pt idx="1">
                  <c:v>42614</c:v>
                </c:pt>
                <c:pt idx="2">
                  <c:v>42705</c:v>
                </c:pt>
                <c:pt idx="3">
                  <c:v>42795</c:v>
                </c:pt>
              </c:numCache>
            </c:numRef>
          </c:cat>
          <c:val>
            <c:numRef>
              <c:f>ABI!$C$18:$C$21</c:f>
              <c:numCache>
                <c:formatCode>#,##0</c:formatCode>
                <c:ptCount val="4"/>
                <c:pt idx="0">
                  <c:v>2440</c:v>
                </c:pt>
                <c:pt idx="1">
                  <c:v>4879</c:v>
                </c:pt>
                <c:pt idx="2">
                  <c:v>7318</c:v>
                </c:pt>
                <c:pt idx="3">
                  <c:v>9757</c:v>
                </c:pt>
              </c:numCache>
            </c:numRef>
          </c:val>
          <c:smooth val="0"/>
        </c:ser>
        <c:dLbls>
          <c:showLegendKey val="0"/>
          <c:showVal val="0"/>
          <c:showCatName val="0"/>
          <c:showSerName val="0"/>
          <c:showPercent val="0"/>
          <c:showBubbleSize val="0"/>
        </c:dLbls>
        <c:marker val="1"/>
        <c:smooth val="0"/>
        <c:axId val="98723840"/>
        <c:axId val="125952576"/>
      </c:lineChart>
      <c:dateAx>
        <c:axId val="98723840"/>
        <c:scaling>
          <c:orientation val="minMax"/>
        </c:scaling>
        <c:delete val="0"/>
        <c:axPos val="b"/>
        <c:numFmt formatCode="mmm\ yy"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5952576"/>
        <c:crosses val="autoZero"/>
        <c:auto val="1"/>
        <c:lblOffset val="100"/>
        <c:baseTimeUnit val="months"/>
        <c:majorUnit val="3"/>
        <c:majorTimeUnit val="months"/>
      </c:dateAx>
      <c:valAx>
        <c:axId val="125952576"/>
        <c:scaling>
          <c:orientation val="minMax"/>
          <c:max val="30000"/>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98723840"/>
        <c:crosses val="autoZero"/>
        <c:crossBetween val="between"/>
      </c:valAx>
    </c:plotArea>
    <c:legend>
      <c:legendPos val="r"/>
      <c:layout>
        <c:manualLayout>
          <c:xMode val="edge"/>
          <c:yMode val="edge"/>
          <c:x val="0.29106945975744786"/>
          <c:y val="0.88888888888888884"/>
          <c:w val="0.47739801543550031"/>
          <c:h val="8.465608465608774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150720155466"/>
          <c:h val="0.75521638888888887"/>
        </c:manualLayout>
      </c:layout>
      <c:lineChart>
        <c:grouping val="standard"/>
        <c:varyColors val="0"/>
        <c:ser>
          <c:idx val="4"/>
          <c:order val="0"/>
          <c:tx>
            <c:strRef>
              <c:f>'P.R. Surveillance Endoscopy'!$A$43</c:f>
              <c:strCache>
                <c:ptCount val="1"/>
                <c:pt idx="0">
                  <c:v>Total Planned Repeat Surveillance Endoscopy Patients Waiting &amp; Overdue Appointment </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Endoscopy'!$B$16:$AW$16</c:f>
              <c:numCache>
                <c:formatCode>#,##0</c:formatCode>
                <c:ptCount val="48"/>
                <c:pt idx="0">
                  <c:v>1238</c:v>
                </c:pt>
                <c:pt idx="1">
                  <c:v>1230</c:v>
                </c:pt>
                <c:pt idx="2">
                  <c:v>1242</c:v>
                </c:pt>
                <c:pt idx="3">
                  <c:v>1369</c:v>
                </c:pt>
                <c:pt idx="4">
                  <c:v>1503</c:v>
                </c:pt>
                <c:pt idx="5">
                  <c:v>1634</c:v>
                </c:pt>
                <c:pt idx="6">
                  <c:v>1801</c:v>
                </c:pt>
                <c:pt idx="7">
                  <c:v>2039</c:v>
                </c:pt>
                <c:pt idx="8">
                  <c:v>2252</c:v>
                </c:pt>
                <c:pt idx="9">
                  <c:v>2331</c:v>
                </c:pt>
                <c:pt idx="10">
                  <c:v>2268</c:v>
                </c:pt>
                <c:pt idx="11">
                  <c:v>2335</c:v>
                </c:pt>
                <c:pt idx="12">
                  <c:v>2558</c:v>
                </c:pt>
                <c:pt idx="13">
                  <c:v>2821</c:v>
                </c:pt>
                <c:pt idx="14">
                  <c:v>3078</c:v>
                </c:pt>
                <c:pt idx="15">
                  <c:v>3082</c:v>
                </c:pt>
                <c:pt idx="16">
                  <c:v>3207</c:v>
                </c:pt>
                <c:pt idx="17">
                  <c:v>3491</c:v>
                </c:pt>
                <c:pt idx="18">
                  <c:v>3744</c:v>
                </c:pt>
                <c:pt idx="19">
                  <c:v>3936</c:v>
                </c:pt>
                <c:pt idx="20">
                  <c:v>3825</c:v>
                </c:pt>
                <c:pt idx="21">
                  <c:v>4237</c:v>
                </c:pt>
                <c:pt idx="22">
                  <c:v>4286</c:v>
                </c:pt>
                <c:pt idx="23">
                  <c:v>4231</c:v>
                </c:pt>
                <c:pt idx="24">
                  <c:v>4357</c:v>
                </c:pt>
                <c:pt idx="25">
                  <c:v>4500</c:v>
                </c:pt>
                <c:pt idx="26">
                  <c:v>4021</c:v>
                </c:pt>
                <c:pt idx="27">
                  <c:v>4591</c:v>
                </c:pt>
                <c:pt idx="28">
                  <c:v>4543</c:v>
                </c:pt>
              </c:numCache>
            </c:numRef>
          </c:val>
          <c:smooth val="0"/>
        </c:ser>
        <c:ser>
          <c:idx val="0"/>
          <c:order val="1"/>
          <c:tx>
            <c:strRef>
              <c:f>'P.R. Surveillance Endoscopy'!$A$41</c:f>
              <c:strCache>
                <c:ptCount val="1"/>
                <c:pt idx="0">
                  <c:v>Target (max)</c:v>
                </c:pt>
              </c:strCache>
            </c:strRef>
          </c:tx>
          <c:spPr>
            <a:ln>
              <a:solidFill>
                <a:srgbClr val="FF00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Endoscopy'!$B$41:$AW$41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3513088"/>
        <c:axId val="143664256"/>
      </c:lineChart>
      <c:dateAx>
        <c:axId val="14351308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3664256"/>
        <c:crosses val="autoZero"/>
        <c:auto val="1"/>
        <c:lblOffset val="100"/>
        <c:baseTimeUnit val="months"/>
      </c:dateAx>
      <c:valAx>
        <c:axId val="143664256"/>
        <c:scaling>
          <c:orientation val="minMax"/>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3513088"/>
        <c:crosses val="autoZero"/>
        <c:crossBetween val="between"/>
      </c:valAx>
    </c:plotArea>
    <c:legend>
      <c:legendPos val="r"/>
      <c:layout>
        <c:manualLayout>
          <c:xMode val="edge"/>
          <c:yMode val="edge"/>
          <c:x val="3.7418468932372134E-2"/>
          <c:y val="0.93386243386243351"/>
          <c:w val="0.92173017507723598"/>
          <c:h val="4.7619047619048012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250221858468886E-2"/>
          <c:y val="2.9451131676073303E-2"/>
          <c:w val="0.93356080489938753"/>
          <c:h val="0.7832397110155046"/>
        </c:manualLayout>
      </c:layout>
      <c:lineChart>
        <c:grouping val="standard"/>
        <c:varyColors val="0"/>
        <c:ser>
          <c:idx val="0"/>
          <c:order val="0"/>
          <c:tx>
            <c:strRef>
              <c:f>'P.R. Surveillance Endoscopy'!$A$154</c:f>
              <c:strCache>
                <c:ptCount val="1"/>
                <c:pt idx="0">
                  <c:v>Total &gt; 6 Weeks Overdue</c:v>
                </c:pt>
              </c:strCache>
            </c:strRef>
          </c:tx>
          <c:spPr>
            <a:ln w="25400">
              <a:solidFill>
                <a:srgbClr val="0070C0"/>
              </a:solidFill>
            </a:ln>
          </c:spPr>
          <c:marker>
            <c:symbol val="circle"/>
            <c:size val="5"/>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Endoscopy'!$B$154:$AW$154</c:f>
              <c:numCache>
                <c:formatCode>#,##0</c:formatCode>
                <c:ptCount val="48"/>
                <c:pt idx="0">
                  <c:v>613</c:v>
                </c:pt>
                <c:pt idx="1">
                  <c:v>632</c:v>
                </c:pt>
                <c:pt idx="2">
                  <c:v>632</c:v>
                </c:pt>
                <c:pt idx="3">
                  <c:v>811</c:v>
                </c:pt>
                <c:pt idx="4">
                  <c:v>920</c:v>
                </c:pt>
                <c:pt idx="5">
                  <c:v>1068</c:v>
                </c:pt>
                <c:pt idx="6">
                  <c:v>1116</c:v>
                </c:pt>
                <c:pt idx="7">
                  <c:v>1357</c:v>
                </c:pt>
                <c:pt idx="8">
                  <c:v>1598</c:v>
                </c:pt>
                <c:pt idx="9">
                  <c:v>1751</c:v>
                </c:pt>
                <c:pt idx="10">
                  <c:v>1781</c:v>
                </c:pt>
                <c:pt idx="11">
                  <c:v>1868</c:v>
                </c:pt>
                <c:pt idx="12">
                  <c:v>2043</c:v>
                </c:pt>
                <c:pt idx="13">
                  <c:v>2179</c:v>
                </c:pt>
                <c:pt idx="14">
                  <c:v>2443</c:v>
                </c:pt>
                <c:pt idx="15">
                  <c:v>2580</c:v>
                </c:pt>
                <c:pt idx="16">
                  <c:v>2632</c:v>
                </c:pt>
                <c:pt idx="17">
                  <c:v>2811</c:v>
                </c:pt>
                <c:pt idx="18">
                  <c:v>3088</c:v>
                </c:pt>
                <c:pt idx="19">
                  <c:v>3289</c:v>
                </c:pt>
                <c:pt idx="20">
                  <c:v>3251</c:v>
                </c:pt>
                <c:pt idx="21">
                  <c:v>3613</c:v>
                </c:pt>
                <c:pt idx="22">
                  <c:v>3644</c:v>
                </c:pt>
                <c:pt idx="23">
                  <c:v>3564</c:v>
                </c:pt>
                <c:pt idx="24">
                  <c:v>3717</c:v>
                </c:pt>
                <c:pt idx="25">
                  <c:v>3837</c:v>
                </c:pt>
                <c:pt idx="26">
                  <c:v>3365</c:v>
                </c:pt>
                <c:pt idx="27">
                  <c:v>3923</c:v>
                </c:pt>
                <c:pt idx="28">
                  <c:v>3951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Endoscopy'!$A$41</c:f>
              <c:strCache>
                <c:ptCount val="1"/>
                <c:pt idx="0">
                  <c:v>Target (max)</c:v>
                </c:pt>
              </c:strCache>
            </c:strRef>
          </c:tx>
          <c:spPr>
            <a:ln w="25400">
              <a:solidFill>
                <a:srgbClr val="FF00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Endoscopy'!$B$41:$AW$41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Endoscopy'!$A$155</c:f>
              <c:strCache>
                <c:ptCount val="1"/>
                <c:pt idx="0">
                  <c:v>Baseline Median</c:v>
                </c:pt>
              </c:strCache>
            </c:strRef>
          </c:tx>
          <c:spPr>
            <a:ln w="25400">
              <a:solidFill>
                <a:schemeClr val="tx1"/>
              </a:solidFill>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Endoscopy'!$B$155:$M$155</c:f>
              <c:numCache>
                <c:formatCode>#,##0</c:formatCode>
                <c:ptCount val="12"/>
                <c:pt idx="0">
                  <c:v>1092</c:v>
                </c:pt>
                <c:pt idx="1">
                  <c:v>1092</c:v>
                </c:pt>
                <c:pt idx="2">
                  <c:v>1092</c:v>
                </c:pt>
                <c:pt idx="3">
                  <c:v>1092</c:v>
                </c:pt>
                <c:pt idx="4">
                  <c:v>1092</c:v>
                </c:pt>
                <c:pt idx="5">
                  <c:v>1092</c:v>
                </c:pt>
                <c:pt idx="6">
                  <c:v>1092</c:v>
                </c:pt>
                <c:pt idx="7">
                  <c:v>1092</c:v>
                </c:pt>
                <c:pt idx="8">
                  <c:v>1092</c:v>
                </c:pt>
                <c:pt idx="9">
                  <c:v>1092</c:v>
                </c:pt>
                <c:pt idx="10">
                  <c:v>1092</c:v>
                </c:pt>
                <c:pt idx="11">
                  <c:v>1092</c:v>
                </c:pt>
              </c:numCache>
            </c:numRef>
          </c:val>
          <c:smooth val="0"/>
        </c:ser>
        <c:ser>
          <c:idx val="2"/>
          <c:order val="3"/>
          <c:tx>
            <c:strRef>
              <c:f>'P.R. Surveillance Endoscopy'!$A$156</c:f>
              <c:strCache>
                <c:ptCount val="1"/>
                <c:pt idx="0">
                  <c:v>Extended Baseline Median</c:v>
                </c:pt>
              </c:strCache>
            </c:strRef>
          </c:tx>
          <c:spPr>
            <a:ln w="25400">
              <a:solidFill>
                <a:prstClr val="black"/>
              </a:solidFill>
              <a:prstDash val="dash"/>
            </a:ln>
          </c:spPr>
          <c:marker>
            <c:symbol val="none"/>
          </c:marker>
          <c:dPt>
            <c:idx val="13"/>
            <c:bubble3D val="0"/>
            <c:spPr>
              <a:ln w="25400">
                <a:noFill/>
                <a:prstDash val="dash"/>
              </a:ln>
            </c:spPr>
          </c:dPt>
          <c:dPt>
            <c:idx val="14"/>
            <c:bubble3D val="0"/>
            <c:spPr>
              <a:ln w="25400">
                <a:noFill/>
                <a:prstDash val="dash"/>
              </a:ln>
            </c:spPr>
          </c:dPt>
          <c:dPt>
            <c:idx val="15"/>
            <c:bubble3D val="0"/>
            <c:spPr>
              <a:ln w="25400">
                <a:noFill/>
                <a:prstDash val="dash"/>
              </a:ln>
            </c:spPr>
          </c:dPt>
          <c:dPt>
            <c:idx val="16"/>
            <c:bubble3D val="0"/>
            <c:spPr>
              <a:ln w="25400">
                <a:noFill/>
                <a:prstDash val="dash"/>
              </a:ln>
            </c:spPr>
          </c:dPt>
          <c:dPt>
            <c:idx val="17"/>
            <c:bubble3D val="0"/>
            <c:spPr>
              <a:ln w="25400">
                <a:noFill/>
                <a:prstDash val="dash"/>
              </a:ln>
            </c:spPr>
          </c:dPt>
          <c:dPt>
            <c:idx val="18"/>
            <c:bubble3D val="0"/>
            <c:spPr>
              <a:ln w="25400">
                <a:noFill/>
                <a:prstDash val="dash"/>
              </a:ln>
            </c:spPr>
          </c:dPt>
          <c:dPt>
            <c:idx val="19"/>
            <c:bubble3D val="0"/>
            <c:spPr>
              <a:ln w="25400">
                <a:noFill/>
                <a:prstDash val="dash"/>
              </a:ln>
            </c:spPr>
          </c:dPt>
          <c:dPt>
            <c:idx val="20"/>
            <c:bubble3D val="0"/>
            <c:spPr>
              <a:ln w="25400">
                <a:noFill/>
                <a:prstDash val="dash"/>
              </a:ln>
            </c:spPr>
          </c:dPt>
          <c:dPt>
            <c:idx val="21"/>
            <c:bubble3D val="0"/>
            <c:spPr>
              <a:ln w="25400">
                <a:noFill/>
                <a:prstDash val="dash"/>
              </a:ln>
            </c:spPr>
          </c:dPt>
          <c:dPt>
            <c:idx val="22"/>
            <c:bubble3D val="0"/>
            <c:spPr>
              <a:ln w="25400">
                <a:noFill/>
                <a:prstDash val="dash"/>
              </a:ln>
            </c:spPr>
          </c:dPt>
          <c:dPt>
            <c:idx val="23"/>
            <c:bubble3D val="0"/>
            <c:spPr>
              <a:ln w="25400">
                <a:noFill/>
                <a:prstDash val="dash"/>
              </a:ln>
            </c:spPr>
          </c:dPt>
          <c:dPt>
            <c:idx val="24"/>
            <c:bubble3D val="0"/>
            <c:spPr>
              <a:ln w="25400">
                <a:noFill/>
                <a:prstDash val="dash"/>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Endoscopy'!$B$156:$AW$156</c:f>
              <c:numCache>
                <c:formatCode>#,##0</c:formatCode>
                <c:ptCount val="48"/>
                <c:pt idx="11">
                  <c:v>1092</c:v>
                </c:pt>
                <c:pt idx="12">
                  <c:v>1092</c:v>
                </c:pt>
              </c:numCache>
            </c:numRef>
          </c:val>
          <c:smooth val="0"/>
        </c:ser>
        <c:ser>
          <c:idx val="4"/>
          <c:order val="4"/>
          <c:tx>
            <c:strRef>
              <c:f>'P.R. Surveillance Endoscopy'!$A$157</c:f>
              <c:strCache>
                <c:ptCount val="1"/>
                <c:pt idx="0">
                  <c:v>New Median</c:v>
                </c:pt>
              </c:strCache>
            </c:strRef>
          </c:tx>
          <c:spPr>
            <a:ln w="25400">
              <a:solidFill>
                <a:srgbClr val="E69F00"/>
              </a:solidFill>
            </a:ln>
          </c:spPr>
          <c:marker>
            <c:symbol val="none"/>
          </c:marker>
          <c:dPt>
            <c:idx val="12"/>
            <c:bubble3D val="0"/>
            <c:spPr>
              <a:ln w="25400">
                <a:noFill/>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Endoscopy'!$B$157:$AW$157</c:f>
              <c:numCache>
                <c:formatCode>#,##0</c:formatCode>
                <c:ptCount val="48"/>
                <c:pt idx="12">
                  <c:v>2949.5</c:v>
                </c:pt>
                <c:pt idx="13">
                  <c:v>2949.5</c:v>
                </c:pt>
                <c:pt idx="14">
                  <c:v>2949.5</c:v>
                </c:pt>
                <c:pt idx="15">
                  <c:v>2949.5</c:v>
                </c:pt>
                <c:pt idx="16">
                  <c:v>2949.5</c:v>
                </c:pt>
                <c:pt idx="17">
                  <c:v>2949.5</c:v>
                </c:pt>
                <c:pt idx="18">
                  <c:v>2949.5</c:v>
                </c:pt>
                <c:pt idx="19">
                  <c:v>2949.5</c:v>
                </c:pt>
                <c:pt idx="20">
                  <c:v>2949.5</c:v>
                </c:pt>
                <c:pt idx="21">
                  <c:v>2949.5</c:v>
                </c:pt>
                <c:pt idx="22">
                  <c:v>2949.5</c:v>
                </c:pt>
                <c:pt idx="23">
                  <c:v>2949.5</c:v>
                </c:pt>
              </c:numCache>
            </c:numRef>
          </c:val>
          <c:smooth val="0"/>
        </c:ser>
        <c:ser>
          <c:idx val="5"/>
          <c:order val="5"/>
          <c:tx>
            <c:strRef>
              <c:f>'P.R. Surveillance Endoscopy'!$A$158</c:f>
              <c:strCache>
                <c:ptCount val="1"/>
                <c:pt idx="0">
                  <c:v>Extended New Median</c:v>
                </c:pt>
              </c:strCache>
            </c:strRef>
          </c:tx>
          <c:spPr>
            <a:ln w="25400">
              <a:solidFill>
                <a:srgbClr val="E69F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Endoscopy'!$B$158:$AW$158</c:f>
              <c:numCache>
                <c:formatCode>#,##0</c:formatCode>
                <c:ptCount val="48"/>
                <c:pt idx="23">
                  <c:v>2949.5</c:v>
                </c:pt>
                <c:pt idx="24">
                  <c:v>2949.5</c:v>
                </c:pt>
                <c:pt idx="25">
                  <c:v>2949.5</c:v>
                </c:pt>
                <c:pt idx="26">
                  <c:v>2949.5</c:v>
                </c:pt>
                <c:pt idx="27">
                  <c:v>2949.5</c:v>
                </c:pt>
                <c:pt idx="28">
                  <c:v>2949.5</c:v>
                </c:pt>
                <c:pt idx="29">
                  <c:v>2949.5</c:v>
                </c:pt>
                <c:pt idx="30">
                  <c:v>2949.5</c:v>
                </c:pt>
                <c:pt idx="31">
                  <c:v>2949.5</c:v>
                </c:pt>
                <c:pt idx="32">
                  <c:v>2949.5</c:v>
                </c:pt>
                <c:pt idx="33">
                  <c:v>2949.5</c:v>
                </c:pt>
                <c:pt idx="34">
                  <c:v>2949.5</c:v>
                </c:pt>
                <c:pt idx="35">
                  <c:v>2949.5</c:v>
                </c:pt>
                <c:pt idx="36">
                  <c:v>2949.5</c:v>
                </c:pt>
                <c:pt idx="37">
                  <c:v>2949.5</c:v>
                </c:pt>
                <c:pt idx="38">
                  <c:v>2949.5</c:v>
                </c:pt>
                <c:pt idx="39">
                  <c:v>2949.5</c:v>
                </c:pt>
                <c:pt idx="40">
                  <c:v>2949.5</c:v>
                </c:pt>
                <c:pt idx="41">
                  <c:v>2949.5</c:v>
                </c:pt>
                <c:pt idx="42">
                  <c:v>2949.5</c:v>
                </c:pt>
                <c:pt idx="43">
                  <c:v>2949.5</c:v>
                </c:pt>
                <c:pt idx="44">
                  <c:v>2949.5</c:v>
                </c:pt>
                <c:pt idx="45">
                  <c:v>2949.5</c:v>
                </c:pt>
                <c:pt idx="46">
                  <c:v>2949.5</c:v>
                </c:pt>
                <c:pt idx="47">
                  <c:v>2949.5</c:v>
                </c:pt>
              </c:numCache>
            </c:numRef>
          </c:val>
          <c:smooth val="0"/>
        </c:ser>
        <c:dLbls>
          <c:showLegendKey val="0"/>
          <c:showVal val="0"/>
          <c:showCatName val="0"/>
          <c:showSerName val="0"/>
          <c:showPercent val="0"/>
          <c:showBubbleSize val="0"/>
        </c:dLbls>
        <c:marker val="1"/>
        <c:smooth val="0"/>
        <c:axId val="143649280"/>
        <c:axId val="143666560"/>
      </c:lineChart>
      <c:dateAx>
        <c:axId val="143649280"/>
        <c:scaling>
          <c:orientation val="minMax"/>
        </c:scaling>
        <c:delete val="0"/>
        <c:axPos val="b"/>
        <c:numFmt formatCode="mmm\ yy" sourceLinked="0"/>
        <c:majorTickMark val="out"/>
        <c:minorTickMark val="none"/>
        <c:tickLblPos val="nextTo"/>
        <c:txPr>
          <a:bodyPr rot="-5400000" vert="horz"/>
          <a:lstStyle/>
          <a:p>
            <a:pPr>
              <a:defRPr sz="800">
                <a:solidFill>
                  <a:schemeClr val="tx1"/>
                </a:solidFill>
                <a:latin typeface="Arial" pitchFamily="34" charset="0"/>
                <a:cs typeface="Arial" pitchFamily="34" charset="0"/>
              </a:defRPr>
            </a:pPr>
            <a:endParaRPr lang="en-US"/>
          </a:p>
        </c:txPr>
        <c:crossAx val="143666560"/>
        <c:crosses val="autoZero"/>
        <c:auto val="1"/>
        <c:lblOffset val="100"/>
        <c:baseTimeUnit val="months"/>
        <c:majorUnit val="1"/>
        <c:majorTimeUnit val="months"/>
      </c:dateAx>
      <c:valAx>
        <c:axId val="143666560"/>
        <c:scaling>
          <c:orientation val="minMax"/>
        </c:scaling>
        <c:delete val="0"/>
        <c:axPos val="l"/>
        <c:majorGridlines/>
        <c:numFmt formatCode="#,##0" sourceLinked="0"/>
        <c:majorTickMark val="out"/>
        <c:minorTickMark val="none"/>
        <c:tickLblPos val="nextTo"/>
        <c:txPr>
          <a:bodyPr/>
          <a:lstStyle/>
          <a:p>
            <a:pPr>
              <a:defRPr sz="800">
                <a:solidFill>
                  <a:schemeClr val="tx1"/>
                </a:solidFill>
                <a:latin typeface="Arial" pitchFamily="34" charset="0"/>
                <a:cs typeface="Arial" pitchFamily="34" charset="0"/>
              </a:defRPr>
            </a:pPr>
            <a:endParaRPr lang="en-US"/>
          </a:p>
        </c:txPr>
        <c:crossAx val="143649280"/>
        <c:crosses val="autoZero"/>
        <c:crossBetween val="between"/>
      </c:valAx>
    </c:plotArea>
    <c:legend>
      <c:legendPos val="b"/>
      <c:legendEntry>
        <c:idx val="3"/>
        <c:txPr>
          <a:bodyPr/>
          <a:lstStyle/>
          <a:p>
            <a:pPr>
              <a:defRPr sz="800">
                <a:solidFill>
                  <a:schemeClr val="tx1"/>
                </a:solidFill>
                <a:latin typeface="Arial" pitchFamily="34" charset="0"/>
                <a:cs typeface="Arial" pitchFamily="34" charset="0"/>
              </a:defRPr>
            </a:pPr>
            <a:endParaRPr lang="en-US"/>
          </a:p>
        </c:txPr>
      </c:legendEntry>
      <c:legendEntry>
        <c:idx val="4"/>
        <c:txPr>
          <a:bodyPr/>
          <a:lstStyle/>
          <a:p>
            <a:pPr>
              <a:defRPr sz="800">
                <a:solidFill>
                  <a:schemeClr val="tx1"/>
                </a:solidFill>
                <a:latin typeface="Arial" pitchFamily="34" charset="0"/>
                <a:cs typeface="Arial" pitchFamily="34" charset="0"/>
              </a:defRPr>
            </a:pPr>
            <a:endParaRPr lang="en-US"/>
          </a:p>
        </c:txPr>
      </c:legendEntry>
      <c:legendEntry>
        <c:idx val="5"/>
        <c:txPr>
          <a:bodyPr/>
          <a:lstStyle/>
          <a:p>
            <a:pPr>
              <a:defRPr sz="800">
                <a:solidFill>
                  <a:schemeClr val="tx1"/>
                </a:solidFill>
                <a:latin typeface="Arial" pitchFamily="34" charset="0"/>
                <a:cs typeface="Arial" pitchFamily="34" charset="0"/>
              </a:defRPr>
            </a:pPr>
            <a:endParaRPr lang="en-US"/>
          </a:p>
        </c:txPr>
      </c:legendEntry>
      <c:layout>
        <c:manualLayout>
          <c:xMode val="edge"/>
          <c:yMode val="edge"/>
          <c:x val="8.7742223711397803E-3"/>
          <c:y val="0.94051384040912422"/>
          <c:w val="0.98403497892119096"/>
          <c:h val="5.0565870624196693E-2"/>
        </c:manualLayout>
      </c:layout>
      <c:overlay val="0"/>
      <c:txPr>
        <a:bodyPr/>
        <a:lstStyle/>
        <a:p>
          <a:pPr>
            <a:defRPr sz="800">
              <a:solidFill>
                <a:schemeClr val="tx1"/>
              </a:solidFill>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881374698902886E-2"/>
          <c:y val="3.7703513281919815E-2"/>
          <c:w val="0.9408839993708189"/>
          <c:h val="0.7840120370557796"/>
        </c:manualLayout>
      </c:layout>
      <c:lineChart>
        <c:grouping val="standard"/>
        <c:varyColors val="0"/>
        <c:ser>
          <c:idx val="0"/>
          <c:order val="0"/>
          <c:tx>
            <c:strRef>
              <c:f>'P.R. Surveillance Endoscopy'!$A$204</c:f>
              <c:strCache>
                <c:ptCount val="1"/>
                <c:pt idx="0">
                  <c:v>Upper Endoscopy &gt; 6 Weeks Overdue</c:v>
                </c:pt>
              </c:strCache>
            </c:strRef>
          </c:tx>
          <c:spPr>
            <a:ln w="25400">
              <a:solidFill>
                <a:srgbClr val="0070C0"/>
              </a:solidFill>
            </a:ln>
          </c:spPr>
          <c:marker>
            <c:symbol val="circle"/>
            <c:size val="5"/>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Endoscopy'!$B$204:$AW$204</c:f>
              <c:numCache>
                <c:formatCode>#,##0</c:formatCode>
                <c:ptCount val="48"/>
                <c:pt idx="0">
                  <c:v>172</c:v>
                </c:pt>
                <c:pt idx="1">
                  <c:v>178</c:v>
                </c:pt>
                <c:pt idx="2">
                  <c:v>183</c:v>
                </c:pt>
                <c:pt idx="3">
                  <c:v>220</c:v>
                </c:pt>
                <c:pt idx="4">
                  <c:v>250</c:v>
                </c:pt>
                <c:pt idx="5">
                  <c:v>284</c:v>
                </c:pt>
                <c:pt idx="6">
                  <c:v>308</c:v>
                </c:pt>
                <c:pt idx="7">
                  <c:v>365</c:v>
                </c:pt>
                <c:pt idx="8">
                  <c:v>417</c:v>
                </c:pt>
                <c:pt idx="9">
                  <c:v>469</c:v>
                </c:pt>
                <c:pt idx="10">
                  <c:v>499</c:v>
                </c:pt>
                <c:pt idx="11">
                  <c:v>492</c:v>
                </c:pt>
                <c:pt idx="12">
                  <c:v>528</c:v>
                </c:pt>
                <c:pt idx="13">
                  <c:v>533</c:v>
                </c:pt>
                <c:pt idx="14">
                  <c:v>586</c:v>
                </c:pt>
                <c:pt idx="15">
                  <c:v>605</c:v>
                </c:pt>
                <c:pt idx="16">
                  <c:v>637</c:v>
                </c:pt>
                <c:pt idx="17">
                  <c:v>675</c:v>
                </c:pt>
                <c:pt idx="18">
                  <c:v>700</c:v>
                </c:pt>
                <c:pt idx="19">
                  <c:v>706</c:v>
                </c:pt>
                <c:pt idx="20">
                  <c:v>674</c:v>
                </c:pt>
                <c:pt idx="21">
                  <c:v>721</c:v>
                </c:pt>
                <c:pt idx="22">
                  <c:v>714</c:v>
                </c:pt>
                <c:pt idx="23">
                  <c:v>643</c:v>
                </c:pt>
                <c:pt idx="24">
                  <c:v>649</c:v>
                </c:pt>
                <c:pt idx="25">
                  <c:v>679</c:v>
                </c:pt>
                <c:pt idx="26">
                  <c:v>372</c:v>
                </c:pt>
                <c:pt idx="27">
                  <c:v>762</c:v>
                </c:pt>
                <c:pt idx="28">
                  <c:v>794</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Endoscopy'!$A$41</c:f>
              <c:strCache>
                <c:ptCount val="1"/>
                <c:pt idx="0">
                  <c:v>Target (max)</c:v>
                </c:pt>
              </c:strCache>
            </c:strRef>
          </c:tx>
          <c:spPr>
            <a:ln w="25400">
              <a:solidFill>
                <a:srgbClr val="FF00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Endoscopy'!$B$41:$AW$41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Endoscopy'!$A$205</c:f>
              <c:strCache>
                <c:ptCount val="1"/>
                <c:pt idx="0">
                  <c:v>Baseline Median</c:v>
                </c:pt>
              </c:strCache>
            </c:strRef>
          </c:tx>
          <c:spPr>
            <a:ln w="25400">
              <a:solidFill>
                <a:schemeClr val="tx1"/>
              </a:solidFill>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Endoscopy'!$B$205:$M$205</c:f>
              <c:numCache>
                <c:formatCode>#,##0</c:formatCode>
                <c:ptCount val="12"/>
                <c:pt idx="0">
                  <c:v>296</c:v>
                </c:pt>
                <c:pt idx="1">
                  <c:v>296</c:v>
                </c:pt>
                <c:pt idx="2">
                  <c:v>296</c:v>
                </c:pt>
                <c:pt idx="3">
                  <c:v>296</c:v>
                </c:pt>
                <c:pt idx="4">
                  <c:v>296</c:v>
                </c:pt>
                <c:pt idx="5">
                  <c:v>296</c:v>
                </c:pt>
                <c:pt idx="6">
                  <c:v>296</c:v>
                </c:pt>
                <c:pt idx="7">
                  <c:v>296</c:v>
                </c:pt>
                <c:pt idx="8">
                  <c:v>296</c:v>
                </c:pt>
                <c:pt idx="9">
                  <c:v>296</c:v>
                </c:pt>
                <c:pt idx="10">
                  <c:v>296</c:v>
                </c:pt>
                <c:pt idx="11">
                  <c:v>296</c:v>
                </c:pt>
              </c:numCache>
            </c:numRef>
          </c:val>
          <c:smooth val="0"/>
        </c:ser>
        <c:ser>
          <c:idx val="2"/>
          <c:order val="3"/>
          <c:tx>
            <c:strRef>
              <c:f>'P.R. Surveillance Endoscopy'!$A$206</c:f>
              <c:strCache>
                <c:ptCount val="1"/>
                <c:pt idx="0">
                  <c:v>Extended Baseline Median</c:v>
                </c:pt>
              </c:strCache>
            </c:strRef>
          </c:tx>
          <c:spPr>
            <a:ln w="25400">
              <a:solidFill>
                <a:prstClr val="black"/>
              </a:solidFill>
              <a:prstDash val="dash"/>
            </a:ln>
          </c:spPr>
          <c:marker>
            <c:symbol val="none"/>
          </c:marker>
          <c:dPt>
            <c:idx val="13"/>
            <c:bubble3D val="0"/>
            <c:spPr>
              <a:ln w="25400">
                <a:noFill/>
                <a:prstDash val="dash"/>
              </a:ln>
            </c:spPr>
          </c:dPt>
          <c:dPt>
            <c:idx val="14"/>
            <c:bubble3D val="0"/>
            <c:spPr>
              <a:ln w="25400">
                <a:noFill/>
                <a:prstDash val="dash"/>
              </a:ln>
            </c:spPr>
          </c:dPt>
          <c:dPt>
            <c:idx val="15"/>
            <c:bubble3D val="0"/>
            <c:spPr>
              <a:ln w="25400">
                <a:noFill/>
                <a:prstDash val="dash"/>
              </a:ln>
            </c:spPr>
          </c:dPt>
          <c:dPt>
            <c:idx val="16"/>
            <c:bubble3D val="0"/>
            <c:spPr>
              <a:ln w="25400">
                <a:noFill/>
                <a:prstDash val="dash"/>
              </a:ln>
            </c:spPr>
          </c:dPt>
          <c:dPt>
            <c:idx val="17"/>
            <c:bubble3D val="0"/>
            <c:spPr>
              <a:ln w="25400">
                <a:noFill/>
                <a:prstDash val="dash"/>
              </a:ln>
            </c:spPr>
          </c:dPt>
          <c:dPt>
            <c:idx val="18"/>
            <c:bubble3D val="0"/>
            <c:spPr>
              <a:ln w="25400">
                <a:noFill/>
                <a:prstDash val="dash"/>
              </a:ln>
            </c:spPr>
          </c:dPt>
          <c:dPt>
            <c:idx val="19"/>
            <c:bubble3D val="0"/>
            <c:spPr>
              <a:ln w="25400">
                <a:noFill/>
                <a:prstDash val="dash"/>
              </a:ln>
            </c:spPr>
          </c:dPt>
          <c:dPt>
            <c:idx val="20"/>
            <c:bubble3D val="0"/>
            <c:spPr>
              <a:ln w="25400">
                <a:noFill/>
                <a:prstDash val="dash"/>
              </a:ln>
            </c:spPr>
          </c:dPt>
          <c:dPt>
            <c:idx val="21"/>
            <c:bubble3D val="0"/>
            <c:spPr>
              <a:ln w="25400">
                <a:noFill/>
                <a:prstDash val="dash"/>
              </a:ln>
            </c:spPr>
          </c:dPt>
          <c:dPt>
            <c:idx val="22"/>
            <c:bubble3D val="0"/>
            <c:spPr>
              <a:ln w="25400">
                <a:noFill/>
                <a:prstDash val="dash"/>
              </a:ln>
            </c:spPr>
          </c:dPt>
          <c:dPt>
            <c:idx val="23"/>
            <c:bubble3D val="0"/>
            <c:spPr>
              <a:ln w="25400">
                <a:noFill/>
                <a:prstDash val="dash"/>
              </a:ln>
            </c:spPr>
          </c:dPt>
          <c:dPt>
            <c:idx val="24"/>
            <c:bubble3D val="0"/>
            <c:spPr>
              <a:ln w="25400">
                <a:noFill/>
                <a:prstDash val="dash"/>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Endoscopy'!$B$206:$AW$206</c:f>
              <c:numCache>
                <c:formatCode>#,##0</c:formatCode>
                <c:ptCount val="48"/>
                <c:pt idx="11">
                  <c:v>296</c:v>
                </c:pt>
                <c:pt idx="12">
                  <c:v>296</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ser>
        <c:ser>
          <c:idx val="4"/>
          <c:order val="4"/>
          <c:tx>
            <c:strRef>
              <c:f>'P.R. Surveillance Endoscopy'!$A$207</c:f>
              <c:strCache>
                <c:ptCount val="1"/>
                <c:pt idx="0">
                  <c:v>New Median</c:v>
                </c:pt>
              </c:strCache>
            </c:strRef>
          </c:tx>
          <c:spPr>
            <a:ln w="25400">
              <a:solidFill>
                <a:srgbClr val="E69F00"/>
              </a:solidFill>
            </a:ln>
          </c:spPr>
          <c:marker>
            <c:symbol val="none"/>
          </c:marker>
          <c:dPt>
            <c:idx val="24"/>
            <c:bubble3D val="0"/>
            <c:spPr>
              <a:ln w="25400">
                <a:noFill/>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Endoscopy'!$B$207:$AW$207</c:f>
              <c:numCache>
                <c:formatCode>#,##0</c:formatCode>
                <c:ptCount val="48"/>
                <c:pt idx="12">
                  <c:v>658.5</c:v>
                </c:pt>
                <c:pt idx="13">
                  <c:v>658.5</c:v>
                </c:pt>
                <c:pt idx="14">
                  <c:v>658.5</c:v>
                </c:pt>
                <c:pt idx="15">
                  <c:v>658.5</c:v>
                </c:pt>
                <c:pt idx="16">
                  <c:v>658.5</c:v>
                </c:pt>
                <c:pt idx="17">
                  <c:v>658.5</c:v>
                </c:pt>
                <c:pt idx="18">
                  <c:v>658.5</c:v>
                </c:pt>
                <c:pt idx="19">
                  <c:v>658.5</c:v>
                </c:pt>
                <c:pt idx="20">
                  <c:v>658.5</c:v>
                </c:pt>
                <c:pt idx="21">
                  <c:v>658.5</c:v>
                </c:pt>
                <c:pt idx="22">
                  <c:v>658.5</c:v>
                </c:pt>
                <c:pt idx="23">
                  <c:v>658.5</c:v>
                </c:pt>
                <c:pt idx="24">
                  <c:v>0</c:v>
                </c:pt>
              </c:numCache>
            </c:numRef>
          </c:val>
          <c:smooth val="0"/>
        </c:ser>
        <c:ser>
          <c:idx val="5"/>
          <c:order val="5"/>
          <c:tx>
            <c:strRef>
              <c:f>'P.R. Surveillance Endoscopy'!$A$208</c:f>
              <c:strCache>
                <c:ptCount val="1"/>
                <c:pt idx="0">
                  <c:v>Extended New Median</c:v>
                </c:pt>
              </c:strCache>
            </c:strRef>
          </c:tx>
          <c:spPr>
            <a:ln w="25400">
              <a:solidFill>
                <a:srgbClr val="E69F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Endoscopy'!$B$208:$AW$208</c:f>
              <c:numCache>
                <c:formatCode>#,##0</c:formatCode>
                <c:ptCount val="48"/>
                <c:pt idx="23">
                  <c:v>658.5</c:v>
                </c:pt>
                <c:pt idx="24">
                  <c:v>658.5</c:v>
                </c:pt>
                <c:pt idx="25">
                  <c:v>658.5</c:v>
                </c:pt>
                <c:pt idx="26">
                  <c:v>658.5</c:v>
                </c:pt>
                <c:pt idx="27">
                  <c:v>658.5</c:v>
                </c:pt>
                <c:pt idx="28">
                  <c:v>658.5</c:v>
                </c:pt>
                <c:pt idx="29">
                  <c:v>658.5</c:v>
                </c:pt>
                <c:pt idx="30">
                  <c:v>658.5</c:v>
                </c:pt>
                <c:pt idx="31">
                  <c:v>658.5</c:v>
                </c:pt>
                <c:pt idx="32">
                  <c:v>658.5</c:v>
                </c:pt>
                <c:pt idx="33">
                  <c:v>658.5</c:v>
                </c:pt>
                <c:pt idx="34">
                  <c:v>658.5</c:v>
                </c:pt>
                <c:pt idx="35">
                  <c:v>658.5</c:v>
                </c:pt>
                <c:pt idx="36">
                  <c:v>658.5</c:v>
                </c:pt>
                <c:pt idx="37">
                  <c:v>658.5</c:v>
                </c:pt>
                <c:pt idx="38">
                  <c:v>658.5</c:v>
                </c:pt>
                <c:pt idx="39">
                  <c:v>658.5</c:v>
                </c:pt>
                <c:pt idx="40">
                  <c:v>658.5</c:v>
                </c:pt>
                <c:pt idx="41">
                  <c:v>658.5</c:v>
                </c:pt>
                <c:pt idx="42">
                  <c:v>658.5</c:v>
                </c:pt>
                <c:pt idx="43">
                  <c:v>658.5</c:v>
                </c:pt>
                <c:pt idx="44">
                  <c:v>658.5</c:v>
                </c:pt>
                <c:pt idx="45">
                  <c:v>658.5</c:v>
                </c:pt>
                <c:pt idx="46">
                  <c:v>658.5</c:v>
                </c:pt>
                <c:pt idx="47">
                  <c:v>658.5</c:v>
                </c:pt>
              </c:numCache>
            </c:numRef>
          </c:val>
          <c:smooth val="0"/>
        </c:ser>
        <c:dLbls>
          <c:showLegendKey val="0"/>
          <c:showVal val="0"/>
          <c:showCatName val="0"/>
          <c:showSerName val="0"/>
          <c:showPercent val="0"/>
          <c:showBubbleSize val="0"/>
        </c:dLbls>
        <c:marker val="1"/>
        <c:smooth val="0"/>
        <c:axId val="144199680"/>
        <c:axId val="143668864"/>
      </c:lineChart>
      <c:dateAx>
        <c:axId val="144199680"/>
        <c:scaling>
          <c:orientation val="minMax"/>
        </c:scaling>
        <c:delete val="0"/>
        <c:axPos val="b"/>
        <c:numFmt formatCode="mmm\ yy" sourceLinked="0"/>
        <c:majorTickMark val="out"/>
        <c:minorTickMark val="none"/>
        <c:tickLblPos val="nextTo"/>
        <c:txPr>
          <a:bodyPr rot="-5400000" vert="horz"/>
          <a:lstStyle/>
          <a:p>
            <a:pPr>
              <a:defRPr sz="800">
                <a:latin typeface="Arial" pitchFamily="34" charset="0"/>
                <a:cs typeface="Arial" pitchFamily="34" charset="0"/>
              </a:defRPr>
            </a:pPr>
            <a:endParaRPr lang="en-US"/>
          </a:p>
        </c:txPr>
        <c:crossAx val="143668864"/>
        <c:crosses val="autoZero"/>
        <c:auto val="1"/>
        <c:lblOffset val="100"/>
        <c:baseTimeUnit val="months"/>
      </c:dateAx>
      <c:valAx>
        <c:axId val="143668864"/>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44199680"/>
        <c:crosses val="autoZero"/>
        <c:crossBetween val="between"/>
      </c:valAx>
    </c:plotArea>
    <c:legend>
      <c:legendPos val="b"/>
      <c:layout>
        <c:manualLayout>
          <c:xMode val="edge"/>
          <c:yMode val="edge"/>
          <c:x val="6.9488728715021413E-3"/>
          <c:y val="0.92952924586225838"/>
          <c:w val="0.97937014042457893"/>
          <c:h val="6.037663029910508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522" l="0.70000000000000062" r="0.70000000000000062" t="0.75000000000000522"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113580802399685E-2"/>
          <c:y val="2.945111295535387E-2"/>
          <c:w val="0.93425661792275949"/>
          <c:h val="0.77224891875662072"/>
        </c:manualLayout>
      </c:layout>
      <c:lineChart>
        <c:grouping val="standard"/>
        <c:varyColors val="0"/>
        <c:ser>
          <c:idx val="0"/>
          <c:order val="0"/>
          <c:tx>
            <c:strRef>
              <c:f>'P.R. Surveillance Endoscopy'!$A$191</c:f>
              <c:strCache>
                <c:ptCount val="1"/>
                <c:pt idx="0">
                  <c:v>Flexible Sigmoidoscopy &gt; 6 Weeks Overdue</c:v>
                </c:pt>
              </c:strCache>
            </c:strRef>
          </c:tx>
          <c:spPr>
            <a:ln w="25400">
              <a:solidFill>
                <a:srgbClr val="0070C0"/>
              </a:solidFill>
            </a:ln>
          </c:spPr>
          <c:marker>
            <c:symbol val="circle"/>
            <c:size val="5"/>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Endoscopy'!$B$191:$AW$191</c:f>
              <c:numCache>
                <c:formatCode>#,##0</c:formatCode>
                <c:ptCount val="48"/>
                <c:pt idx="0">
                  <c:v>68</c:v>
                </c:pt>
                <c:pt idx="1">
                  <c:v>74</c:v>
                </c:pt>
                <c:pt idx="2">
                  <c:v>78</c:v>
                </c:pt>
                <c:pt idx="3">
                  <c:v>96</c:v>
                </c:pt>
                <c:pt idx="4">
                  <c:v>102</c:v>
                </c:pt>
                <c:pt idx="5">
                  <c:v>112</c:v>
                </c:pt>
                <c:pt idx="6">
                  <c:v>117</c:v>
                </c:pt>
                <c:pt idx="7">
                  <c:v>131</c:v>
                </c:pt>
                <c:pt idx="8">
                  <c:v>141</c:v>
                </c:pt>
                <c:pt idx="9">
                  <c:v>153</c:v>
                </c:pt>
                <c:pt idx="10">
                  <c:v>156</c:v>
                </c:pt>
                <c:pt idx="11">
                  <c:v>162</c:v>
                </c:pt>
                <c:pt idx="12">
                  <c:v>174</c:v>
                </c:pt>
                <c:pt idx="13">
                  <c:v>183</c:v>
                </c:pt>
                <c:pt idx="14">
                  <c:v>198</c:v>
                </c:pt>
                <c:pt idx="15">
                  <c:v>196</c:v>
                </c:pt>
                <c:pt idx="16">
                  <c:v>190</c:v>
                </c:pt>
                <c:pt idx="17">
                  <c:v>206</c:v>
                </c:pt>
                <c:pt idx="18">
                  <c:v>213</c:v>
                </c:pt>
                <c:pt idx="19">
                  <c:v>214</c:v>
                </c:pt>
                <c:pt idx="20">
                  <c:v>205</c:v>
                </c:pt>
                <c:pt idx="21">
                  <c:v>225</c:v>
                </c:pt>
                <c:pt idx="22">
                  <c:v>218</c:v>
                </c:pt>
                <c:pt idx="23">
                  <c:v>207</c:v>
                </c:pt>
                <c:pt idx="24">
                  <c:v>217</c:v>
                </c:pt>
                <c:pt idx="25">
                  <c:v>211</c:v>
                </c:pt>
                <c:pt idx="26">
                  <c:v>85</c:v>
                </c:pt>
                <c:pt idx="27">
                  <c:v>198</c:v>
                </c:pt>
                <c:pt idx="28">
                  <c:v>203</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Endoscopy'!$A$41</c:f>
              <c:strCache>
                <c:ptCount val="1"/>
                <c:pt idx="0">
                  <c:v>Target (max)</c:v>
                </c:pt>
              </c:strCache>
            </c:strRef>
          </c:tx>
          <c:spPr>
            <a:ln w="25400">
              <a:solidFill>
                <a:srgbClr val="FF00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Endoscopy'!$B$41:$AW$41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Endoscopy'!$A$192</c:f>
              <c:strCache>
                <c:ptCount val="1"/>
                <c:pt idx="0">
                  <c:v>Baseline Median</c:v>
                </c:pt>
              </c:strCache>
            </c:strRef>
          </c:tx>
          <c:spPr>
            <a:ln w="25400">
              <a:solidFill>
                <a:schemeClr val="tx1"/>
              </a:solidFill>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Endoscopy'!$B$192:$AW$192</c:f>
              <c:numCache>
                <c:formatCode>#,##0</c:formatCode>
                <c:ptCount val="48"/>
                <c:pt idx="0">
                  <c:v>114.5</c:v>
                </c:pt>
                <c:pt idx="1">
                  <c:v>114.5</c:v>
                </c:pt>
                <c:pt idx="2">
                  <c:v>114.5</c:v>
                </c:pt>
                <c:pt idx="3">
                  <c:v>114.5</c:v>
                </c:pt>
                <c:pt idx="4">
                  <c:v>114.5</c:v>
                </c:pt>
                <c:pt idx="5">
                  <c:v>114.5</c:v>
                </c:pt>
                <c:pt idx="6">
                  <c:v>114.5</c:v>
                </c:pt>
                <c:pt idx="7">
                  <c:v>114.5</c:v>
                </c:pt>
                <c:pt idx="8">
                  <c:v>114.5</c:v>
                </c:pt>
                <c:pt idx="9">
                  <c:v>114.5</c:v>
                </c:pt>
                <c:pt idx="10">
                  <c:v>114.5</c:v>
                </c:pt>
                <c:pt idx="11">
                  <c:v>114.5</c:v>
                </c:pt>
              </c:numCache>
            </c:numRef>
          </c:val>
          <c:smooth val="0"/>
        </c:ser>
        <c:ser>
          <c:idx val="2"/>
          <c:order val="3"/>
          <c:tx>
            <c:strRef>
              <c:f>'P.R. Surveillance Endoscopy'!$A$193</c:f>
              <c:strCache>
                <c:ptCount val="1"/>
                <c:pt idx="0">
                  <c:v>Extended Baseline Median</c:v>
                </c:pt>
              </c:strCache>
            </c:strRef>
          </c:tx>
          <c:spPr>
            <a:ln w="25400">
              <a:solidFill>
                <a:prstClr val="black"/>
              </a:solidFill>
              <a:prstDash val="dash"/>
            </a:ln>
          </c:spPr>
          <c:marker>
            <c:symbol val="none"/>
          </c:marker>
          <c:dPt>
            <c:idx val="13"/>
            <c:bubble3D val="0"/>
            <c:spPr>
              <a:ln w="25400">
                <a:noFill/>
                <a:prstDash val="dash"/>
              </a:ln>
            </c:spPr>
          </c:dPt>
          <c:dPt>
            <c:idx val="14"/>
            <c:bubble3D val="0"/>
            <c:spPr>
              <a:ln w="25400">
                <a:noFill/>
                <a:prstDash val="dash"/>
              </a:ln>
            </c:spPr>
          </c:dPt>
          <c:dPt>
            <c:idx val="15"/>
            <c:bubble3D val="0"/>
            <c:spPr>
              <a:ln w="25400">
                <a:noFill/>
                <a:prstDash val="dash"/>
              </a:ln>
            </c:spPr>
          </c:dPt>
          <c:dPt>
            <c:idx val="16"/>
            <c:bubble3D val="0"/>
            <c:spPr>
              <a:ln w="25400">
                <a:noFill/>
                <a:prstDash val="dash"/>
              </a:ln>
            </c:spPr>
          </c:dPt>
          <c:dPt>
            <c:idx val="17"/>
            <c:bubble3D val="0"/>
            <c:spPr>
              <a:ln w="25400">
                <a:noFill/>
                <a:prstDash val="dash"/>
              </a:ln>
            </c:spPr>
          </c:dPt>
          <c:dPt>
            <c:idx val="18"/>
            <c:bubble3D val="0"/>
            <c:spPr>
              <a:ln w="25400">
                <a:noFill/>
                <a:prstDash val="dash"/>
              </a:ln>
            </c:spPr>
          </c:dPt>
          <c:dPt>
            <c:idx val="19"/>
            <c:bubble3D val="0"/>
            <c:spPr>
              <a:ln w="25400">
                <a:noFill/>
                <a:prstDash val="dash"/>
              </a:ln>
            </c:spPr>
          </c:dPt>
          <c:dPt>
            <c:idx val="20"/>
            <c:bubble3D val="0"/>
            <c:spPr>
              <a:ln w="25400">
                <a:noFill/>
                <a:prstDash val="dash"/>
              </a:ln>
            </c:spPr>
          </c:dPt>
          <c:dPt>
            <c:idx val="21"/>
            <c:bubble3D val="0"/>
            <c:spPr>
              <a:ln w="25400">
                <a:noFill/>
                <a:prstDash val="dash"/>
              </a:ln>
            </c:spPr>
          </c:dPt>
          <c:dPt>
            <c:idx val="22"/>
            <c:bubble3D val="0"/>
            <c:spPr>
              <a:ln w="25400">
                <a:noFill/>
                <a:prstDash val="dash"/>
              </a:ln>
            </c:spPr>
          </c:dPt>
          <c:dPt>
            <c:idx val="23"/>
            <c:bubble3D val="0"/>
            <c:spPr>
              <a:ln w="25400">
                <a:noFill/>
                <a:prstDash val="dash"/>
              </a:ln>
            </c:spPr>
          </c:dPt>
          <c:dPt>
            <c:idx val="24"/>
            <c:bubble3D val="0"/>
            <c:spPr>
              <a:ln w="25400">
                <a:noFill/>
                <a:prstDash val="dash"/>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Endoscopy'!$B$193:$AW$193</c:f>
              <c:numCache>
                <c:formatCode>#,##0</c:formatCode>
                <c:ptCount val="48"/>
                <c:pt idx="11">
                  <c:v>114.5</c:v>
                </c:pt>
                <c:pt idx="12">
                  <c:v>114.5</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ser>
        <c:ser>
          <c:idx val="4"/>
          <c:order val="4"/>
          <c:tx>
            <c:strRef>
              <c:f>'P.R. Surveillance Endoscopy'!$A$194</c:f>
              <c:strCache>
                <c:ptCount val="1"/>
                <c:pt idx="0">
                  <c:v>New Median</c:v>
                </c:pt>
              </c:strCache>
            </c:strRef>
          </c:tx>
          <c:spPr>
            <a:ln w="25400">
              <a:solidFill>
                <a:srgbClr val="E69F00"/>
              </a:solidFill>
            </a:ln>
          </c:spPr>
          <c:marker>
            <c:symbol val="none"/>
          </c:marker>
          <c:dPt>
            <c:idx val="24"/>
            <c:bubble3D val="0"/>
            <c:spPr>
              <a:ln w="25400">
                <a:noFill/>
              </a:ln>
            </c:spPr>
          </c:dPt>
          <c:dPt>
            <c:idx val="25"/>
            <c:bubble3D val="0"/>
            <c:spPr>
              <a:ln w="25400">
                <a:noFill/>
                <a:prstDash val="dash"/>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Endoscopy'!$B$194:$AW$194</c:f>
              <c:numCache>
                <c:formatCode>#,##0</c:formatCode>
                <c:ptCount val="48"/>
                <c:pt idx="12">
                  <c:v>205.5</c:v>
                </c:pt>
                <c:pt idx="13">
                  <c:v>205.5</c:v>
                </c:pt>
                <c:pt idx="14">
                  <c:v>205.5</c:v>
                </c:pt>
                <c:pt idx="15">
                  <c:v>205.5</c:v>
                </c:pt>
                <c:pt idx="16">
                  <c:v>205.5</c:v>
                </c:pt>
                <c:pt idx="17">
                  <c:v>205.5</c:v>
                </c:pt>
                <c:pt idx="18">
                  <c:v>205.5</c:v>
                </c:pt>
                <c:pt idx="19">
                  <c:v>205.5</c:v>
                </c:pt>
                <c:pt idx="20">
                  <c:v>205.5</c:v>
                </c:pt>
                <c:pt idx="21">
                  <c:v>205.5</c:v>
                </c:pt>
                <c:pt idx="22">
                  <c:v>205.5</c:v>
                </c:pt>
                <c:pt idx="23">
                  <c:v>205.5</c:v>
                </c:pt>
                <c:pt idx="24">
                  <c:v>0</c:v>
                </c:pt>
                <c:pt idx="25">
                  <c:v>0</c:v>
                </c:pt>
              </c:numCache>
            </c:numRef>
          </c:val>
          <c:smooth val="0"/>
        </c:ser>
        <c:ser>
          <c:idx val="5"/>
          <c:order val="5"/>
          <c:tx>
            <c:strRef>
              <c:f>'P.R. Surveillance Endoscopy'!$A$195</c:f>
              <c:strCache>
                <c:ptCount val="1"/>
                <c:pt idx="0">
                  <c:v>Extended New Median</c:v>
                </c:pt>
              </c:strCache>
            </c:strRef>
          </c:tx>
          <c:spPr>
            <a:ln w="25400">
              <a:solidFill>
                <a:srgbClr val="E69F00"/>
              </a:solidFill>
              <a:prstDash val="dash"/>
            </a:ln>
          </c:spPr>
          <c:marker>
            <c:symbol val="none"/>
          </c:marker>
          <c:dPt>
            <c:idx val="25"/>
            <c:bubble3D val="0"/>
            <c:spPr>
              <a:ln w="25400">
                <a:solidFill>
                  <a:srgbClr val="E39F00"/>
                </a:solidFill>
                <a:prstDash val="dash"/>
              </a:ln>
            </c:spPr>
          </c:dPt>
          <c:dPt>
            <c:idx val="26"/>
            <c:bubble3D val="0"/>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Endoscopy'!$B$195:$AW$195</c:f>
              <c:numCache>
                <c:formatCode>#,##0</c:formatCode>
                <c:ptCount val="48"/>
                <c:pt idx="23">
                  <c:v>205.5</c:v>
                </c:pt>
                <c:pt idx="24">
                  <c:v>205.5</c:v>
                </c:pt>
                <c:pt idx="25">
                  <c:v>205.5</c:v>
                </c:pt>
                <c:pt idx="26">
                  <c:v>205.5</c:v>
                </c:pt>
                <c:pt idx="27">
                  <c:v>205.5</c:v>
                </c:pt>
                <c:pt idx="28">
                  <c:v>205.5</c:v>
                </c:pt>
                <c:pt idx="29">
                  <c:v>205.5</c:v>
                </c:pt>
                <c:pt idx="30">
                  <c:v>205.5</c:v>
                </c:pt>
                <c:pt idx="31">
                  <c:v>205.5</c:v>
                </c:pt>
                <c:pt idx="32">
                  <c:v>205.5</c:v>
                </c:pt>
                <c:pt idx="33">
                  <c:v>205.5</c:v>
                </c:pt>
                <c:pt idx="34">
                  <c:v>205.5</c:v>
                </c:pt>
                <c:pt idx="35">
                  <c:v>205.5</c:v>
                </c:pt>
                <c:pt idx="36">
                  <c:v>205.5</c:v>
                </c:pt>
                <c:pt idx="37">
                  <c:v>205.5</c:v>
                </c:pt>
                <c:pt idx="38">
                  <c:v>205.5</c:v>
                </c:pt>
                <c:pt idx="39">
                  <c:v>205.5</c:v>
                </c:pt>
                <c:pt idx="40">
                  <c:v>205.5</c:v>
                </c:pt>
                <c:pt idx="41">
                  <c:v>205.5</c:v>
                </c:pt>
                <c:pt idx="42">
                  <c:v>205.5</c:v>
                </c:pt>
                <c:pt idx="43">
                  <c:v>205.5</c:v>
                </c:pt>
                <c:pt idx="44">
                  <c:v>205.5</c:v>
                </c:pt>
                <c:pt idx="45">
                  <c:v>205.5</c:v>
                </c:pt>
                <c:pt idx="46">
                  <c:v>205.5</c:v>
                </c:pt>
                <c:pt idx="47">
                  <c:v>205.5</c:v>
                </c:pt>
              </c:numCache>
            </c:numRef>
          </c:val>
          <c:smooth val="0"/>
        </c:ser>
        <c:dLbls>
          <c:showLegendKey val="0"/>
          <c:showVal val="0"/>
          <c:showCatName val="0"/>
          <c:showSerName val="0"/>
          <c:showPercent val="0"/>
          <c:showBubbleSize val="0"/>
        </c:dLbls>
        <c:marker val="1"/>
        <c:smooth val="0"/>
        <c:axId val="144201728"/>
        <c:axId val="144318464"/>
      </c:lineChart>
      <c:dateAx>
        <c:axId val="144201728"/>
        <c:scaling>
          <c:orientation val="minMax"/>
        </c:scaling>
        <c:delete val="0"/>
        <c:axPos val="b"/>
        <c:numFmt formatCode="mmm\ yy" sourceLinked="0"/>
        <c:majorTickMark val="out"/>
        <c:minorTickMark val="none"/>
        <c:tickLblPos val="nextTo"/>
        <c:txPr>
          <a:bodyPr rot="-5400000" vert="horz"/>
          <a:lstStyle/>
          <a:p>
            <a:pPr>
              <a:defRPr sz="800">
                <a:latin typeface="Arial" pitchFamily="34" charset="0"/>
                <a:cs typeface="Arial" pitchFamily="34" charset="0"/>
              </a:defRPr>
            </a:pPr>
            <a:endParaRPr lang="en-US"/>
          </a:p>
        </c:txPr>
        <c:crossAx val="144318464"/>
        <c:crosses val="autoZero"/>
        <c:auto val="1"/>
        <c:lblOffset val="100"/>
        <c:baseTimeUnit val="months"/>
      </c:dateAx>
      <c:valAx>
        <c:axId val="144318464"/>
        <c:scaling>
          <c:orientation val="minMax"/>
          <c:max val="300"/>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44201728"/>
        <c:crosses val="autoZero"/>
        <c:crossBetween val="between"/>
        <c:majorUnit val="50"/>
      </c:valAx>
    </c:plotArea>
    <c:legend>
      <c:legendPos val="b"/>
      <c:layout>
        <c:manualLayout>
          <c:xMode val="edge"/>
          <c:yMode val="edge"/>
          <c:x val="2.1533108361454948E-2"/>
          <c:y val="0.92707460410636333"/>
          <c:w val="0.95679647144698665"/>
          <c:h val="5.941582494990223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477" l="0.70000000000000062" r="0.70000000000000062" t="0.75000000000000477"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36350761910155E-2"/>
          <c:y val="3.8394415357766144E-2"/>
          <c:w val="0.93967899695991264"/>
          <c:h val="0.76079509694796066"/>
        </c:manualLayout>
      </c:layout>
      <c:lineChart>
        <c:grouping val="standard"/>
        <c:varyColors val="0"/>
        <c:ser>
          <c:idx val="0"/>
          <c:order val="0"/>
          <c:tx>
            <c:strRef>
              <c:f>'P.R. Surveillance Endoscopy'!$A$180</c:f>
              <c:strCache>
                <c:ptCount val="1"/>
                <c:pt idx="0">
                  <c:v>Flexible Cystoscopy &gt; 6 Weeks Overdue</c:v>
                </c:pt>
              </c:strCache>
            </c:strRef>
          </c:tx>
          <c:spPr>
            <a:ln w="25400">
              <a:solidFill>
                <a:srgbClr val="0070C0"/>
              </a:solidFill>
            </a:ln>
          </c:spPr>
          <c:marker>
            <c:symbol val="circle"/>
            <c:size val="5"/>
          </c:marker>
          <c:dPt>
            <c:idx val="12"/>
            <c:marker>
              <c:spPr>
                <a:solidFill>
                  <a:sysClr val="window" lastClr="FFFFFF"/>
                </a:solidFill>
              </c:spPr>
            </c:marker>
            <c:bubble3D val="0"/>
          </c:dPt>
          <c:dPt>
            <c:idx val="13"/>
            <c:marker>
              <c:spPr>
                <a:solidFill>
                  <a:sysClr val="window" lastClr="FFFFFF"/>
                </a:solidFill>
              </c:spPr>
            </c:marker>
            <c:bubble3D val="0"/>
          </c:dPt>
          <c:dPt>
            <c:idx val="14"/>
            <c:marker>
              <c:spPr>
                <a:solidFill>
                  <a:sysClr val="window" lastClr="FFFFFF"/>
                </a:solidFill>
              </c:spPr>
            </c:marker>
            <c:bubble3D val="0"/>
          </c:dPt>
          <c:dPt>
            <c:idx val="15"/>
            <c:marker>
              <c:spPr>
                <a:solidFill>
                  <a:sysClr val="window" lastClr="FFFFFF"/>
                </a:solidFill>
              </c:spPr>
            </c:marker>
            <c:bubble3D val="0"/>
          </c:dPt>
          <c:dPt>
            <c:idx val="16"/>
            <c:marker>
              <c:spPr>
                <a:solidFill>
                  <a:schemeClr val="bg1"/>
                </a:solidFill>
              </c:spPr>
            </c:marker>
            <c:bubble3D val="0"/>
          </c:dPt>
          <c:dPt>
            <c:idx val="17"/>
            <c:marker>
              <c:spPr>
                <a:solidFill>
                  <a:schemeClr val="bg1"/>
                </a:solidFill>
              </c:spPr>
            </c:marker>
            <c:bubble3D val="0"/>
          </c:dPt>
          <c:dPt>
            <c:idx val="18"/>
            <c:marker>
              <c:spPr>
                <a:solidFill>
                  <a:sysClr val="window" lastClr="FFFFFF"/>
                </a:solidFill>
              </c:spPr>
            </c:marker>
            <c:bubble3D val="0"/>
          </c:dPt>
          <c:dPt>
            <c:idx val="19"/>
            <c:marker>
              <c:spPr>
                <a:solidFill>
                  <a:sysClr val="window" lastClr="FFFFFF"/>
                </a:solidFill>
              </c:spPr>
            </c:marker>
            <c:bubble3D val="0"/>
          </c:dPt>
          <c:dPt>
            <c:idx val="20"/>
            <c:marker>
              <c:spPr>
                <a:solidFill>
                  <a:sysClr val="window" lastClr="FFFFFF"/>
                </a:solidFill>
              </c:spPr>
            </c:marker>
            <c:bubble3D val="0"/>
          </c:dPt>
          <c:dPt>
            <c:idx val="21"/>
            <c:marker>
              <c:spPr>
                <a:solidFill>
                  <a:sysClr val="window" lastClr="FFFFFF"/>
                </a:solidFill>
              </c:spPr>
            </c:marker>
            <c:bubble3D val="0"/>
          </c:dPt>
          <c:dPt>
            <c:idx val="22"/>
            <c:marker>
              <c:spPr>
                <a:solidFill>
                  <a:sysClr val="window" lastClr="FFFFFF"/>
                </a:solidFill>
              </c:spPr>
            </c:marker>
            <c:bubble3D val="0"/>
          </c:dPt>
          <c:dPt>
            <c:idx val="23"/>
            <c:marker>
              <c:spPr>
                <a:solidFill>
                  <a:sysClr val="window" lastClr="FFFFFF"/>
                </a:solidFill>
              </c:spPr>
            </c:marker>
            <c:bubble3D val="0"/>
          </c:dPt>
          <c:dPt>
            <c:idx val="24"/>
            <c:marker>
              <c:spPr>
                <a:solidFill>
                  <a:sysClr val="window" lastClr="FFFFFF"/>
                </a:solidFill>
              </c:spPr>
            </c:marker>
            <c:bubble3D val="0"/>
          </c:dPt>
          <c:dPt>
            <c:idx val="25"/>
            <c:marker>
              <c:spPr>
                <a:solidFill>
                  <a:schemeClr val="bg1"/>
                </a:solidFill>
              </c:spPr>
            </c:marker>
            <c:bubble3D val="0"/>
          </c:dPt>
          <c:dPt>
            <c:idx val="26"/>
            <c:marker>
              <c:spPr>
                <a:solidFill>
                  <a:schemeClr val="bg1"/>
                </a:solidFill>
              </c:spPr>
            </c:marker>
            <c:bubble3D val="0"/>
          </c:dPt>
          <c:dPt>
            <c:idx val="27"/>
            <c:marker>
              <c:spPr>
                <a:solidFill>
                  <a:schemeClr val="bg1"/>
                </a:solidFill>
              </c:spPr>
            </c:marker>
            <c:bubble3D val="0"/>
          </c:dPt>
          <c:dPt>
            <c:idx val="28"/>
            <c:marker>
              <c:spPr>
                <a:solidFill>
                  <a:schemeClr val="bg1"/>
                </a:solidFill>
              </c:spPr>
            </c:marker>
            <c:bubble3D val="0"/>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Endoscopy'!$B$180:$AW$180</c:f>
              <c:numCache>
                <c:formatCode>#,##0</c:formatCode>
                <c:ptCount val="48"/>
                <c:pt idx="0">
                  <c:v>50</c:v>
                </c:pt>
                <c:pt idx="1">
                  <c:v>28</c:v>
                </c:pt>
                <c:pt idx="2">
                  <c:v>33</c:v>
                </c:pt>
                <c:pt idx="3">
                  <c:v>61</c:v>
                </c:pt>
                <c:pt idx="4">
                  <c:v>76</c:v>
                </c:pt>
                <c:pt idx="5">
                  <c:v>161</c:v>
                </c:pt>
                <c:pt idx="6">
                  <c:v>129</c:v>
                </c:pt>
                <c:pt idx="7">
                  <c:v>153</c:v>
                </c:pt>
                <c:pt idx="8">
                  <c:v>166</c:v>
                </c:pt>
                <c:pt idx="9">
                  <c:v>109</c:v>
                </c:pt>
                <c:pt idx="10">
                  <c:v>38</c:v>
                </c:pt>
                <c:pt idx="11">
                  <c:v>16</c:v>
                </c:pt>
                <c:pt idx="12">
                  <c:v>13</c:v>
                </c:pt>
                <c:pt idx="13">
                  <c:v>7</c:v>
                </c:pt>
                <c:pt idx="14">
                  <c:v>12</c:v>
                </c:pt>
                <c:pt idx="15">
                  <c:v>12</c:v>
                </c:pt>
                <c:pt idx="16">
                  <c:v>12</c:v>
                </c:pt>
                <c:pt idx="17">
                  <c:v>35</c:v>
                </c:pt>
                <c:pt idx="18">
                  <c:v>127</c:v>
                </c:pt>
                <c:pt idx="19">
                  <c:v>181</c:v>
                </c:pt>
                <c:pt idx="20">
                  <c:v>159</c:v>
                </c:pt>
                <c:pt idx="21">
                  <c:v>242</c:v>
                </c:pt>
                <c:pt idx="22">
                  <c:v>239</c:v>
                </c:pt>
                <c:pt idx="23">
                  <c:v>231</c:v>
                </c:pt>
                <c:pt idx="24">
                  <c:v>294</c:v>
                </c:pt>
                <c:pt idx="25">
                  <c:v>322</c:v>
                </c:pt>
                <c:pt idx="26">
                  <c:v>373</c:v>
                </c:pt>
                <c:pt idx="27">
                  <c:v>362</c:v>
                </c:pt>
                <c:pt idx="28">
                  <c:v>379</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Endoscopy'!$A$41</c:f>
              <c:strCache>
                <c:ptCount val="1"/>
                <c:pt idx="0">
                  <c:v>Target (max)</c:v>
                </c:pt>
              </c:strCache>
            </c:strRef>
          </c:tx>
          <c:spPr>
            <a:ln w="25400">
              <a:solidFill>
                <a:srgbClr val="FF00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Endoscopy'!$B$41:$AW$41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Endoscopy'!$A$181</c:f>
              <c:strCache>
                <c:ptCount val="1"/>
                <c:pt idx="0">
                  <c:v>Baseline Median</c:v>
                </c:pt>
              </c:strCache>
            </c:strRef>
          </c:tx>
          <c:spPr>
            <a:ln w="25400">
              <a:solidFill>
                <a:schemeClr val="tx1"/>
              </a:solidFill>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Endoscopy'!$B$181:$AW$181</c:f>
              <c:numCache>
                <c:formatCode>#,##0</c:formatCode>
                <c:ptCount val="48"/>
                <c:pt idx="0">
                  <c:v>68.5</c:v>
                </c:pt>
                <c:pt idx="1">
                  <c:v>68.5</c:v>
                </c:pt>
                <c:pt idx="2">
                  <c:v>68.5</c:v>
                </c:pt>
                <c:pt idx="3">
                  <c:v>68.5</c:v>
                </c:pt>
                <c:pt idx="4">
                  <c:v>68.5</c:v>
                </c:pt>
                <c:pt idx="5">
                  <c:v>68.5</c:v>
                </c:pt>
                <c:pt idx="6">
                  <c:v>68.5</c:v>
                </c:pt>
                <c:pt idx="7">
                  <c:v>68.5</c:v>
                </c:pt>
                <c:pt idx="8">
                  <c:v>68.5</c:v>
                </c:pt>
                <c:pt idx="9">
                  <c:v>68.5</c:v>
                </c:pt>
                <c:pt idx="10">
                  <c:v>68.5</c:v>
                </c:pt>
                <c:pt idx="11">
                  <c:v>68.5</c:v>
                </c:pt>
              </c:numCache>
            </c:numRef>
          </c:val>
          <c:smooth val="0"/>
        </c:ser>
        <c:ser>
          <c:idx val="2"/>
          <c:order val="3"/>
          <c:tx>
            <c:strRef>
              <c:f>'P.R. Surveillance Endoscopy'!$A$182</c:f>
              <c:strCache>
                <c:ptCount val="1"/>
                <c:pt idx="0">
                  <c:v>Extended Baseline Median</c:v>
                </c:pt>
              </c:strCache>
            </c:strRef>
          </c:tx>
          <c:spPr>
            <a:ln w="25400">
              <a:solidFill>
                <a:prstClr val="black"/>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Endoscopy'!$B$182:$AW$182</c:f>
              <c:numCache>
                <c:formatCode>#,##0</c:formatCode>
                <c:ptCount val="48"/>
                <c:pt idx="11">
                  <c:v>68.5</c:v>
                </c:pt>
                <c:pt idx="12">
                  <c:v>68.5</c:v>
                </c:pt>
                <c:pt idx="13">
                  <c:v>68.5</c:v>
                </c:pt>
                <c:pt idx="14">
                  <c:v>68.5</c:v>
                </c:pt>
                <c:pt idx="15">
                  <c:v>68.5</c:v>
                </c:pt>
                <c:pt idx="16">
                  <c:v>68.5</c:v>
                </c:pt>
                <c:pt idx="17">
                  <c:v>68.5</c:v>
                </c:pt>
                <c:pt idx="18">
                  <c:v>68.5</c:v>
                </c:pt>
                <c:pt idx="19">
                  <c:v>68.5</c:v>
                </c:pt>
                <c:pt idx="20">
                  <c:v>68.5</c:v>
                </c:pt>
                <c:pt idx="21">
                  <c:v>68.5</c:v>
                </c:pt>
                <c:pt idx="22">
                  <c:v>68.5</c:v>
                </c:pt>
                <c:pt idx="23">
                  <c:v>68.5</c:v>
                </c:pt>
                <c:pt idx="24">
                  <c:v>68.5</c:v>
                </c:pt>
                <c:pt idx="25">
                  <c:v>68.5</c:v>
                </c:pt>
                <c:pt idx="26">
                  <c:v>68.5</c:v>
                </c:pt>
                <c:pt idx="27">
                  <c:v>68.5</c:v>
                </c:pt>
                <c:pt idx="28">
                  <c:v>68.5</c:v>
                </c:pt>
                <c:pt idx="29">
                  <c:v>68.5</c:v>
                </c:pt>
                <c:pt idx="30">
                  <c:v>68.5</c:v>
                </c:pt>
                <c:pt idx="31">
                  <c:v>68.5</c:v>
                </c:pt>
                <c:pt idx="32">
                  <c:v>68.5</c:v>
                </c:pt>
                <c:pt idx="33">
                  <c:v>68.5</c:v>
                </c:pt>
                <c:pt idx="34">
                  <c:v>68.5</c:v>
                </c:pt>
                <c:pt idx="35">
                  <c:v>68.5</c:v>
                </c:pt>
                <c:pt idx="36">
                  <c:v>68.5</c:v>
                </c:pt>
                <c:pt idx="37">
                  <c:v>68.5</c:v>
                </c:pt>
                <c:pt idx="38">
                  <c:v>68.5</c:v>
                </c:pt>
                <c:pt idx="39">
                  <c:v>68.5</c:v>
                </c:pt>
                <c:pt idx="40">
                  <c:v>68.5</c:v>
                </c:pt>
                <c:pt idx="41">
                  <c:v>68.5</c:v>
                </c:pt>
                <c:pt idx="42">
                  <c:v>68.5</c:v>
                </c:pt>
                <c:pt idx="43">
                  <c:v>68.5</c:v>
                </c:pt>
                <c:pt idx="44">
                  <c:v>68.5</c:v>
                </c:pt>
                <c:pt idx="45">
                  <c:v>68.5</c:v>
                </c:pt>
                <c:pt idx="46">
                  <c:v>68.5</c:v>
                </c:pt>
                <c:pt idx="47">
                  <c:v>68.5</c:v>
                </c:pt>
              </c:numCache>
            </c:numRef>
          </c:val>
          <c:smooth val="0"/>
        </c:ser>
        <c:dLbls>
          <c:showLegendKey val="0"/>
          <c:showVal val="0"/>
          <c:showCatName val="0"/>
          <c:showSerName val="0"/>
          <c:showPercent val="0"/>
          <c:showBubbleSize val="0"/>
        </c:dLbls>
        <c:marker val="1"/>
        <c:smooth val="0"/>
        <c:axId val="144203264"/>
        <c:axId val="144320768"/>
      </c:lineChart>
      <c:dateAx>
        <c:axId val="144203264"/>
        <c:scaling>
          <c:orientation val="minMax"/>
        </c:scaling>
        <c:delete val="0"/>
        <c:axPos val="b"/>
        <c:numFmt formatCode="mmm\ yy" sourceLinked="0"/>
        <c:majorTickMark val="out"/>
        <c:minorTickMark val="none"/>
        <c:tickLblPos val="nextTo"/>
        <c:txPr>
          <a:bodyPr rot="-5400000" vert="horz"/>
          <a:lstStyle/>
          <a:p>
            <a:pPr>
              <a:defRPr sz="800">
                <a:latin typeface="Arial" pitchFamily="34" charset="0"/>
                <a:cs typeface="Arial" pitchFamily="34" charset="0"/>
              </a:defRPr>
            </a:pPr>
            <a:endParaRPr lang="en-US"/>
          </a:p>
        </c:txPr>
        <c:crossAx val="144320768"/>
        <c:crosses val="autoZero"/>
        <c:auto val="1"/>
        <c:lblOffset val="100"/>
        <c:baseTimeUnit val="months"/>
        <c:majorUnit val="1"/>
        <c:majorTimeUnit val="months"/>
      </c:dateAx>
      <c:valAx>
        <c:axId val="144320768"/>
        <c:scaling>
          <c:orientation val="minMax"/>
        </c:scaling>
        <c:delete val="0"/>
        <c:axPos val="l"/>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144203264"/>
        <c:crosses val="autoZero"/>
        <c:crossBetween val="between"/>
      </c:valAx>
    </c:plotArea>
    <c:legend>
      <c:legendPos val="b"/>
      <c:layout>
        <c:manualLayout>
          <c:xMode val="edge"/>
          <c:yMode val="edge"/>
          <c:x val="1.3215883985724798E-2"/>
          <c:y val="0.93623782741443062"/>
          <c:w val="0.95679651554347933"/>
          <c:h val="4.726723445283707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477" l="0.70000000000000062" r="0.70000000000000062" t="0.75000000000000477"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400234412504134E-2"/>
          <c:y val="2.9871011541072887E-2"/>
          <c:w val="0.92018092156532649"/>
          <c:h val="0.79252825262127491"/>
        </c:manualLayout>
      </c:layout>
      <c:lineChart>
        <c:grouping val="standard"/>
        <c:varyColors val="0"/>
        <c:ser>
          <c:idx val="0"/>
          <c:order val="0"/>
          <c:tx>
            <c:strRef>
              <c:f>'P.R. Surveillance Endoscopy'!$A$167</c:f>
              <c:strCache>
                <c:ptCount val="1"/>
                <c:pt idx="0">
                  <c:v>Colonoscopy &gt; 6 Weeks Overdue</c:v>
                </c:pt>
              </c:strCache>
            </c:strRef>
          </c:tx>
          <c:spPr>
            <a:ln w="25400">
              <a:solidFill>
                <a:srgbClr val="0070C0"/>
              </a:solidFill>
            </a:ln>
          </c:spPr>
          <c:marker>
            <c:symbol val="circle"/>
            <c:size val="5"/>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Endoscopy'!$B$167:$AW$167</c:f>
              <c:numCache>
                <c:formatCode>#,##0</c:formatCode>
                <c:ptCount val="48"/>
                <c:pt idx="0">
                  <c:v>323</c:v>
                </c:pt>
                <c:pt idx="1">
                  <c:v>352</c:v>
                </c:pt>
                <c:pt idx="2">
                  <c:v>338</c:v>
                </c:pt>
                <c:pt idx="3">
                  <c:v>434</c:v>
                </c:pt>
                <c:pt idx="4">
                  <c:v>492</c:v>
                </c:pt>
                <c:pt idx="5">
                  <c:v>511</c:v>
                </c:pt>
                <c:pt idx="6">
                  <c:v>562</c:v>
                </c:pt>
                <c:pt idx="7">
                  <c:v>708</c:v>
                </c:pt>
                <c:pt idx="8">
                  <c:v>874</c:v>
                </c:pt>
                <c:pt idx="9">
                  <c:v>1020</c:v>
                </c:pt>
                <c:pt idx="10">
                  <c:v>1088</c:v>
                </c:pt>
                <c:pt idx="11">
                  <c:v>1198</c:v>
                </c:pt>
                <c:pt idx="12">
                  <c:v>1328</c:v>
                </c:pt>
                <c:pt idx="13">
                  <c:v>1456</c:v>
                </c:pt>
                <c:pt idx="14">
                  <c:v>1449.81318681318</c:v>
                </c:pt>
                <c:pt idx="15">
                  <c:v>1767</c:v>
                </c:pt>
                <c:pt idx="16">
                  <c:v>1793</c:v>
                </c:pt>
                <c:pt idx="17">
                  <c:v>1895</c:v>
                </c:pt>
                <c:pt idx="18">
                  <c:v>2048</c:v>
                </c:pt>
                <c:pt idx="19">
                  <c:v>2188</c:v>
                </c:pt>
                <c:pt idx="20">
                  <c:v>2213</c:v>
                </c:pt>
                <c:pt idx="21">
                  <c:v>2425</c:v>
                </c:pt>
                <c:pt idx="22">
                  <c:v>2473</c:v>
                </c:pt>
                <c:pt idx="23">
                  <c:v>2483</c:v>
                </c:pt>
                <c:pt idx="24">
                  <c:v>2557</c:v>
                </c:pt>
                <c:pt idx="25">
                  <c:v>2625</c:v>
                </c:pt>
                <c:pt idx="26">
                  <c:v>2535</c:v>
                </c:pt>
                <c:pt idx="27">
                  <c:v>2601</c:v>
                </c:pt>
                <c:pt idx="28">
                  <c:v>2575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3"/>
          <c:order val="1"/>
          <c:tx>
            <c:strRef>
              <c:f>'P.R. Surveillance Endoscopy'!$A$41</c:f>
              <c:strCache>
                <c:ptCount val="1"/>
                <c:pt idx="0">
                  <c:v>Target (max)</c:v>
                </c:pt>
              </c:strCache>
            </c:strRef>
          </c:tx>
          <c:spPr>
            <a:ln w="25400">
              <a:solidFill>
                <a:srgbClr val="FF00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Endoscopy'!$B$41:$AW$41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Endoscopy'!$A$168</c:f>
              <c:strCache>
                <c:ptCount val="1"/>
                <c:pt idx="0">
                  <c:v>Baseline Median</c:v>
                </c:pt>
              </c:strCache>
            </c:strRef>
          </c:tx>
          <c:spPr>
            <a:ln w="25400">
              <a:solidFill>
                <a:schemeClr val="tx1"/>
              </a:solidFill>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Endoscopy'!$B$168:$M$168</c:f>
              <c:numCache>
                <c:formatCode>#,##0</c:formatCode>
                <c:ptCount val="12"/>
                <c:pt idx="0">
                  <c:v>536.5</c:v>
                </c:pt>
                <c:pt idx="1">
                  <c:v>536.5</c:v>
                </c:pt>
                <c:pt idx="2">
                  <c:v>536.5</c:v>
                </c:pt>
                <c:pt idx="3">
                  <c:v>536.5</c:v>
                </c:pt>
                <c:pt idx="4">
                  <c:v>536.5</c:v>
                </c:pt>
                <c:pt idx="5">
                  <c:v>536.5</c:v>
                </c:pt>
                <c:pt idx="6">
                  <c:v>536.5</c:v>
                </c:pt>
                <c:pt idx="7">
                  <c:v>536.5</c:v>
                </c:pt>
                <c:pt idx="8">
                  <c:v>536.5</c:v>
                </c:pt>
                <c:pt idx="9">
                  <c:v>536.5</c:v>
                </c:pt>
                <c:pt idx="10">
                  <c:v>536.5</c:v>
                </c:pt>
                <c:pt idx="11">
                  <c:v>536.5</c:v>
                </c:pt>
              </c:numCache>
            </c:numRef>
          </c:val>
          <c:smooth val="0"/>
        </c:ser>
        <c:ser>
          <c:idx val="2"/>
          <c:order val="3"/>
          <c:tx>
            <c:strRef>
              <c:f>'P.R. Surveillance Endoscopy'!$A$169</c:f>
              <c:strCache>
                <c:ptCount val="1"/>
                <c:pt idx="0">
                  <c:v>Extended Baseline Median</c:v>
                </c:pt>
              </c:strCache>
            </c:strRef>
          </c:tx>
          <c:spPr>
            <a:ln w="25400">
              <a:solidFill>
                <a:prstClr val="black"/>
              </a:solidFill>
              <a:prstDash val="dash"/>
            </a:ln>
          </c:spPr>
          <c:marker>
            <c:symbol val="none"/>
          </c:marker>
          <c:dPt>
            <c:idx val="13"/>
            <c:bubble3D val="0"/>
            <c:spPr>
              <a:ln w="25400">
                <a:noFill/>
                <a:prstDash val="dash"/>
              </a:ln>
            </c:spPr>
          </c:dPt>
          <c:dPt>
            <c:idx val="14"/>
            <c:bubble3D val="0"/>
            <c:spPr>
              <a:ln w="25400">
                <a:noFill/>
                <a:prstDash val="dash"/>
              </a:ln>
            </c:spPr>
          </c:dPt>
          <c:dPt>
            <c:idx val="15"/>
            <c:bubble3D val="0"/>
            <c:spPr>
              <a:ln w="25400">
                <a:noFill/>
                <a:prstDash val="dash"/>
              </a:ln>
            </c:spPr>
          </c:dPt>
          <c:dPt>
            <c:idx val="16"/>
            <c:bubble3D val="0"/>
            <c:spPr>
              <a:ln w="25400">
                <a:noFill/>
                <a:prstDash val="dash"/>
              </a:ln>
            </c:spPr>
          </c:dPt>
          <c:dPt>
            <c:idx val="17"/>
            <c:bubble3D val="0"/>
            <c:spPr>
              <a:ln w="25400">
                <a:noFill/>
                <a:prstDash val="dash"/>
              </a:ln>
            </c:spPr>
          </c:dPt>
          <c:dPt>
            <c:idx val="18"/>
            <c:bubble3D val="0"/>
            <c:spPr>
              <a:ln w="25400">
                <a:noFill/>
                <a:prstDash val="dash"/>
              </a:ln>
            </c:spPr>
          </c:dPt>
          <c:dPt>
            <c:idx val="19"/>
            <c:bubble3D val="0"/>
            <c:spPr>
              <a:ln w="25400">
                <a:noFill/>
                <a:prstDash val="dash"/>
              </a:ln>
            </c:spPr>
          </c:dPt>
          <c:dPt>
            <c:idx val="20"/>
            <c:bubble3D val="0"/>
            <c:spPr>
              <a:ln w="25400">
                <a:noFill/>
                <a:prstDash val="dash"/>
              </a:ln>
            </c:spPr>
          </c:dPt>
          <c:dPt>
            <c:idx val="21"/>
            <c:bubble3D val="0"/>
            <c:spPr>
              <a:ln w="25400">
                <a:noFill/>
                <a:prstDash val="dash"/>
              </a:ln>
            </c:spPr>
          </c:dPt>
          <c:dPt>
            <c:idx val="22"/>
            <c:bubble3D val="0"/>
            <c:spPr>
              <a:ln w="25400">
                <a:noFill/>
                <a:prstDash val="dash"/>
              </a:ln>
            </c:spPr>
          </c:dPt>
          <c:dPt>
            <c:idx val="23"/>
            <c:bubble3D val="0"/>
            <c:spPr>
              <a:ln w="25400">
                <a:noFill/>
                <a:prstDash val="dash"/>
              </a:ln>
            </c:spPr>
          </c:dPt>
          <c:dPt>
            <c:idx val="24"/>
            <c:bubble3D val="0"/>
            <c:spPr>
              <a:ln w="25400">
                <a:noFill/>
                <a:prstDash val="dash"/>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Endoscopy'!$B$169:$AW$169</c:f>
              <c:numCache>
                <c:formatCode>#,##0</c:formatCode>
                <c:ptCount val="48"/>
                <c:pt idx="11">
                  <c:v>536.5</c:v>
                </c:pt>
                <c:pt idx="12">
                  <c:v>536.5</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ser>
        <c:ser>
          <c:idx val="4"/>
          <c:order val="4"/>
          <c:tx>
            <c:strRef>
              <c:f>'P.R. Surveillance Endoscopy'!$A$170</c:f>
              <c:strCache>
                <c:ptCount val="1"/>
                <c:pt idx="0">
                  <c:v>New Median</c:v>
                </c:pt>
              </c:strCache>
            </c:strRef>
          </c:tx>
          <c:spPr>
            <a:ln w="25400">
              <a:solidFill>
                <a:srgbClr val="E69F00"/>
              </a:solidFill>
            </a:ln>
          </c:spPr>
          <c:marker>
            <c:symbol val="none"/>
          </c:marker>
          <c:dPt>
            <c:idx val="24"/>
            <c:bubble3D val="0"/>
            <c:spPr>
              <a:ln w="25400">
                <a:noFill/>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Endoscopy'!$B$170:$AW$170</c:f>
              <c:numCache>
                <c:formatCode>#,##0</c:formatCode>
                <c:ptCount val="48"/>
                <c:pt idx="12">
                  <c:v>1971.5</c:v>
                </c:pt>
                <c:pt idx="13">
                  <c:v>1971.5</c:v>
                </c:pt>
                <c:pt idx="14">
                  <c:v>1971.5</c:v>
                </c:pt>
                <c:pt idx="15">
                  <c:v>1971.5</c:v>
                </c:pt>
                <c:pt idx="16">
                  <c:v>1971.5</c:v>
                </c:pt>
                <c:pt idx="17">
                  <c:v>1971.5</c:v>
                </c:pt>
                <c:pt idx="18">
                  <c:v>1971.5</c:v>
                </c:pt>
                <c:pt idx="19">
                  <c:v>1971.5</c:v>
                </c:pt>
                <c:pt idx="20">
                  <c:v>1971.5</c:v>
                </c:pt>
                <c:pt idx="21">
                  <c:v>1971.5</c:v>
                </c:pt>
                <c:pt idx="22">
                  <c:v>1971.5</c:v>
                </c:pt>
                <c:pt idx="23">
                  <c:v>1971.5</c:v>
                </c:pt>
                <c:pt idx="24">
                  <c:v>0</c:v>
                </c:pt>
              </c:numCache>
            </c:numRef>
          </c:val>
          <c:smooth val="0"/>
        </c:ser>
        <c:ser>
          <c:idx val="5"/>
          <c:order val="5"/>
          <c:tx>
            <c:strRef>
              <c:f>'P.R. Surveillance Endoscopy'!$A$171</c:f>
              <c:strCache>
                <c:ptCount val="1"/>
                <c:pt idx="0">
                  <c:v>Extended New Median</c:v>
                </c:pt>
              </c:strCache>
            </c:strRef>
          </c:tx>
          <c:spPr>
            <a:ln w="25400">
              <a:solidFill>
                <a:srgbClr val="E69F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Endoscopy'!$B$171:$AW$171</c:f>
              <c:numCache>
                <c:formatCode>#,##0</c:formatCode>
                <c:ptCount val="48"/>
                <c:pt idx="23">
                  <c:v>1971.5</c:v>
                </c:pt>
                <c:pt idx="24">
                  <c:v>1971.5</c:v>
                </c:pt>
                <c:pt idx="25">
                  <c:v>1971.5</c:v>
                </c:pt>
                <c:pt idx="26">
                  <c:v>1971.5</c:v>
                </c:pt>
                <c:pt idx="27">
                  <c:v>1971.5</c:v>
                </c:pt>
                <c:pt idx="28">
                  <c:v>1971.5</c:v>
                </c:pt>
                <c:pt idx="29">
                  <c:v>1971.5</c:v>
                </c:pt>
                <c:pt idx="30">
                  <c:v>1971.5</c:v>
                </c:pt>
                <c:pt idx="31">
                  <c:v>1971.5</c:v>
                </c:pt>
                <c:pt idx="32">
                  <c:v>1971.5</c:v>
                </c:pt>
                <c:pt idx="33">
                  <c:v>1971.5</c:v>
                </c:pt>
                <c:pt idx="34">
                  <c:v>1971.5</c:v>
                </c:pt>
                <c:pt idx="35">
                  <c:v>1971.5</c:v>
                </c:pt>
                <c:pt idx="36">
                  <c:v>1971.5</c:v>
                </c:pt>
                <c:pt idx="37">
                  <c:v>1971.5</c:v>
                </c:pt>
                <c:pt idx="38">
                  <c:v>1971.5</c:v>
                </c:pt>
                <c:pt idx="39">
                  <c:v>1971.5</c:v>
                </c:pt>
                <c:pt idx="40">
                  <c:v>1971.5</c:v>
                </c:pt>
                <c:pt idx="41">
                  <c:v>1971.5</c:v>
                </c:pt>
                <c:pt idx="42">
                  <c:v>1971.5</c:v>
                </c:pt>
                <c:pt idx="43">
                  <c:v>1971.5</c:v>
                </c:pt>
                <c:pt idx="44">
                  <c:v>1971.5</c:v>
                </c:pt>
                <c:pt idx="45">
                  <c:v>1971.5</c:v>
                </c:pt>
                <c:pt idx="46">
                  <c:v>1971.5</c:v>
                </c:pt>
                <c:pt idx="47">
                  <c:v>1971.5</c:v>
                </c:pt>
              </c:numCache>
            </c:numRef>
          </c:val>
          <c:smooth val="0"/>
        </c:ser>
        <c:dLbls>
          <c:showLegendKey val="0"/>
          <c:showVal val="0"/>
          <c:showCatName val="0"/>
          <c:showSerName val="0"/>
          <c:showPercent val="0"/>
          <c:showBubbleSize val="0"/>
        </c:dLbls>
        <c:marker val="1"/>
        <c:smooth val="0"/>
        <c:axId val="143648768"/>
        <c:axId val="144323072"/>
      </c:lineChart>
      <c:dateAx>
        <c:axId val="143648768"/>
        <c:scaling>
          <c:orientation val="minMax"/>
        </c:scaling>
        <c:delete val="0"/>
        <c:axPos val="b"/>
        <c:numFmt formatCode="mmm\ yy" sourceLinked="0"/>
        <c:majorTickMark val="none"/>
        <c:minorTickMark val="none"/>
        <c:tickLblPos val="nextTo"/>
        <c:txPr>
          <a:bodyPr rot="-5400000" vert="horz"/>
          <a:lstStyle/>
          <a:p>
            <a:pPr>
              <a:defRPr sz="800">
                <a:latin typeface="Arial" pitchFamily="34" charset="0"/>
                <a:cs typeface="Arial" pitchFamily="34" charset="0"/>
              </a:defRPr>
            </a:pPr>
            <a:endParaRPr lang="en-US"/>
          </a:p>
        </c:txPr>
        <c:crossAx val="144323072"/>
        <c:crosses val="autoZero"/>
        <c:auto val="1"/>
        <c:lblOffset val="100"/>
        <c:baseTimeUnit val="months"/>
        <c:majorUnit val="1"/>
        <c:majorTimeUnit val="months"/>
      </c:dateAx>
      <c:valAx>
        <c:axId val="144323072"/>
        <c:scaling>
          <c:orientation val="minMax"/>
        </c:scaling>
        <c:delete val="0"/>
        <c:axPos val="l"/>
        <c:majorGridlines/>
        <c:numFmt formatCode="#,##0" sourceLinked="0"/>
        <c:majorTickMark val="none"/>
        <c:minorTickMark val="none"/>
        <c:tickLblPos val="nextTo"/>
        <c:spPr>
          <a:ln w="9525">
            <a:solidFill>
              <a:schemeClr val="bg1">
                <a:lumMod val="65000"/>
              </a:schemeClr>
            </a:solidFill>
          </a:ln>
        </c:spPr>
        <c:txPr>
          <a:bodyPr/>
          <a:lstStyle/>
          <a:p>
            <a:pPr>
              <a:defRPr sz="800">
                <a:latin typeface="Arial" pitchFamily="34" charset="0"/>
                <a:cs typeface="Arial" pitchFamily="34" charset="0"/>
              </a:defRPr>
            </a:pPr>
            <a:endParaRPr lang="en-US"/>
          </a:p>
        </c:txPr>
        <c:crossAx val="143648768"/>
        <c:crosses val="autoZero"/>
        <c:crossBetween val="between"/>
      </c:valAx>
    </c:plotArea>
    <c:legend>
      <c:legendPos val="b"/>
      <c:layout>
        <c:manualLayout>
          <c:xMode val="edge"/>
          <c:yMode val="edge"/>
          <c:x val="1.063734016620844E-2"/>
          <c:y val="0.93795030802496837"/>
          <c:w val="0.96605706946964154"/>
          <c:h val="5.9334176492187182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455" l="0.70000000000000062" r="0.70000000000000062" t="0.7500000000000045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250221858468914E-2"/>
          <c:y val="2.9451131676073324E-2"/>
          <c:w val="0.94774525944114218"/>
          <c:h val="0.77293043266499506"/>
        </c:manualLayout>
      </c:layout>
      <c:lineChart>
        <c:grouping val="standard"/>
        <c:varyColors val="0"/>
        <c:ser>
          <c:idx val="0"/>
          <c:order val="0"/>
          <c:tx>
            <c:strRef>
              <c:f>'P.R. Surveillance Endoscopy'!$A$16</c:f>
              <c:strCache>
                <c:ptCount val="1"/>
                <c:pt idx="0">
                  <c:v>Total</c:v>
                </c:pt>
              </c:strCache>
            </c:strRef>
          </c:tx>
          <c:spPr>
            <a:ln w="25400">
              <a:solidFill>
                <a:srgbClr val="0070C0"/>
              </a:solidFill>
            </a:ln>
          </c:spPr>
          <c:marker>
            <c:symbol val="circle"/>
            <c:size val="5"/>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Endoscopy'!$B$16:$AW$16</c:f>
              <c:numCache>
                <c:formatCode>#,##0</c:formatCode>
                <c:ptCount val="48"/>
                <c:pt idx="0">
                  <c:v>1238</c:v>
                </c:pt>
                <c:pt idx="1">
                  <c:v>1230</c:v>
                </c:pt>
                <c:pt idx="2">
                  <c:v>1242</c:v>
                </c:pt>
                <c:pt idx="3">
                  <c:v>1369</c:v>
                </c:pt>
                <c:pt idx="4">
                  <c:v>1503</c:v>
                </c:pt>
                <c:pt idx="5">
                  <c:v>1634</c:v>
                </c:pt>
                <c:pt idx="6">
                  <c:v>1801</c:v>
                </c:pt>
                <c:pt idx="7">
                  <c:v>2039</c:v>
                </c:pt>
                <c:pt idx="8">
                  <c:v>2252</c:v>
                </c:pt>
                <c:pt idx="9">
                  <c:v>2331</c:v>
                </c:pt>
                <c:pt idx="10">
                  <c:v>2268</c:v>
                </c:pt>
                <c:pt idx="11">
                  <c:v>2335</c:v>
                </c:pt>
                <c:pt idx="12">
                  <c:v>2558</c:v>
                </c:pt>
                <c:pt idx="13">
                  <c:v>2821</c:v>
                </c:pt>
                <c:pt idx="14">
                  <c:v>3078</c:v>
                </c:pt>
                <c:pt idx="15">
                  <c:v>3082</c:v>
                </c:pt>
                <c:pt idx="16">
                  <c:v>3207</c:v>
                </c:pt>
                <c:pt idx="17">
                  <c:v>3491</c:v>
                </c:pt>
                <c:pt idx="18">
                  <c:v>3744</c:v>
                </c:pt>
                <c:pt idx="19">
                  <c:v>3936</c:v>
                </c:pt>
                <c:pt idx="20">
                  <c:v>3825</c:v>
                </c:pt>
                <c:pt idx="21">
                  <c:v>4237</c:v>
                </c:pt>
                <c:pt idx="22">
                  <c:v>4286</c:v>
                </c:pt>
                <c:pt idx="23">
                  <c:v>4231</c:v>
                </c:pt>
                <c:pt idx="24">
                  <c:v>4357</c:v>
                </c:pt>
                <c:pt idx="25">
                  <c:v>4500</c:v>
                </c:pt>
                <c:pt idx="26">
                  <c:v>4021</c:v>
                </c:pt>
                <c:pt idx="27">
                  <c:v>4591</c:v>
                </c:pt>
                <c:pt idx="28">
                  <c:v>4543</c:v>
                </c:pt>
              </c:numCache>
            </c:numRef>
          </c:val>
          <c:smooth val="0"/>
        </c:ser>
        <c:ser>
          <c:idx val="3"/>
          <c:order val="1"/>
          <c:tx>
            <c:strRef>
              <c:f>'P.R. Surveillance Endoscopy'!$A$41</c:f>
              <c:strCache>
                <c:ptCount val="1"/>
                <c:pt idx="0">
                  <c:v>Target (max)</c:v>
                </c:pt>
              </c:strCache>
            </c:strRef>
          </c:tx>
          <c:spPr>
            <a:ln w="25400">
              <a:solidFill>
                <a:srgbClr val="FF00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Endoscopy'!$B$41:$AW$41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2"/>
          <c:tx>
            <c:strRef>
              <c:f>'P.R. Surveillance Endoscopy'!$A$27</c:f>
              <c:strCache>
                <c:ptCount val="1"/>
                <c:pt idx="0">
                  <c:v>Baseline Median</c:v>
                </c:pt>
              </c:strCache>
            </c:strRef>
          </c:tx>
          <c:spPr>
            <a:ln w="25400">
              <a:solidFill>
                <a:schemeClr val="tx1"/>
              </a:solidFill>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Endoscopy'!$B$27:$AW$27</c:f>
              <c:numCache>
                <c:formatCode>#,##0</c:formatCode>
                <c:ptCount val="48"/>
                <c:pt idx="0">
                  <c:v>1717.5</c:v>
                </c:pt>
                <c:pt idx="1">
                  <c:v>1717.5</c:v>
                </c:pt>
                <c:pt idx="2">
                  <c:v>1717.5</c:v>
                </c:pt>
                <c:pt idx="3">
                  <c:v>1717.5</c:v>
                </c:pt>
                <c:pt idx="4">
                  <c:v>1717.5</c:v>
                </c:pt>
                <c:pt idx="5">
                  <c:v>1717.5</c:v>
                </c:pt>
                <c:pt idx="6">
                  <c:v>1717.5</c:v>
                </c:pt>
                <c:pt idx="7">
                  <c:v>1717.5</c:v>
                </c:pt>
                <c:pt idx="8">
                  <c:v>1717.5</c:v>
                </c:pt>
                <c:pt idx="9">
                  <c:v>1717.5</c:v>
                </c:pt>
                <c:pt idx="10">
                  <c:v>1717.5</c:v>
                </c:pt>
                <c:pt idx="11">
                  <c:v>1717.5</c:v>
                </c:pt>
              </c:numCache>
            </c:numRef>
          </c:val>
          <c:smooth val="0"/>
        </c:ser>
        <c:ser>
          <c:idx val="2"/>
          <c:order val="3"/>
          <c:tx>
            <c:strRef>
              <c:f>'P.R. Surveillance Endoscopy'!$A$28</c:f>
              <c:strCache>
                <c:ptCount val="1"/>
                <c:pt idx="0">
                  <c:v>Extended Baseline Median</c:v>
                </c:pt>
              </c:strCache>
            </c:strRef>
          </c:tx>
          <c:spPr>
            <a:ln w="25400">
              <a:solidFill>
                <a:prstClr val="black"/>
              </a:solidFill>
              <a:prstDash val="dash"/>
            </a:ln>
          </c:spPr>
          <c:marker>
            <c:symbol val="none"/>
          </c:marker>
          <c:dPt>
            <c:idx val="13"/>
            <c:bubble3D val="0"/>
            <c:spPr>
              <a:ln w="25400">
                <a:noFill/>
                <a:prstDash val="dash"/>
              </a:ln>
            </c:spPr>
          </c:dPt>
          <c:dPt>
            <c:idx val="14"/>
            <c:bubble3D val="0"/>
            <c:spPr>
              <a:ln w="25400">
                <a:noFill/>
                <a:prstDash val="dash"/>
              </a:ln>
            </c:spPr>
          </c:dPt>
          <c:dPt>
            <c:idx val="15"/>
            <c:bubble3D val="0"/>
            <c:spPr>
              <a:ln w="25400">
                <a:noFill/>
                <a:prstDash val="dash"/>
              </a:ln>
            </c:spPr>
          </c:dPt>
          <c:dPt>
            <c:idx val="16"/>
            <c:bubble3D val="0"/>
            <c:spPr>
              <a:ln w="25400">
                <a:noFill/>
                <a:prstDash val="dash"/>
              </a:ln>
            </c:spPr>
          </c:dPt>
          <c:dPt>
            <c:idx val="17"/>
            <c:bubble3D val="0"/>
            <c:spPr>
              <a:ln w="25400">
                <a:noFill/>
                <a:prstDash val="dash"/>
              </a:ln>
            </c:spPr>
          </c:dPt>
          <c:dPt>
            <c:idx val="18"/>
            <c:bubble3D val="0"/>
            <c:spPr>
              <a:ln w="25400">
                <a:noFill/>
                <a:prstDash val="dash"/>
              </a:ln>
            </c:spPr>
          </c:dPt>
          <c:dPt>
            <c:idx val="19"/>
            <c:bubble3D val="0"/>
            <c:spPr>
              <a:ln w="25400">
                <a:noFill/>
                <a:prstDash val="dash"/>
              </a:ln>
            </c:spPr>
          </c:dPt>
          <c:dPt>
            <c:idx val="20"/>
            <c:bubble3D val="0"/>
            <c:spPr>
              <a:ln w="25400">
                <a:noFill/>
                <a:prstDash val="dash"/>
              </a:ln>
            </c:spPr>
          </c:dPt>
          <c:dPt>
            <c:idx val="21"/>
            <c:bubble3D val="0"/>
            <c:spPr>
              <a:ln w="25400">
                <a:noFill/>
                <a:prstDash val="dash"/>
              </a:ln>
            </c:spPr>
          </c:dPt>
          <c:dPt>
            <c:idx val="22"/>
            <c:bubble3D val="0"/>
            <c:spPr>
              <a:ln w="25400">
                <a:noFill/>
                <a:prstDash val="dash"/>
              </a:ln>
            </c:spPr>
          </c:dPt>
          <c:dPt>
            <c:idx val="23"/>
            <c:bubble3D val="0"/>
            <c:spPr>
              <a:ln w="25400">
                <a:noFill/>
                <a:prstDash val="dash"/>
              </a:ln>
            </c:spPr>
          </c:dPt>
          <c:dPt>
            <c:idx val="24"/>
            <c:bubble3D val="0"/>
            <c:spPr>
              <a:ln w="25400">
                <a:noFill/>
                <a:prstDash val="dash"/>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Endoscopy'!$B$28:$AW$28</c:f>
              <c:numCache>
                <c:formatCode>#,##0</c:formatCode>
                <c:ptCount val="48"/>
                <c:pt idx="11">
                  <c:v>1717.5</c:v>
                </c:pt>
                <c:pt idx="12">
                  <c:v>1717.5</c:v>
                </c:pt>
                <c:pt idx="23">
                  <c:v>0</c:v>
                </c:pt>
              </c:numCache>
            </c:numRef>
          </c:val>
          <c:smooth val="0"/>
        </c:ser>
        <c:ser>
          <c:idx val="4"/>
          <c:order val="4"/>
          <c:tx>
            <c:strRef>
              <c:f>'P.R. Surveillance Endoscopy'!$A$29</c:f>
              <c:strCache>
                <c:ptCount val="1"/>
                <c:pt idx="0">
                  <c:v>New Median</c:v>
                </c:pt>
              </c:strCache>
            </c:strRef>
          </c:tx>
          <c:spPr>
            <a:ln w="25400">
              <a:solidFill>
                <a:srgbClr val="E69F00"/>
              </a:solidFill>
            </a:ln>
          </c:spPr>
          <c:marker>
            <c:symbol val="none"/>
          </c:marker>
          <c:dPt>
            <c:idx val="12"/>
            <c:bubble3D val="0"/>
            <c:spPr>
              <a:ln w="25400">
                <a:noFill/>
              </a:ln>
            </c:spPr>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Endoscopy'!$B$29:$AW$29</c:f>
              <c:numCache>
                <c:formatCode>#,##0</c:formatCode>
                <c:ptCount val="48"/>
                <c:pt idx="12">
                  <c:v>3617.5</c:v>
                </c:pt>
                <c:pt idx="13">
                  <c:v>3617.5</c:v>
                </c:pt>
                <c:pt idx="14">
                  <c:v>3617.5</c:v>
                </c:pt>
                <c:pt idx="15">
                  <c:v>3617.5</c:v>
                </c:pt>
                <c:pt idx="16">
                  <c:v>3617.5</c:v>
                </c:pt>
                <c:pt idx="17">
                  <c:v>3617.5</c:v>
                </c:pt>
                <c:pt idx="18">
                  <c:v>3617.5</c:v>
                </c:pt>
                <c:pt idx="19">
                  <c:v>3617.5</c:v>
                </c:pt>
                <c:pt idx="20">
                  <c:v>3617.5</c:v>
                </c:pt>
                <c:pt idx="21">
                  <c:v>3617.5</c:v>
                </c:pt>
                <c:pt idx="22">
                  <c:v>3617.5</c:v>
                </c:pt>
                <c:pt idx="23">
                  <c:v>3617.5</c:v>
                </c:pt>
              </c:numCache>
            </c:numRef>
          </c:val>
          <c:smooth val="0"/>
        </c:ser>
        <c:ser>
          <c:idx val="5"/>
          <c:order val="5"/>
          <c:tx>
            <c:strRef>
              <c:f>'P.R. Surveillance Endoscopy'!$A$30</c:f>
              <c:strCache>
                <c:ptCount val="1"/>
                <c:pt idx="0">
                  <c:v>Extended New Median</c:v>
                </c:pt>
              </c:strCache>
            </c:strRef>
          </c:tx>
          <c:spPr>
            <a:ln w="25400">
              <a:solidFill>
                <a:srgbClr val="E69F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Endoscopy'!$B$30:$AW$30</c:f>
              <c:numCache>
                <c:formatCode>#,##0</c:formatCode>
                <c:ptCount val="48"/>
                <c:pt idx="23">
                  <c:v>3617.5</c:v>
                </c:pt>
                <c:pt idx="24">
                  <c:v>3617.5</c:v>
                </c:pt>
                <c:pt idx="25">
                  <c:v>3617.5</c:v>
                </c:pt>
                <c:pt idx="26">
                  <c:v>3617.5</c:v>
                </c:pt>
                <c:pt idx="27">
                  <c:v>3617.5</c:v>
                </c:pt>
                <c:pt idx="28">
                  <c:v>3617.5</c:v>
                </c:pt>
              </c:numCache>
            </c:numRef>
          </c:val>
          <c:smooth val="0"/>
        </c:ser>
        <c:dLbls>
          <c:showLegendKey val="0"/>
          <c:showVal val="0"/>
          <c:showCatName val="0"/>
          <c:showSerName val="0"/>
          <c:showPercent val="0"/>
          <c:showBubbleSize val="0"/>
        </c:dLbls>
        <c:marker val="1"/>
        <c:smooth val="0"/>
        <c:axId val="144527360"/>
        <c:axId val="144324224"/>
      </c:lineChart>
      <c:dateAx>
        <c:axId val="144527360"/>
        <c:scaling>
          <c:orientation val="minMax"/>
        </c:scaling>
        <c:delete val="0"/>
        <c:axPos val="b"/>
        <c:numFmt formatCode="mmm\ yy" sourceLinked="0"/>
        <c:majorTickMark val="out"/>
        <c:minorTickMark val="none"/>
        <c:tickLblPos val="nextTo"/>
        <c:txPr>
          <a:bodyPr rot="-5400000" vert="horz"/>
          <a:lstStyle/>
          <a:p>
            <a:pPr>
              <a:defRPr sz="800">
                <a:solidFill>
                  <a:schemeClr val="tx1"/>
                </a:solidFill>
                <a:latin typeface="Arial" pitchFamily="34" charset="0"/>
                <a:cs typeface="Arial" pitchFamily="34" charset="0"/>
              </a:defRPr>
            </a:pPr>
            <a:endParaRPr lang="en-US"/>
          </a:p>
        </c:txPr>
        <c:crossAx val="144324224"/>
        <c:crosses val="autoZero"/>
        <c:auto val="1"/>
        <c:lblOffset val="100"/>
        <c:baseTimeUnit val="months"/>
        <c:majorUnit val="1"/>
        <c:majorTimeUnit val="months"/>
      </c:dateAx>
      <c:valAx>
        <c:axId val="144324224"/>
        <c:scaling>
          <c:orientation val="minMax"/>
        </c:scaling>
        <c:delete val="0"/>
        <c:axPos val="l"/>
        <c:majorGridlines/>
        <c:numFmt formatCode="#,##0" sourceLinked="0"/>
        <c:majorTickMark val="out"/>
        <c:minorTickMark val="none"/>
        <c:tickLblPos val="nextTo"/>
        <c:txPr>
          <a:bodyPr/>
          <a:lstStyle/>
          <a:p>
            <a:pPr>
              <a:defRPr sz="800">
                <a:solidFill>
                  <a:schemeClr val="tx1"/>
                </a:solidFill>
                <a:latin typeface="Arial" pitchFamily="34" charset="0"/>
                <a:cs typeface="Arial" pitchFamily="34" charset="0"/>
              </a:defRPr>
            </a:pPr>
            <a:endParaRPr lang="en-US"/>
          </a:p>
        </c:txPr>
        <c:crossAx val="144527360"/>
        <c:crosses val="autoZero"/>
        <c:crossBetween val="between"/>
      </c:valAx>
    </c:plotArea>
    <c:legend>
      <c:legendPos val="b"/>
      <c:legendEntry>
        <c:idx val="2"/>
        <c:txPr>
          <a:bodyPr/>
          <a:lstStyle/>
          <a:p>
            <a:pPr>
              <a:defRPr sz="800">
                <a:solidFill>
                  <a:schemeClr val="tx1"/>
                </a:solidFill>
                <a:latin typeface="Arial" pitchFamily="34" charset="0"/>
                <a:cs typeface="Arial" pitchFamily="34" charset="0"/>
              </a:defRPr>
            </a:pPr>
            <a:endParaRPr lang="en-US"/>
          </a:p>
        </c:txPr>
      </c:legendEntry>
      <c:legendEntry>
        <c:idx val="3"/>
        <c:txPr>
          <a:bodyPr/>
          <a:lstStyle/>
          <a:p>
            <a:pPr>
              <a:defRPr sz="800">
                <a:solidFill>
                  <a:schemeClr val="tx1"/>
                </a:solidFill>
                <a:latin typeface="Arial" pitchFamily="34" charset="0"/>
                <a:cs typeface="Arial" pitchFamily="34" charset="0"/>
              </a:defRPr>
            </a:pPr>
            <a:endParaRPr lang="en-US"/>
          </a:p>
        </c:txPr>
      </c:legendEntry>
      <c:legendEntry>
        <c:idx val="4"/>
        <c:txPr>
          <a:bodyPr/>
          <a:lstStyle/>
          <a:p>
            <a:pPr>
              <a:defRPr sz="800">
                <a:solidFill>
                  <a:schemeClr val="tx1"/>
                </a:solidFill>
                <a:latin typeface="Arial" pitchFamily="34" charset="0"/>
                <a:cs typeface="Arial" pitchFamily="34" charset="0"/>
              </a:defRPr>
            </a:pPr>
            <a:endParaRPr lang="en-US"/>
          </a:p>
        </c:txPr>
      </c:legendEntry>
      <c:legendEntry>
        <c:idx val="5"/>
        <c:txPr>
          <a:bodyPr/>
          <a:lstStyle/>
          <a:p>
            <a:pPr>
              <a:defRPr sz="800">
                <a:solidFill>
                  <a:schemeClr val="tx1"/>
                </a:solidFill>
                <a:latin typeface="Arial" pitchFamily="34" charset="0"/>
                <a:cs typeface="Arial" pitchFamily="34" charset="0"/>
              </a:defRPr>
            </a:pPr>
            <a:endParaRPr lang="en-US"/>
          </a:p>
        </c:txPr>
      </c:legendEntry>
      <c:layout>
        <c:manualLayout>
          <c:xMode val="edge"/>
          <c:yMode val="edge"/>
          <c:x val="8.7742437213269506E-3"/>
          <c:y val="0.93020458981088849"/>
          <c:w val="0.98403497892119096"/>
          <c:h val="5.0565870624196693E-2"/>
        </c:manualLayout>
      </c:layout>
      <c:overlay val="0"/>
      <c:txPr>
        <a:bodyPr/>
        <a:lstStyle/>
        <a:p>
          <a:pPr>
            <a:defRPr sz="800">
              <a:solidFill>
                <a:schemeClr val="tx1"/>
              </a:solidFill>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433" l="0.70000000000000062" r="0.70000000000000062" t="0.75000000000000433"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250221858468928E-2"/>
          <c:y val="2.9451131676073352E-2"/>
          <c:w val="0.94774525944114263"/>
          <c:h val="0.78667613713234308"/>
        </c:manualLayout>
      </c:layout>
      <c:lineChart>
        <c:grouping val="standard"/>
        <c:varyColors val="0"/>
        <c:ser>
          <c:idx val="0"/>
          <c:order val="0"/>
          <c:tx>
            <c:strRef>
              <c:f>'P.R. Surveillance Endoscopy'!$A$18</c:f>
              <c:strCache>
                <c:ptCount val="1"/>
                <c:pt idx="0">
                  <c:v>Total Overdue</c:v>
                </c:pt>
              </c:strCache>
            </c:strRef>
          </c:tx>
          <c:spPr>
            <a:ln w="25400">
              <a:solidFill>
                <a:srgbClr val="0070C0"/>
              </a:solidFill>
            </a:ln>
          </c:spPr>
          <c:marker>
            <c:symbol val="circle"/>
            <c:size val="5"/>
          </c:marker>
          <c:dPt>
            <c:idx val="0"/>
            <c:marker>
              <c:spPr>
                <a:solidFill>
                  <a:schemeClr val="bg1"/>
                </a:solidFill>
              </c:spPr>
            </c:marker>
            <c:bubble3D val="0"/>
          </c:dPt>
          <c:dPt>
            <c:idx val="1"/>
            <c:marker>
              <c:spPr>
                <a:solidFill>
                  <a:sysClr val="window" lastClr="FFFFFF"/>
                </a:solidFill>
              </c:spPr>
            </c:marker>
            <c:bubble3D val="0"/>
          </c:dPt>
          <c:dPt>
            <c:idx val="2"/>
            <c:marker>
              <c:spPr>
                <a:solidFill>
                  <a:sysClr val="window" lastClr="FFFFFF"/>
                </a:solidFill>
              </c:spPr>
            </c:marker>
            <c:bubble3D val="0"/>
          </c:dPt>
          <c:dPt>
            <c:idx val="3"/>
            <c:marker>
              <c:spPr>
                <a:solidFill>
                  <a:sysClr val="window" lastClr="FFFFFF"/>
                </a:solidFill>
              </c:spPr>
            </c:marker>
            <c:bubble3D val="0"/>
          </c:dPt>
          <c:dPt>
            <c:idx val="4"/>
            <c:marker>
              <c:spPr>
                <a:solidFill>
                  <a:sysClr val="window" lastClr="FFFFFF"/>
                </a:solidFill>
              </c:spPr>
            </c:marker>
            <c:bubble3D val="0"/>
          </c:dPt>
          <c:dPt>
            <c:idx val="5"/>
            <c:marker>
              <c:spPr>
                <a:solidFill>
                  <a:sysClr val="window" lastClr="FFFFFF"/>
                </a:solidFill>
              </c:spPr>
            </c:marker>
            <c:bubble3D val="0"/>
          </c:dPt>
          <c:dPt>
            <c:idx val="6"/>
            <c:marker>
              <c:spPr>
                <a:solidFill>
                  <a:sysClr val="window" lastClr="FFFFFF"/>
                </a:solidFill>
              </c:spPr>
            </c:marker>
            <c:bubble3D val="0"/>
          </c:dPt>
          <c:dPt>
            <c:idx val="7"/>
            <c:marker>
              <c:spPr>
                <a:solidFill>
                  <a:schemeClr val="bg1"/>
                </a:solidFill>
              </c:spPr>
            </c:marker>
            <c:bubble3D val="0"/>
          </c:dPt>
          <c:dPt>
            <c:idx val="8"/>
            <c:marker>
              <c:spPr>
                <a:solidFill>
                  <a:schemeClr val="bg1"/>
                </a:solidFill>
              </c:spPr>
            </c:marker>
            <c:bubble3D val="0"/>
          </c:dPt>
          <c:dPt>
            <c:idx val="9"/>
            <c:marker>
              <c:spPr>
                <a:solidFill>
                  <a:schemeClr val="bg1"/>
                </a:solidFill>
              </c:spPr>
            </c:marker>
            <c:bubble3D val="0"/>
          </c:dPt>
          <c:dPt>
            <c:idx val="10"/>
            <c:marker>
              <c:spPr>
                <a:solidFill>
                  <a:sysClr val="window" lastClr="FFFFFF"/>
                </a:solidFill>
              </c:spPr>
            </c:marker>
            <c:bubble3D val="0"/>
          </c:dPt>
          <c:dPt>
            <c:idx val="11"/>
            <c:marker>
              <c:spPr>
                <a:solidFill>
                  <a:schemeClr val="bg1"/>
                </a:solidFill>
              </c:spPr>
            </c:marker>
            <c:bubble3D val="0"/>
          </c:dPt>
          <c:dPt>
            <c:idx val="17"/>
            <c:marker>
              <c:spPr>
                <a:solidFill>
                  <a:sysClr val="window" lastClr="FFFFFF"/>
                </a:solidFill>
              </c:spPr>
            </c:marker>
            <c:bubble3D val="0"/>
          </c:dPt>
          <c:dPt>
            <c:idx val="18"/>
            <c:marker>
              <c:spPr>
                <a:solidFill>
                  <a:sysClr val="window" lastClr="FFFFFF"/>
                </a:solidFill>
              </c:spPr>
            </c:marker>
            <c:bubble3D val="0"/>
          </c:dPt>
          <c:dPt>
            <c:idx val="19"/>
            <c:marker>
              <c:spPr>
                <a:solidFill>
                  <a:schemeClr val="bg1"/>
                </a:solidFill>
              </c:spPr>
            </c:marker>
            <c:bubble3D val="0"/>
          </c:dPt>
          <c:dPt>
            <c:idx val="20"/>
            <c:marker>
              <c:spPr>
                <a:solidFill>
                  <a:sysClr val="window" lastClr="FFFFFF"/>
                </a:solidFill>
              </c:spPr>
            </c:marker>
            <c:bubble3D val="0"/>
          </c:dPt>
          <c:dPt>
            <c:idx val="21"/>
            <c:marker>
              <c:spPr>
                <a:solidFill>
                  <a:sysClr val="window" lastClr="FFFFFF"/>
                </a:solidFill>
              </c:spPr>
            </c:marker>
            <c:bubble3D val="0"/>
          </c:dPt>
          <c:dPt>
            <c:idx val="22"/>
            <c:marker>
              <c:spPr>
                <a:solidFill>
                  <a:sysClr val="window" lastClr="FFFFFF"/>
                </a:solidFill>
              </c:spPr>
            </c:marker>
            <c:bubble3D val="0"/>
          </c:dPt>
          <c:dPt>
            <c:idx val="23"/>
            <c:marker>
              <c:spPr>
                <a:solidFill>
                  <a:sysClr val="window" lastClr="FFFFFF"/>
                </a:solidFill>
              </c:spPr>
            </c:marker>
            <c:bubble3D val="0"/>
          </c:dPt>
          <c:dPt>
            <c:idx val="24"/>
            <c:marker>
              <c:spPr>
                <a:solidFill>
                  <a:sysClr val="window" lastClr="FFFFFF"/>
                </a:solidFill>
              </c:spPr>
            </c:marker>
            <c:bubble3D val="0"/>
          </c:dPt>
          <c:dPt>
            <c:idx val="25"/>
            <c:marker>
              <c:spPr>
                <a:solidFill>
                  <a:sysClr val="window" lastClr="FFFFFF"/>
                </a:solidFill>
              </c:spPr>
            </c:marker>
            <c:bubble3D val="0"/>
          </c:dPt>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Endoscopy'!$B$16:$AW$16</c:f>
              <c:numCache>
                <c:formatCode>#,##0</c:formatCode>
                <c:ptCount val="48"/>
                <c:pt idx="0">
                  <c:v>1238</c:v>
                </c:pt>
                <c:pt idx="1">
                  <c:v>1230</c:v>
                </c:pt>
                <c:pt idx="2">
                  <c:v>1242</c:v>
                </c:pt>
                <c:pt idx="3">
                  <c:v>1369</c:v>
                </c:pt>
                <c:pt idx="4">
                  <c:v>1503</c:v>
                </c:pt>
                <c:pt idx="5">
                  <c:v>1634</c:v>
                </c:pt>
                <c:pt idx="6">
                  <c:v>1801</c:v>
                </c:pt>
                <c:pt idx="7">
                  <c:v>2039</c:v>
                </c:pt>
                <c:pt idx="8">
                  <c:v>2252</c:v>
                </c:pt>
                <c:pt idx="9">
                  <c:v>2331</c:v>
                </c:pt>
                <c:pt idx="10">
                  <c:v>2268</c:v>
                </c:pt>
                <c:pt idx="11">
                  <c:v>2335</c:v>
                </c:pt>
                <c:pt idx="12">
                  <c:v>2558</c:v>
                </c:pt>
                <c:pt idx="13">
                  <c:v>2821</c:v>
                </c:pt>
                <c:pt idx="14">
                  <c:v>3078</c:v>
                </c:pt>
                <c:pt idx="15">
                  <c:v>3082</c:v>
                </c:pt>
                <c:pt idx="16">
                  <c:v>3207</c:v>
                </c:pt>
                <c:pt idx="17">
                  <c:v>3491</c:v>
                </c:pt>
                <c:pt idx="18">
                  <c:v>3744</c:v>
                </c:pt>
                <c:pt idx="19">
                  <c:v>3936</c:v>
                </c:pt>
                <c:pt idx="20">
                  <c:v>3825</c:v>
                </c:pt>
                <c:pt idx="21">
                  <c:v>4237</c:v>
                </c:pt>
                <c:pt idx="22">
                  <c:v>4286</c:v>
                </c:pt>
                <c:pt idx="23">
                  <c:v>4231</c:v>
                </c:pt>
                <c:pt idx="24">
                  <c:v>4357</c:v>
                </c:pt>
                <c:pt idx="25">
                  <c:v>4500</c:v>
                </c:pt>
                <c:pt idx="26">
                  <c:v>4021</c:v>
                </c:pt>
                <c:pt idx="27">
                  <c:v>4591</c:v>
                </c:pt>
                <c:pt idx="28">
                  <c:v>4543</c:v>
                </c:pt>
              </c:numCache>
            </c:numRef>
          </c:val>
          <c:smooth val="0"/>
        </c:ser>
        <c:ser>
          <c:idx val="1"/>
          <c:order val="1"/>
          <c:tx>
            <c:strRef>
              <c:f>'P.R. Surveillance Endoscopy'!$A$35</c:f>
              <c:strCache>
                <c:ptCount val="1"/>
                <c:pt idx="0">
                  <c:v>Mean</c:v>
                </c:pt>
              </c:strCache>
            </c:strRef>
          </c:tx>
          <c:spPr>
            <a:ln w="25400">
              <a:solidFill>
                <a:schemeClr val="tx1"/>
              </a:solidFill>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Endoscopy'!$B$35:$AW$35</c:f>
              <c:numCache>
                <c:formatCode>#,##0</c:formatCode>
                <c:ptCount val="48"/>
                <c:pt idx="0">
                  <c:v>2956.8965517241381</c:v>
                </c:pt>
                <c:pt idx="1">
                  <c:v>2956.8965517241381</c:v>
                </c:pt>
                <c:pt idx="2">
                  <c:v>2956.8965517241381</c:v>
                </c:pt>
                <c:pt idx="3">
                  <c:v>2956.8965517241381</c:v>
                </c:pt>
                <c:pt idx="4">
                  <c:v>2956.8965517241381</c:v>
                </c:pt>
                <c:pt idx="5">
                  <c:v>2956.8965517241381</c:v>
                </c:pt>
                <c:pt idx="6">
                  <c:v>2956.8965517241381</c:v>
                </c:pt>
                <c:pt idx="7">
                  <c:v>2956.8965517241381</c:v>
                </c:pt>
                <c:pt idx="8">
                  <c:v>2956.8965517241381</c:v>
                </c:pt>
                <c:pt idx="9">
                  <c:v>2956.8965517241381</c:v>
                </c:pt>
                <c:pt idx="10">
                  <c:v>2956.8965517241381</c:v>
                </c:pt>
                <c:pt idx="11">
                  <c:v>2956.8965517241381</c:v>
                </c:pt>
                <c:pt idx="12">
                  <c:v>2956.8965517241381</c:v>
                </c:pt>
                <c:pt idx="13">
                  <c:v>2956.8965517241381</c:v>
                </c:pt>
                <c:pt idx="14">
                  <c:v>2956.8965517241381</c:v>
                </c:pt>
                <c:pt idx="15">
                  <c:v>2956.8965517241381</c:v>
                </c:pt>
                <c:pt idx="16">
                  <c:v>2956.8965517241381</c:v>
                </c:pt>
                <c:pt idx="17">
                  <c:v>2956.8965517241381</c:v>
                </c:pt>
                <c:pt idx="18">
                  <c:v>2956.8965517241381</c:v>
                </c:pt>
                <c:pt idx="19">
                  <c:v>2956.8965517241381</c:v>
                </c:pt>
                <c:pt idx="20">
                  <c:v>2956.8965517241381</c:v>
                </c:pt>
                <c:pt idx="21">
                  <c:v>2956.8965517241381</c:v>
                </c:pt>
                <c:pt idx="22">
                  <c:v>2956.8965517241381</c:v>
                </c:pt>
                <c:pt idx="23">
                  <c:v>2956.8965517241381</c:v>
                </c:pt>
                <c:pt idx="24">
                  <c:v>2956.8965517241381</c:v>
                </c:pt>
                <c:pt idx="25">
                  <c:v>2956.8965517241381</c:v>
                </c:pt>
                <c:pt idx="26">
                  <c:v>2956.8965517241381</c:v>
                </c:pt>
                <c:pt idx="27">
                  <c:v>2956.8965517241381</c:v>
                </c:pt>
                <c:pt idx="28">
                  <c:v>2956.8965517241381</c:v>
                </c:pt>
                <c:pt idx="29">
                  <c:v>2956.8965517241381</c:v>
                </c:pt>
                <c:pt idx="30">
                  <c:v>2956.8965517241381</c:v>
                </c:pt>
                <c:pt idx="31">
                  <c:v>2956.8965517241381</c:v>
                </c:pt>
                <c:pt idx="32">
                  <c:v>2956.8965517241381</c:v>
                </c:pt>
                <c:pt idx="33">
                  <c:v>2956.8965517241381</c:v>
                </c:pt>
                <c:pt idx="34">
                  <c:v>2956.8965517241381</c:v>
                </c:pt>
                <c:pt idx="35">
                  <c:v>2956.8965517241381</c:v>
                </c:pt>
                <c:pt idx="36">
                  <c:v>2956.8965517241381</c:v>
                </c:pt>
                <c:pt idx="37">
                  <c:v>2956.8965517241381</c:v>
                </c:pt>
                <c:pt idx="38">
                  <c:v>2956.8965517241381</c:v>
                </c:pt>
                <c:pt idx="39">
                  <c:v>2956.8965517241381</c:v>
                </c:pt>
                <c:pt idx="40">
                  <c:v>2956.8965517241381</c:v>
                </c:pt>
                <c:pt idx="41">
                  <c:v>2956.8965517241381</c:v>
                </c:pt>
                <c:pt idx="42">
                  <c:v>2956.8965517241381</c:v>
                </c:pt>
                <c:pt idx="43">
                  <c:v>2956.8965517241381</c:v>
                </c:pt>
                <c:pt idx="44">
                  <c:v>2956.8965517241381</c:v>
                </c:pt>
                <c:pt idx="45">
                  <c:v>2956.8965517241381</c:v>
                </c:pt>
                <c:pt idx="46">
                  <c:v>2956.8965517241381</c:v>
                </c:pt>
                <c:pt idx="47">
                  <c:v>2956.8965517241381</c:v>
                </c:pt>
              </c:numCache>
            </c:numRef>
          </c:val>
          <c:smooth val="0"/>
        </c:ser>
        <c:ser>
          <c:idx val="2"/>
          <c:order val="2"/>
          <c:tx>
            <c:strRef>
              <c:f>'P.R. Surveillance Endoscopy'!$A$38</c:f>
              <c:strCache>
                <c:ptCount val="1"/>
                <c:pt idx="0">
                  <c:v>Upper Control Limit </c:v>
                </c:pt>
              </c:strCache>
            </c:strRef>
          </c:tx>
          <c:spPr>
            <a:ln w="25400">
              <a:solidFill>
                <a:srgbClr val="7F7F7F"/>
              </a:solidFill>
              <a:prstDash val="sys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Endoscopy'!$B$38:$AW$38</c:f>
              <c:numCache>
                <c:formatCode>#,##0</c:formatCode>
                <c:ptCount val="48"/>
                <c:pt idx="0">
                  <c:v>3415.9581018761137</c:v>
                </c:pt>
                <c:pt idx="1">
                  <c:v>3415.9581018761137</c:v>
                </c:pt>
                <c:pt idx="2">
                  <c:v>3415.9581018761137</c:v>
                </c:pt>
                <c:pt idx="3">
                  <c:v>3415.9581018761137</c:v>
                </c:pt>
                <c:pt idx="4">
                  <c:v>3415.9581018761137</c:v>
                </c:pt>
                <c:pt idx="5">
                  <c:v>3415.9581018761137</c:v>
                </c:pt>
                <c:pt idx="6">
                  <c:v>3415.9581018761137</c:v>
                </c:pt>
                <c:pt idx="7">
                  <c:v>3415.9581018761137</c:v>
                </c:pt>
                <c:pt idx="8">
                  <c:v>3415.9581018761137</c:v>
                </c:pt>
                <c:pt idx="9">
                  <c:v>3415.9581018761137</c:v>
                </c:pt>
                <c:pt idx="10">
                  <c:v>3415.9581018761137</c:v>
                </c:pt>
                <c:pt idx="11">
                  <c:v>3415.9581018761137</c:v>
                </c:pt>
                <c:pt idx="12">
                  <c:v>3415.9581018761137</c:v>
                </c:pt>
                <c:pt idx="13">
                  <c:v>3415.9581018761137</c:v>
                </c:pt>
                <c:pt idx="14">
                  <c:v>3415.9581018761137</c:v>
                </c:pt>
                <c:pt idx="15">
                  <c:v>3415.9581018761137</c:v>
                </c:pt>
                <c:pt idx="16">
                  <c:v>3415.9581018761137</c:v>
                </c:pt>
                <c:pt idx="17">
                  <c:v>3415.9581018761137</c:v>
                </c:pt>
                <c:pt idx="18">
                  <c:v>3415.9581018761137</c:v>
                </c:pt>
                <c:pt idx="19">
                  <c:v>3415.9581018761137</c:v>
                </c:pt>
                <c:pt idx="20">
                  <c:v>3415.9581018761137</c:v>
                </c:pt>
                <c:pt idx="21">
                  <c:v>3415.9581018761137</c:v>
                </c:pt>
                <c:pt idx="22">
                  <c:v>3415.9581018761137</c:v>
                </c:pt>
                <c:pt idx="23">
                  <c:v>3415.9581018761137</c:v>
                </c:pt>
                <c:pt idx="24">
                  <c:v>3415.9581018761137</c:v>
                </c:pt>
                <c:pt idx="25">
                  <c:v>3415.9581018761137</c:v>
                </c:pt>
                <c:pt idx="26">
                  <c:v>3415.9581018761137</c:v>
                </c:pt>
                <c:pt idx="27">
                  <c:v>3415.9581018761137</c:v>
                </c:pt>
                <c:pt idx="28">
                  <c:v>3415.9581018761137</c:v>
                </c:pt>
                <c:pt idx="29">
                  <c:v>3415.9581018761137</c:v>
                </c:pt>
                <c:pt idx="30">
                  <c:v>3415.9581018761137</c:v>
                </c:pt>
                <c:pt idx="31">
                  <c:v>3415.9581018761137</c:v>
                </c:pt>
                <c:pt idx="32">
                  <c:v>3415.9581018761137</c:v>
                </c:pt>
                <c:pt idx="33">
                  <c:v>3415.9581018761137</c:v>
                </c:pt>
                <c:pt idx="34">
                  <c:v>3415.9581018761137</c:v>
                </c:pt>
                <c:pt idx="35">
                  <c:v>3415.9581018761137</c:v>
                </c:pt>
                <c:pt idx="36">
                  <c:v>3415.9581018761137</c:v>
                </c:pt>
                <c:pt idx="37">
                  <c:v>3415.9581018761137</c:v>
                </c:pt>
                <c:pt idx="38">
                  <c:v>3415.9581018761137</c:v>
                </c:pt>
                <c:pt idx="39">
                  <c:v>3415.9581018761137</c:v>
                </c:pt>
                <c:pt idx="40">
                  <c:v>3415.9581018761137</c:v>
                </c:pt>
                <c:pt idx="41">
                  <c:v>3415.9581018761137</c:v>
                </c:pt>
                <c:pt idx="42">
                  <c:v>3415.9581018761137</c:v>
                </c:pt>
                <c:pt idx="43">
                  <c:v>3415.9581018761137</c:v>
                </c:pt>
                <c:pt idx="44">
                  <c:v>3415.9581018761137</c:v>
                </c:pt>
                <c:pt idx="45">
                  <c:v>3415.9581018761137</c:v>
                </c:pt>
                <c:pt idx="46">
                  <c:v>3415.9581018761137</c:v>
                </c:pt>
                <c:pt idx="47">
                  <c:v>3415.9581018761137</c:v>
                </c:pt>
              </c:numCache>
            </c:numRef>
          </c:val>
          <c:smooth val="0"/>
        </c:ser>
        <c:ser>
          <c:idx val="4"/>
          <c:order val="3"/>
          <c:tx>
            <c:strRef>
              <c:f>'P.R. Surveillance Endoscopy'!$A$39</c:f>
              <c:strCache>
                <c:ptCount val="1"/>
                <c:pt idx="0">
                  <c:v>Lower Control Limit</c:v>
                </c:pt>
              </c:strCache>
            </c:strRef>
          </c:tx>
          <c:spPr>
            <a:ln w="25400">
              <a:solidFill>
                <a:srgbClr val="7F7F7F"/>
              </a:solidFill>
              <a:prstDash val="sys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Endoscopy'!$B$39:$AW$39</c:f>
              <c:numCache>
                <c:formatCode>#,##0</c:formatCode>
                <c:ptCount val="48"/>
                <c:pt idx="0">
                  <c:v>2497.8350015721626</c:v>
                </c:pt>
                <c:pt idx="1">
                  <c:v>2497.8350015721626</c:v>
                </c:pt>
                <c:pt idx="2">
                  <c:v>2497.8350015721626</c:v>
                </c:pt>
                <c:pt idx="3">
                  <c:v>2497.8350015721626</c:v>
                </c:pt>
                <c:pt idx="4">
                  <c:v>2497.8350015721626</c:v>
                </c:pt>
                <c:pt idx="5">
                  <c:v>2497.8350015721626</c:v>
                </c:pt>
                <c:pt idx="6">
                  <c:v>2497.8350015721626</c:v>
                </c:pt>
                <c:pt idx="7">
                  <c:v>2497.8350015721626</c:v>
                </c:pt>
                <c:pt idx="8">
                  <c:v>2497.8350015721626</c:v>
                </c:pt>
                <c:pt idx="9">
                  <c:v>2497.8350015721626</c:v>
                </c:pt>
                <c:pt idx="10">
                  <c:v>2497.8350015721626</c:v>
                </c:pt>
                <c:pt idx="11">
                  <c:v>2497.8350015721626</c:v>
                </c:pt>
                <c:pt idx="12">
                  <c:v>2497.8350015721626</c:v>
                </c:pt>
                <c:pt idx="13">
                  <c:v>2497.8350015721626</c:v>
                </c:pt>
                <c:pt idx="14">
                  <c:v>2497.8350015721626</c:v>
                </c:pt>
                <c:pt idx="15">
                  <c:v>2497.8350015721626</c:v>
                </c:pt>
                <c:pt idx="16">
                  <c:v>2497.8350015721626</c:v>
                </c:pt>
                <c:pt idx="17">
                  <c:v>2497.8350015721626</c:v>
                </c:pt>
                <c:pt idx="18">
                  <c:v>2497.8350015721626</c:v>
                </c:pt>
                <c:pt idx="19">
                  <c:v>2497.8350015721626</c:v>
                </c:pt>
                <c:pt idx="20">
                  <c:v>2497.8350015721626</c:v>
                </c:pt>
                <c:pt idx="21">
                  <c:v>2497.8350015721626</c:v>
                </c:pt>
                <c:pt idx="22">
                  <c:v>2497.8350015721626</c:v>
                </c:pt>
                <c:pt idx="23">
                  <c:v>2497.8350015721626</c:v>
                </c:pt>
                <c:pt idx="24">
                  <c:v>2497.8350015721626</c:v>
                </c:pt>
                <c:pt idx="25">
                  <c:v>2497.8350015721626</c:v>
                </c:pt>
                <c:pt idx="26">
                  <c:v>2497.8350015721626</c:v>
                </c:pt>
                <c:pt idx="27">
                  <c:v>2497.8350015721626</c:v>
                </c:pt>
                <c:pt idx="28">
                  <c:v>2497.8350015721626</c:v>
                </c:pt>
                <c:pt idx="29">
                  <c:v>2497.8350015721626</c:v>
                </c:pt>
                <c:pt idx="30">
                  <c:v>2497.8350015721626</c:v>
                </c:pt>
                <c:pt idx="31">
                  <c:v>2497.8350015721626</c:v>
                </c:pt>
                <c:pt idx="32">
                  <c:v>2497.8350015721626</c:v>
                </c:pt>
                <c:pt idx="33">
                  <c:v>2497.8350015721626</c:v>
                </c:pt>
                <c:pt idx="34">
                  <c:v>2497.8350015721626</c:v>
                </c:pt>
                <c:pt idx="35">
                  <c:v>2497.8350015721626</c:v>
                </c:pt>
                <c:pt idx="36">
                  <c:v>2497.8350015721626</c:v>
                </c:pt>
                <c:pt idx="37">
                  <c:v>2497.8350015721626</c:v>
                </c:pt>
                <c:pt idx="38">
                  <c:v>2497.8350015721626</c:v>
                </c:pt>
                <c:pt idx="39">
                  <c:v>2497.8350015721626</c:v>
                </c:pt>
                <c:pt idx="40">
                  <c:v>2497.8350015721626</c:v>
                </c:pt>
                <c:pt idx="41">
                  <c:v>2497.8350015721626</c:v>
                </c:pt>
                <c:pt idx="42">
                  <c:v>2497.8350015721626</c:v>
                </c:pt>
                <c:pt idx="43">
                  <c:v>2497.8350015721626</c:v>
                </c:pt>
                <c:pt idx="44">
                  <c:v>2497.8350015721626</c:v>
                </c:pt>
                <c:pt idx="45">
                  <c:v>2497.8350015721626</c:v>
                </c:pt>
                <c:pt idx="46">
                  <c:v>2497.8350015721626</c:v>
                </c:pt>
                <c:pt idx="47">
                  <c:v>2497.8350015721626</c:v>
                </c:pt>
              </c:numCache>
            </c:numRef>
          </c:val>
          <c:smooth val="0"/>
        </c:ser>
        <c:ser>
          <c:idx val="3"/>
          <c:order val="4"/>
          <c:tx>
            <c:strRef>
              <c:f>'P.R. Surveillance Endoscopy'!$A$41</c:f>
              <c:strCache>
                <c:ptCount val="1"/>
                <c:pt idx="0">
                  <c:v>Target (max)</c:v>
                </c:pt>
              </c:strCache>
            </c:strRef>
          </c:tx>
          <c:spPr>
            <a:ln w="25400">
              <a:solidFill>
                <a:srgbClr val="FF0000"/>
              </a:solidFill>
              <a:prstDash val="dash"/>
            </a:ln>
          </c:spPr>
          <c:marker>
            <c:symbol val="none"/>
          </c:marker>
          <c:cat>
            <c:numRef>
              <c:f>'P.R. Surveillance Endoscopy'!$B$11:$AW$11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'P.R. Surveillance Endoscopy'!$B$41:$AW$41</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dLbls>
          <c:showLegendKey val="0"/>
          <c:showVal val="0"/>
          <c:showCatName val="0"/>
          <c:showSerName val="0"/>
          <c:showPercent val="0"/>
          <c:showBubbleSize val="0"/>
        </c:dLbls>
        <c:marker val="1"/>
        <c:smooth val="0"/>
        <c:axId val="144913408"/>
        <c:axId val="141402112"/>
      </c:lineChart>
      <c:dateAx>
        <c:axId val="144913408"/>
        <c:scaling>
          <c:orientation val="minMax"/>
        </c:scaling>
        <c:delete val="0"/>
        <c:axPos val="b"/>
        <c:numFmt formatCode="mmm\ yy" sourceLinked="0"/>
        <c:majorTickMark val="out"/>
        <c:minorTickMark val="none"/>
        <c:tickLblPos val="nextTo"/>
        <c:txPr>
          <a:bodyPr rot="-5400000" vert="horz"/>
          <a:lstStyle/>
          <a:p>
            <a:pPr>
              <a:defRPr sz="800">
                <a:solidFill>
                  <a:schemeClr val="tx1"/>
                </a:solidFill>
                <a:latin typeface="Arial" pitchFamily="34" charset="0"/>
                <a:cs typeface="Arial" pitchFamily="34" charset="0"/>
              </a:defRPr>
            </a:pPr>
            <a:endParaRPr lang="en-US"/>
          </a:p>
        </c:txPr>
        <c:crossAx val="141402112"/>
        <c:crosses val="autoZero"/>
        <c:auto val="1"/>
        <c:lblOffset val="100"/>
        <c:baseTimeUnit val="months"/>
        <c:majorUnit val="1"/>
        <c:majorTimeUnit val="months"/>
      </c:dateAx>
      <c:valAx>
        <c:axId val="141402112"/>
        <c:scaling>
          <c:orientation val="minMax"/>
        </c:scaling>
        <c:delete val="0"/>
        <c:axPos val="l"/>
        <c:majorGridlines/>
        <c:numFmt formatCode="#,##0" sourceLinked="0"/>
        <c:majorTickMark val="out"/>
        <c:minorTickMark val="none"/>
        <c:tickLblPos val="nextTo"/>
        <c:txPr>
          <a:bodyPr/>
          <a:lstStyle/>
          <a:p>
            <a:pPr>
              <a:defRPr sz="800">
                <a:solidFill>
                  <a:schemeClr val="tx1"/>
                </a:solidFill>
                <a:latin typeface="Arial" pitchFamily="34" charset="0"/>
                <a:cs typeface="Arial" pitchFamily="34" charset="0"/>
              </a:defRPr>
            </a:pPr>
            <a:endParaRPr lang="en-US"/>
          </a:p>
        </c:txPr>
        <c:crossAx val="144913408"/>
        <c:crosses val="autoZero"/>
        <c:crossBetween val="between"/>
      </c:valAx>
    </c:plotArea>
    <c:legend>
      <c:legendPos val="b"/>
      <c:layout>
        <c:manualLayout>
          <c:xMode val="edge"/>
          <c:yMode val="edge"/>
          <c:x val="8.7742437213269506E-3"/>
          <c:y val="0.93707741429228575"/>
          <c:w val="0.98127625454932699"/>
          <c:h val="4.4142922856292739E-2"/>
        </c:manualLayout>
      </c:layout>
      <c:overlay val="0"/>
      <c:txPr>
        <a:bodyPr/>
        <a:lstStyle/>
        <a:p>
          <a:pPr>
            <a:defRPr sz="800">
              <a:solidFill>
                <a:schemeClr val="tx1"/>
              </a:solidFill>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000000000000455" l="0.70000000000000062" r="0.70000000000000062" t="0.75000000000000455" header="0.30000000000000032" footer="0.30000000000000032"/>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19635261109612E-2"/>
          <c:y val="7.8254326561324306E-2"/>
          <c:w val="0.92597576703774098"/>
          <c:h val="0.73524218563588661"/>
        </c:manualLayout>
      </c:layout>
      <c:lineChart>
        <c:grouping val="standard"/>
        <c:varyColors val="0"/>
        <c:ser>
          <c:idx val="0"/>
          <c:order val="0"/>
          <c:tx>
            <c:strRef>
              <c:f>'Psych Therapies'!$A$11</c:f>
              <c:strCache>
                <c:ptCount val="1"/>
                <c:pt idx="0">
                  <c:v>Percentage seen within 18 weeks</c:v>
                </c:pt>
              </c:strCache>
            </c:strRef>
          </c:tx>
          <c:spPr>
            <a:ln w="25400">
              <a:solidFill>
                <a:srgbClr val="0070C0"/>
              </a:solidFill>
            </a:ln>
          </c:spPr>
          <c:marker>
            <c:symbol val="circle"/>
            <c:size val="4"/>
            <c:spPr>
              <a:solidFill>
                <a:srgbClr val="0070C0"/>
              </a:solidFill>
              <a:ln w="25400">
                <a:solidFill>
                  <a:srgbClr val="0070C0"/>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Therapies'!$B$11:$AW$11</c:f>
              <c:numCache>
                <c:formatCode>0.0%</c:formatCode>
                <c:ptCount val="48"/>
                <c:pt idx="0">
                  <c:v>0.39408866995073893</c:v>
                </c:pt>
                <c:pt idx="1">
                  <c:v>0.43979057591623039</c:v>
                </c:pt>
                <c:pt idx="2">
                  <c:v>0.3951048951048951</c:v>
                </c:pt>
                <c:pt idx="3">
                  <c:v>0.45</c:v>
                </c:pt>
                <c:pt idx="4">
                  <c:v>0.45864661654135336</c:v>
                </c:pt>
                <c:pt idx="5">
                  <c:v>0.47435897435897434</c:v>
                </c:pt>
                <c:pt idx="6">
                  <c:v>0.67622259696458686</c:v>
                </c:pt>
                <c:pt idx="7">
                  <c:v>0.69260700389105057</c:v>
                </c:pt>
                <c:pt idx="8">
                  <c:v>0.7303370786516854</c:v>
                </c:pt>
                <c:pt idx="9">
                  <c:v>0.66223908918406071</c:v>
                </c:pt>
                <c:pt idx="10">
                  <c:v>0.70485436893203879</c:v>
                </c:pt>
                <c:pt idx="11">
                  <c:v>0.72025052192066807</c:v>
                </c:pt>
                <c:pt idx="12">
                  <c:v>0.71824480369515009</c:v>
                </c:pt>
                <c:pt idx="13">
                  <c:v>0.69021739130434778</c:v>
                </c:pt>
                <c:pt idx="14">
                  <c:v>0.68080808080808086</c:v>
                </c:pt>
                <c:pt idx="15">
                  <c:v>0.71855010660980811</c:v>
                </c:pt>
                <c:pt idx="16">
                  <c:v>0.72310405643738973</c:v>
                </c:pt>
                <c:pt idx="17">
                  <c:v>0.7551789077212806</c:v>
                </c:pt>
                <c:pt idx="18">
                  <c:v>0.60258780036968573</c:v>
                </c:pt>
                <c:pt idx="19">
                  <c:v>0.61049284578696339</c:v>
                </c:pt>
                <c:pt idx="20">
                  <c:v>0.73130841121495327</c:v>
                </c:pt>
                <c:pt idx="21">
                  <c:v>0.65232358003442337</c:v>
                </c:pt>
                <c:pt idx="22">
                  <c:v>0.66085271317829453</c:v>
                </c:pt>
                <c:pt idx="23">
                  <c:v>0.68561278863232678</c:v>
                </c:pt>
                <c:pt idx="24">
                  <c:v>0.59958932238193019</c:v>
                </c:pt>
                <c:pt idx="25">
                  <c:v>0.64516129032258063</c:v>
                </c:pt>
                <c:pt idx="26">
                  <c:v>0.67519181585677746</c:v>
                </c:pt>
                <c:pt idx="27">
                  <c:v>0.66825396825396821</c:v>
                </c:pt>
                <c:pt idx="28">
                  <c:v>0.60949464012251153</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ser>
        <c:ser>
          <c:idx val="1"/>
          <c:order val="1"/>
          <c:tx>
            <c:strRef>
              <c:f>'Psych Therapies'!$A$16</c:f>
              <c:strCache>
                <c:ptCount val="1"/>
                <c:pt idx="0">
                  <c:v>Target</c:v>
                </c:pt>
              </c:strCache>
            </c:strRef>
          </c:tx>
          <c:spPr>
            <a:ln w="25400">
              <a:solidFill>
                <a:srgbClr val="FF0000"/>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Therapies'!$B$16:$AW$16</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ser>
          <c:idx val="2"/>
          <c:order val="2"/>
          <c:tx>
            <c:strRef>
              <c:f>'Psych Therapies'!$A$12</c:f>
              <c:strCache>
                <c:ptCount val="1"/>
                <c:pt idx="0">
                  <c:v>Baseline Median</c:v>
                </c:pt>
              </c:strCache>
            </c:strRef>
          </c:tx>
          <c:spPr>
            <a:ln w="25400">
              <a:solidFill>
                <a:schemeClr val="tx1">
                  <a:lumMod val="95000"/>
                  <a:lumOff val="5000"/>
                </a:schemeClr>
              </a:solidFill>
              <a:prstDash val="solid"/>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Therapies'!$B$12:$AW$12</c:f>
              <c:numCache>
                <c:formatCode>0.0%</c:formatCode>
                <c:ptCount val="48"/>
                <c:pt idx="6">
                  <c:v>0.69873068641154468</c:v>
                </c:pt>
                <c:pt idx="7">
                  <c:v>0.69873068641154468</c:v>
                </c:pt>
                <c:pt idx="8">
                  <c:v>0.69873068641154468</c:v>
                </c:pt>
                <c:pt idx="9">
                  <c:v>0.69873068641154468</c:v>
                </c:pt>
                <c:pt idx="10">
                  <c:v>0.69873068641154468</c:v>
                </c:pt>
                <c:pt idx="11">
                  <c:v>0.69873068641154468</c:v>
                </c:pt>
              </c:numCache>
            </c:numRef>
          </c:val>
          <c:smooth val="0"/>
        </c:ser>
        <c:ser>
          <c:idx val="3"/>
          <c:order val="3"/>
          <c:tx>
            <c:strRef>
              <c:f>'Psych Therapies'!$A$13</c:f>
              <c:strCache>
                <c:ptCount val="1"/>
                <c:pt idx="0">
                  <c:v>Extended Median</c:v>
                </c:pt>
              </c:strCache>
            </c:strRef>
          </c:tx>
          <c:spPr>
            <a:ln w="25400">
              <a:solidFill>
                <a:schemeClr val="tx1"/>
              </a:solidFill>
              <a:prstDash val="dash"/>
            </a:ln>
          </c:spPr>
          <c:marker>
            <c:symbol val="none"/>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Therapies'!$B$13:$AW$13</c:f>
              <c:numCache>
                <c:formatCode>0.0%</c:formatCode>
                <c:ptCount val="48"/>
                <c:pt idx="11">
                  <c:v>0.69873068641154468</c:v>
                </c:pt>
                <c:pt idx="12">
                  <c:v>0.69873068641154468</c:v>
                </c:pt>
                <c:pt idx="13">
                  <c:v>0.69873068641154468</c:v>
                </c:pt>
                <c:pt idx="14">
                  <c:v>0.69873068641154468</c:v>
                </c:pt>
                <c:pt idx="15">
                  <c:v>0.69873068641154468</c:v>
                </c:pt>
                <c:pt idx="16">
                  <c:v>0.69873068641154468</c:v>
                </c:pt>
                <c:pt idx="17">
                  <c:v>0.69873068641154468</c:v>
                </c:pt>
                <c:pt idx="18">
                  <c:v>0.69873068641154468</c:v>
                </c:pt>
                <c:pt idx="19">
                  <c:v>0.69873068641154468</c:v>
                </c:pt>
                <c:pt idx="20">
                  <c:v>0.69873068641154468</c:v>
                </c:pt>
                <c:pt idx="21">
                  <c:v>0.69873068641154468</c:v>
                </c:pt>
                <c:pt idx="22">
                  <c:v>0.69873068641154468</c:v>
                </c:pt>
                <c:pt idx="23">
                  <c:v>0.69873068641154468</c:v>
                </c:pt>
                <c:pt idx="24">
                  <c:v>0.69873068641154468</c:v>
                </c:pt>
                <c:pt idx="25">
                  <c:v>0.69873068641154468</c:v>
                </c:pt>
                <c:pt idx="26">
                  <c:v>0.69873068641154468</c:v>
                </c:pt>
                <c:pt idx="27">
                  <c:v>0.69873068641154468</c:v>
                </c:pt>
                <c:pt idx="28">
                  <c:v>0.69873068641154468</c:v>
                </c:pt>
                <c:pt idx="29">
                  <c:v>0.69873068641154468</c:v>
                </c:pt>
                <c:pt idx="30">
                  <c:v>0.69873068641154468</c:v>
                </c:pt>
                <c:pt idx="31">
                  <c:v>0.69873068641154468</c:v>
                </c:pt>
                <c:pt idx="32">
                  <c:v>0.69873068641154468</c:v>
                </c:pt>
                <c:pt idx="33">
                  <c:v>0.69873068641154468</c:v>
                </c:pt>
                <c:pt idx="34">
                  <c:v>0.69873068641154468</c:v>
                </c:pt>
                <c:pt idx="35">
                  <c:v>0.69873068641154468</c:v>
                </c:pt>
                <c:pt idx="36">
                  <c:v>0.69873068641154468</c:v>
                </c:pt>
                <c:pt idx="37">
                  <c:v>0.69873068641154468</c:v>
                </c:pt>
                <c:pt idx="38">
                  <c:v>0.69873068641154468</c:v>
                </c:pt>
                <c:pt idx="39">
                  <c:v>0.69873068641154468</c:v>
                </c:pt>
                <c:pt idx="40">
                  <c:v>0.69873068641154468</c:v>
                </c:pt>
                <c:pt idx="41">
                  <c:v>0.69873068641154468</c:v>
                </c:pt>
                <c:pt idx="42">
                  <c:v>0.69873068641154468</c:v>
                </c:pt>
                <c:pt idx="43">
                  <c:v>0.69873068641154468</c:v>
                </c:pt>
                <c:pt idx="44">
                  <c:v>0.69873068641154468</c:v>
                </c:pt>
                <c:pt idx="45">
                  <c:v>0.69873068641154468</c:v>
                </c:pt>
                <c:pt idx="46">
                  <c:v>0.69873068641154468</c:v>
                </c:pt>
                <c:pt idx="47">
                  <c:v>0.69873068641154468</c:v>
                </c:pt>
              </c:numCache>
            </c:numRef>
          </c:val>
          <c:smooth val="0"/>
        </c:ser>
        <c:dLbls>
          <c:showLegendKey val="0"/>
          <c:showVal val="0"/>
          <c:showCatName val="0"/>
          <c:showSerName val="0"/>
          <c:showPercent val="0"/>
          <c:showBubbleSize val="0"/>
        </c:dLbls>
        <c:marker val="1"/>
        <c:smooth val="0"/>
        <c:axId val="144053760"/>
        <c:axId val="141404416"/>
      </c:lineChart>
      <c:dateAx>
        <c:axId val="14405376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1404416"/>
        <c:crosses val="autoZero"/>
        <c:auto val="1"/>
        <c:lblOffset val="100"/>
        <c:baseTimeUnit val="months"/>
        <c:majorUnit val="1"/>
        <c:majorTimeUnit val="months"/>
      </c:dateAx>
      <c:valAx>
        <c:axId val="141404416"/>
        <c:scaling>
          <c:orientation val="minMax"/>
          <c:max val="1"/>
          <c:min val="0"/>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4053760"/>
        <c:crosses val="autoZero"/>
        <c:crossBetween val="between"/>
      </c:valAx>
    </c:plotArea>
    <c:legend>
      <c:legendPos val="r"/>
      <c:layout>
        <c:manualLayout>
          <c:xMode val="edge"/>
          <c:yMode val="edge"/>
          <c:x val="0.21767240249242206"/>
          <c:y val="0.93650793650793651"/>
          <c:w val="0.56357759386624229"/>
          <c:h val="4.5351553278062055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888" l="0.70000000000000062" r="0.70000000000000062" t="0.75000000000000888"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'Psych Therapies'!$A$20</c:f>
              <c:strCache>
                <c:ptCount val="1"/>
                <c:pt idx="0">
                  <c:v>Number Seen Within 18 Weeks</c:v>
                </c:pt>
              </c:strCache>
            </c:strRef>
          </c:tx>
          <c:spPr>
            <a:solidFill>
              <a:srgbClr val="92D05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Therapies'!$B$20:$AW$20</c:f>
              <c:numCache>
                <c:formatCode>#,##0</c:formatCode>
                <c:ptCount val="48"/>
                <c:pt idx="0">
                  <c:v>80</c:v>
                </c:pt>
                <c:pt idx="1">
                  <c:v>84</c:v>
                </c:pt>
                <c:pt idx="2">
                  <c:v>113</c:v>
                </c:pt>
                <c:pt idx="3">
                  <c:v>126</c:v>
                </c:pt>
                <c:pt idx="4">
                  <c:v>122</c:v>
                </c:pt>
                <c:pt idx="5">
                  <c:v>148</c:v>
                </c:pt>
                <c:pt idx="6">
                  <c:v>401</c:v>
                </c:pt>
                <c:pt idx="7">
                  <c:v>356</c:v>
                </c:pt>
                <c:pt idx="8">
                  <c:v>260</c:v>
                </c:pt>
                <c:pt idx="9">
                  <c:v>349</c:v>
                </c:pt>
                <c:pt idx="10">
                  <c:v>363</c:v>
                </c:pt>
                <c:pt idx="11">
                  <c:v>345</c:v>
                </c:pt>
                <c:pt idx="12">
                  <c:v>311</c:v>
                </c:pt>
                <c:pt idx="13">
                  <c:v>381</c:v>
                </c:pt>
                <c:pt idx="14">
                  <c:v>337</c:v>
                </c:pt>
                <c:pt idx="15">
                  <c:v>337</c:v>
                </c:pt>
                <c:pt idx="16">
                  <c:v>410</c:v>
                </c:pt>
                <c:pt idx="17">
                  <c:v>401</c:v>
                </c:pt>
                <c:pt idx="18">
                  <c:v>326</c:v>
                </c:pt>
                <c:pt idx="19">
                  <c:v>384</c:v>
                </c:pt>
                <c:pt idx="20">
                  <c:v>313</c:v>
                </c:pt>
                <c:pt idx="21">
                  <c:v>379</c:v>
                </c:pt>
                <c:pt idx="22">
                  <c:v>341</c:v>
                </c:pt>
                <c:pt idx="23">
                  <c:v>386</c:v>
                </c:pt>
                <c:pt idx="24">
                  <c:v>292</c:v>
                </c:pt>
                <c:pt idx="25">
                  <c:v>440</c:v>
                </c:pt>
                <c:pt idx="26">
                  <c:v>528</c:v>
                </c:pt>
                <c:pt idx="27">
                  <c:v>421</c:v>
                </c:pt>
                <c:pt idx="28">
                  <c:v>398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2"/>
          <c:order val="2"/>
          <c:tx>
            <c:strRef>
              <c:f>'Psych Therapies'!$A$21</c:f>
              <c:strCache>
                <c:ptCount val="1"/>
                <c:pt idx="0">
                  <c:v>Number Seen Over 18 Weeks</c:v>
                </c:pt>
              </c:strCache>
            </c:strRef>
          </c:tx>
          <c:spPr>
            <a:solidFill>
              <a:srgbClr val="FF000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Therapies'!$B$21:$AW$21</c:f>
              <c:numCache>
                <c:formatCode>#,##0</c:formatCode>
                <c:ptCount val="48"/>
                <c:pt idx="0">
                  <c:v>123</c:v>
                </c:pt>
                <c:pt idx="1">
                  <c:v>107</c:v>
                </c:pt>
                <c:pt idx="2">
                  <c:v>173</c:v>
                </c:pt>
                <c:pt idx="3">
                  <c:v>154</c:v>
                </c:pt>
                <c:pt idx="4">
                  <c:v>144</c:v>
                </c:pt>
                <c:pt idx="5">
                  <c:v>164</c:v>
                </c:pt>
                <c:pt idx="6">
                  <c:v>192</c:v>
                </c:pt>
                <c:pt idx="7">
                  <c:v>158</c:v>
                </c:pt>
                <c:pt idx="8">
                  <c:v>96</c:v>
                </c:pt>
                <c:pt idx="9">
                  <c:v>178</c:v>
                </c:pt>
                <c:pt idx="10">
                  <c:v>152</c:v>
                </c:pt>
                <c:pt idx="11">
                  <c:v>134</c:v>
                </c:pt>
                <c:pt idx="12">
                  <c:v>122</c:v>
                </c:pt>
                <c:pt idx="13">
                  <c:v>171</c:v>
                </c:pt>
                <c:pt idx="14">
                  <c:v>158</c:v>
                </c:pt>
                <c:pt idx="15">
                  <c:v>132</c:v>
                </c:pt>
                <c:pt idx="16">
                  <c:v>157</c:v>
                </c:pt>
                <c:pt idx="17">
                  <c:v>130</c:v>
                </c:pt>
                <c:pt idx="18">
                  <c:v>215</c:v>
                </c:pt>
                <c:pt idx="19">
                  <c:v>245</c:v>
                </c:pt>
                <c:pt idx="20">
                  <c:v>115</c:v>
                </c:pt>
                <c:pt idx="21">
                  <c:v>202</c:v>
                </c:pt>
                <c:pt idx="22">
                  <c:v>175</c:v>
                </c:pt>
                <c:pt idx="23">
                  <c:v>177</c:v>
                </c:pt>
                <c:pt idx="24">
                  <c:v>195</c:v>
                </c:pt>
                <c:pt idx="25">
                  <c:v>242</c:v>
                </c:pt>
                <c:pt idx="26">
                  <c:v>254</c:v>
                </c:pt>
                <c:pt idx="27">
                  <c:v>209</c:v>
                </c:pt>
                <c:pt idx="28">
                  <c:v>255</c:v>
                </c:pt>
              </c:numCache>
            </c:numRef>
          </c:val>
        </c:ser>
        <c:dLbls>
          <c:showLegendKey val="0"/>
          <c:showVal val="0"/>
          <c:showCatName val="0"/>
          <c:showSerName val="0"/>
          <c:showPercent val="0"/>
          <c:showBubbleSize val="0"/>
        </c:dLbls>
        <c:gapWidth val="150"/>
        <c:overlap val="100"/>
        <c:axId val="143233024"/>
        <c:axId val="141406720"/>
      </c:barChart>
      <c:lineChart>
        <c:grouping val="standard"/>
        <c:varyColors val="0"/>
        <c:ser>
          <c:idx val="0"/>
          <c:order val="0"/>
          <c:tx>
            <c:strRef>
              <c:f>'Psych Therapies'!$A$19</c:f>
              <c:strCache>
                <c:ptCount val="1"/>
                <c:pt idx="0">
                  <c:v>Total Number Seen</c:v>
                </c:pt>
              </c:strCache>
            </c:strRef>
          </c:tx>
          <c:spPr>
            <a:ln w="25400">
              <a:solidFill>
                <a:schemeClr val="tx1"/>
              </a:solidFill>
            </a:ln>
          </c:spPr>
          <c:marker>
            <c:symbol val="circle"/>
            <c:size val="4"/>
            <c:spPr>
              <a:solidFill>
                <a:schemeClr val="tx1"/>
              </a:solidFill>
              <a:ln w="25400">
                <a:solidFill>
                  <a:schemeClr val="tx1"/>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Therapies'!$B$19:$AW$19</c:f>
              <c:numCache>
                <c:formatCode>#,##0</c:formatCode>
                <c:ptCount val="48"/>
                <c:pt idx="0">
                  <c:v>203</c:v>
                </c:pt>
                <c:pt idx="1">
                  <c:v>191</c:v>
                </c:pt>
                <c:pt idx="2">
                  <c:v>286</c:v>
                </c:pt>
                <c:pt idx="3">
                  <c:v>280</c:v>
                </c:pt>
                <c:pt idx="4">
                  <c:v>266</c:v>
                </c:pt>
                <c:pt idx="5">
                  <c:v>312</c:v>
                </c:pt>
                <c:pt idx="6">
                  <c:v>593</c:v>
                </c:pt>
                <c:pt idx="7">
                  <c:v>514</c:v>
                </c:pt>
                <c:pt idx="8">
                  <c:v>356</c:v>
                </c:pt>
                <c:pt idx="9">
                  <c:v>527</c:v>
                </c:pt>
                <c:pt idx="10">
                  <c:v>515</c:v>
                </c:pt>
                <c:pt idx="11">
                  <c:v>479</c:v>
                </c:pt>
                <c:pt idx="12">
                  <c:v>433</c:v>
                </c:pt>
                <c:pt idx="13">
                  <c:v>552</c:v>
                </c:pt>
                <c:pt idx="14">
                  <c:v>495</c:v>
                </c:pt>
                <c:pt idx="15">
                  <c:v>469</c:v>
                </c:pt>
                <c:pt idx="16">
                  <c:v>567</c:v>
                </c:pt>
                <c:pt idx="17">
                  <c:v>531</c:v>
                </c:pt>
                <c:pt idx="18">
                  <c:v>541</c:v>
                </c:pt>
                <c:pt idx="19">
                  <c:v>629</c:v>
                </c:pt>
                <c:pt idx="20">
                  <c:v>428</c:v>
                </c:pt>
                <c:pt idx="21">
                  <c:v>581</c:v>
                </c:pt>
                <c:pt idx="22">
                  <c:v>516</c:v>
                </c:pt>
                <c:pt idx="23">
                  <c:v>563</c:v>
                </c:pt>
                <c:pt idx="24">
                  <c:v>487</c:v>
                </c:pt>
                <c:pt idx="25">
                  <c:v>682</c:v>
                </c:pt>
                <c:pt idx="26">
                  <c:v>782</c:v>
                </c:pt>
                <c:pt idx="27">
                  <c:v>630</c:v>
                </c:pt>
                <c:pt idx="28">
                  <c:v>653</c:v>
                </c:pt>
              </c:numCache>
            </c:numRef>
          </c:val>
          <c:smooth val="0"/>
        </c:ser>
        <c:dLbls>
          <c:showLegendKey val="0"/>
          <c:showVal val="0"/>
          <c:showCatName val="0"/>
          <c:showSerName val="0"/>
          <c:showPercent val="0"/>
          <c:showBubbleSize val="0"/>
        </c:dLbls>
        <c:marker val="1"/>
        <c:smooth val="0"/>
        <c:axId val="143233024"/>
        <c:axId val="141406720"/>
      </c:lineChart>
      <c:dateAx>
        <c:axId val="14323302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1406720"/>
        <c:crosses val="autoZero"/>
        <c:auto val="1"/>
        <c:lblOffset val="100"/>
        <c:baseTimeUnit val="months"/>
        <c:majorUnit val="1"/>
        <c:majorTimeUnit val="months"/>
      </c:dateAx>
      <c:valAx>
        <c:axId val="141406720"/>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3233024"/>
        <c:crosses val="autoZero"/>
        <c:crossBetween val="between"/>
      </c:valAx>
    </c:plotArea>
    <c:legend>
      <c:legendPos val="b"/>
      <c:layout>
        <c:manualLayout>
          <c:xMode val="edge"/>
          <c:yMode val="edge"/>
          <c:x val="0.17133625222485369"/>
          <c:y val="0.93679456734574862"/>
          <c:w val="0.63879445701918147"/>
          <c:h val="5.236539876959788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26388888888912E-2"/>
          <c:y val="4.8611111111111112E-2"/>
          <c:w val="0.89364583333335113"/>
          <c:h val="0.78075916666666678"/>
        </c:manualLayout>
      </c:layout>
      <c:lineChart>
        <c:grouping val="standard"/>
        <c:varyColors val="0"/>
        <c:ser>
          <c:idx val="0"/>
          <c:order val="0"/>
          <c:tx>
            <c:strRef>
              <c:f>ABI!$B$13</c:f>
              <c:strCache>
                <c:ptCount val="1"/>
                <c:pt idx="0">
                  <c:v>Lothian</c:v>
                </c:pt>
              </c:strCache>
            </c:strRef>
          </c:tx>
          <c:spPr>
            <a:ln w="25400">
              <a:solidFill>
                <a:srgbClr val="0070C0"/>
              </a:solidFill>
            </a:ln>
          </c:spPr>
          <c:marker>
            <c:symbol val="circle"/>
            <c:size val="4"/>
            <c:spPr>
              <a:solidFill>
                <a:srgbClr val="0070C0"/>
              </a:solidFill>
              <a:ln w="25400">
                <a:solidFill>
                  <a:srgbClr val="0070C0"/>
                </a:solidFill>
              </a:ln>
            </c:spPr>
          </c:marker>
          <c:cat>
            <c:numRef>
              <c:f>ABI!$A$22:$A$25</c:f>
              <c:numCache>
                <c:formatCode>mmm\-yy</c:formatCode>
                <c:ptCount val="4"/>
                <c:pt idx="0">
                  <c:v>42887</c:v>
                </c:pt>
              </c:numCache>
            </c:numRef>
          </c:cat>
          <c:val>
            <c:numRef>
              <c:f>ABI!$B$22:$B$25</c:f>
              <c:numCache>
                <c:formatCode>#,##0</c:formatCode>
                <c:ptCount val="4"/>
                <c:pt idx="0">
                  <c:v>3932</c:v>
                </c:pt>
              </c:numCache>
            </c:numRef>
          </c:val>
          <c:smooth val="0"/>
        </c:ser>
        <c:ser>
          <c:idx val="1"/>
          <c:order val="1"/>
          <c:tx>
            <c:strRef>
              <c:f>ABI!$C$13</c:f>
              <c:strCache>
                <c:ptCount val="1"/>
                <c:pt idx="0">
                  <c:v>Target (min)</c:v>
                </c:pt>
              </c:strCache>
            </c:strRef>
          </c:tx>
          <c:spPr>
            <a:ln w="25400">
              <a:solidFill>
                <a:srgbClr val="FF0000"/>
              </a:solidFill>
              <a:prstDash val="dash"/>
            </a:ln>
          </c:spPr>
          <c:marker>
            <c:symbol val="none"/>
          </c:marker>
          <c:cat>
            <c:numRef>
              <c:f>ABI!$A$22:$A$25</c:f>
              <c:numCache>
                <c:formatCode>mmm\-yy</c:formatCode>
                <c:ptCount val="4"/>
                <c:pt idx="0">
                  <c:v>42887</c:v>
                </c:pt>
              </c:numCache>
            </c:numRef>
          </c:cat>
          <c:val>
            <c:numRef>
              <c:f>ABI!$C$22:$C$25</c:f>
              <c:numCache>
                <c:formatCode>#,##0</c:formatCode>
                <c:ptCount val="4"/>
                <c:pt idx="0">
                  <c:v>2434.5</c:v>
                </c:pt>
                <c:pt idx="1">
                  <c:v>4869</c:v>
                </c:pt>
                <c:pt idx="2">
                  <c:v>7303.5</c:v>
                </c:pt>
                <c:pt idx="3">
                  <c:v>9738</c:v>
                </c:pt>
              </c:numCache>
            </c:numRef>
          </c:val>
          <c:smooth val="0"/>
        </c:ser>
        <c:dLbls>
          <c:showLegendKey val="0"/>
          <c:showVal val="0"/>
          <c:showCatName val="0"/>
          <c:showSerName val="0"/>
          <c:showPercent val="0"/>
          <c:showBubbleSize val="0"/>
        </c:dLbls>
        <c:marker val="1"/>
        <c:smooth val="0"/>
        <c:axId val="90402304"/>
        <c:axId val="125954880"/>
      </c:lineChart>
      <c:dateAx>
        <c:axId val="90402304"/>
        <c:scaling>
          <c:orientation val="minMax"/>
        </c:scaling>
        <c:delete val="0"/>
        <c:axPos val="b"/>
        <c:numFmt formatCode="mmm\ yy"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5954880"/>
        <c:crosses val="autoZero"/>
        <c:auto val="1"/>
        <c:lblOffset val="100"/>
        <c:baseTimeUnit val="months"/>
        <c:majorUnit val="3"/>
        <c:majorTimeUnit val="months"/>
      </c:dateAx>
      <c:valAx>
        <c:axId val="125954880"/>
        <c:scaling>
          <c:orientation val="minMax"/>
          <c:max val="30000"/>
        </c:scaling>
        <c:delete val="0"/>
        <c:axPos val="l"/>
        <c:majorGridlines/>
        <c:numFmt formatCode="#,##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90402304"/>
        <c:crosses val="autoZero"/>
        <c:crossBetween val="between"/>
      </c:valAx>
    </c:plotArea>
    <c:legend>
      <c:legendPos val="r"/>
      <c:layout>
        <c:manualLayout>
          <c:xMode val="edge"/>
          <c:yMode val="edge"/>
          <c:x val="0.29106945975744786"/>
          <c:y val="0.88888888888888884"/>
          <c:w val="0.47739801543550031"/>
          <c:h val="8.4656084656087746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'Psych Therapies'!$A$27</c:f>
              <c:strCache>
                <c:ptCount val="1"/>
                <c:pt idx="0">
                  <c:v>Number Waiting Within 18 Weeks</c:v>
                </c:pt>
              </c:strCache>
            </c:strRef>
          </c:tx>
          <c:spPr>
            <a:solidFill>
              <a:srgbClr val="92D05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Therapies'!$B$27:$AW$27</c:f>
              <c:numCache>
                <c:formatCode>#,##0</c:formatCode>
                <c:ptCount val="48"/>
                <c:pt idx="0">
                  <c:v>1936</c:v>
                </c:pt>
                <c:pt idx="1">
                  <c:v>2084</c:v>
                </c:pt>
                <c:pt idx="2">
                  <c:v>2088</c:v>
                </c:pt>
                <c:pt idx="3">
                  <c:v>2073</c:v>
                </c:pt>
                <c:pt idx="4">
                  <c:v>2042</c:v>
                </c:pt>
                <c:pt idx="5">
                  <c:v>1930</c:v>
                </c:pt>
                <c:pt idx="6">
                  <c:v>2388</c:v>
                </c:pt>
                <c:pt idx="7">
                  <c:v>2555</c:v>
                </c:pt>
                <c:pt idx="8">
                  <c:v>2656</c:v>
                </c:pt>
                <c:pt idx="9">
                  <c:v>2524</c:v>
                </c:pt>
                <c:pt idx="10">
                  <c:v>2588</c:v>
                </c:pt>
                <c:pt idx="11">
                  <c:v>2535</c:v>
                </c:pt>
                <c:pt idx="12">
                  <c:v>2634</c:v>
                </c:pt>
                <c:pt idx="13">
                  <c:v>2625</c:v>
                </c:pt>
                <c:pt idx="14">
                  <c:v>2608</c:v>
                </c:pt>
                <c:pt idx="15">
                  <c:v>2586</c:v>
                </c:pt>
                <c:pt idx="16">
                  <c:v>2561</c:v>
                </c:pt>
                <c:pt idx="17">
                  <c:v>2576</c:v>
                </c:pt>
                <c:pt idx="18">
                  <c:v>2726</c:v>
                </c:pt>
                <c:pt idx="19">
                  <c:v>2816</c:v>
                </c:pt>
                <c:pt idx="20">
                  <c:v>2817</c:v>
                </c:pt>
                <c:pt idx="21">
                  <c:v>2799</c:v>
                </c:pt>
                <c:pt idx="22">
                  <c:v>3023</c:v>
                </c:pt>
                <c:pt idx="23">
                  <c:v>3101</c:v>
                </c:pt>
                <c:pt idx="24">
                  <c:v>3000</c:v>
                </c:pt>
                <c:pt idx="25">
                  <c:v>3183</c:v>
                </c:pt>
                <c:pt idx="26">
                  <c:v>3235</c:v>
                </c:pt>
                <c:pt idx="27">
                  <c:v>3371</c:v>
                </c:pt>
                <c:pt idx="28">
                  <c:v>3598</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er>
        <c:ser>
          <c:idx val="2"/>
          <c:order val="2"/>
          <c:tx>
            <c:strRef>
              <c:f>'Psych Therapies'!$A$28</c:f>
              <c:strCache>
                <c:ptCount val="1"/>
                <c:pt idx="0">
                  <c:v>Number Waiting Over 18 Weeks</c:v>
                </c:pt>
              </c:strCache>
            </c:strRef>
          </c:tx>
          <c:spPr>
            <a:solidFill>
              <a:srgbClr val="FF0000"/>
            </a:solidFill>
          </c:spPr>
          <c:invertIfNegative val="0"/>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Therapies'!$B$28:$AW$28</c:f>
              <c:numCache>
                <c:formatCode>#,##0</c:formatCode>
                <c:ptCount val="48"/>
                <c:pt idx="0">
                  <c:v>1254</c:v>
                </c:pt>
                <c:pt idx="1">
                  <c:v>1257</c:v>
                </c:pt>
                <c:pt idx="2">
                  <c:v>1173</c:v>
                </c:pt>
                <c:pt idx="3">
                  <c:v>1146</c:v>
                </c:pt>
                <c:pt idx="4">
                  <c:v>1108</c:v>
                </c:pt>
                <c:pt idx="5">
                  <c:v>1085</c:v>
                </c:pt>
                <c:pt idx="6">
                  <c:v>1069</c:v>
                </c:pt>
                <c:pt idx="7">
                  <c:v>985</c:v>
                </c:pt>
                <c:pt idx="8">
                  <c:v>1041</c:v>
                </c:pt>
                <c:pt idx="9">
                  <c:v>902</c:v>
                </c:pt>
                <c:pt idx="10">
                  <c:v>892</c:v>
                </c:pt>
                <c:pt idx="11">
                  <c:v>1013</c:v>
                </c:pt>
                <c:pt idx="12">
                  <c:v>1073</c:v>
                </c:pt>
                <c:pt idx="13">
                  <c:v>1075</c:v>
                </c:pt>
                <c:pt idx="14">
                  <c:v>1183</c:v>
                </c:pt>
                <c:pt idx="15">
                  <c:v>1292</c:v>
                </c:pt>
                <c:pt idx="16">
                  <c:v>1309</c:v>
                </c:pt>
                <c:pt idx="17">
                  <c:v>1363</c:v>
                </c:pt>
                <c:pt idx="18">
                  <c:v>1337</c:v>
                </c:pt>
                <c:pt idx="19">
                  <c:v>1240</c:v>
                </c:pt>
                <c:pt idx="20">
                  <c:v>1337</c:v>
                </c:pt>
                <c:pt idx="21">
                  <c:v>1338</c:v>
                </c:pt>
                <c:pt idx="22">
                  <c:v>1318</c:v>
                </c:pt>
                <c:pt idx="23">
                  <c:v>1354</c:v>
                </c:pt>
                <c:pt idx="24">
                  <c:v>1416</c:v>
                </c:pt>
                <c:pt idx="25">
                  <c:v>1344</c:v>
                </c:pt>
                <c:pt idx="26">
                  <c:v>1418</c:v>
                </c:pt>
                <c:pt idx="27">
                  <c:v>1542</c:v>
                </c:pt>
                <c:pt idx="28">
                  <c:v>1576</c:v>
                </c:pt>
              </c:numCache>
            </c:numRef>
          </c:val>
        </c:ser>
        <c:dLbls>
          <c:showLegendKey val="0"/>
          <c:showVal val="0"/>
          <c:showCatName val="0"/>
          <c:showSerName val="0"/>
          <c:showPercent val="0"/>
          <c:showBubbleSize val="0"/>
        </c:dLbls>
        <c:gapWidth val="150"/>
        <c:overlap val="100"/>
        <c:axId val="143234560"/>
        <c:axId val="141409024"/>
      </c:barChart>
      <c:lineChart>
        <c:grouping val="standard"/>
        <c:varyColors val="0"/>
        <c:ser>
          <c:idx val="0"/>
          <c:order val="0"/>
          <c:tx>
            <c:strRef>
              <c:f>'Psych Therapies'!$A$26</c:f>
              <c:strCache>
                <c:ptCount val="1"/>
                <c:pt idx="0">
                  <c:v>Total Number Waiting</c:v>
                </c:pt>
              </c:strCache>
            </c:strRef>
          </c:tx>
          <c:spPr>
            <a:ln w="25400">
              <a:solidFill>
                <a:schemeClr val="tx1"/>
              </a:solidFill>
            </a:ln>
          </c:spPr>
          <c:marker>
            <c:symbol val="circle"/>
            <c:size val="4"/>
            <c:spPr>
              <a:solidFill>
                <a:schemeClr val="tx1"/>
              </a:solidFill>
              <a:ln w="25400">
                <a:solidFill>
                  <a:schemeClr val="tx1"/>
                </a:solidFill>
              </a:ln>
            </c:spPr>
          </c:marker>
          <c:cat>
            <c:numRef>
              <c:f>'Psych Therapies'!$B$10:$AW$10</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'Psych Therapies'!$B$26:$AW$26</c:f>
              <c:numCache>
                <c:formatCode>#,##0</c:formatCode>
                <c:ptCount val="48"/>
                <c:pt idx="0">
                  <c:v>3190</c:v>
                </c:pt>
                <c:pt idx="1">
                  <c:v>3341</c:v>
                </c:pt>
                <c:pt idx="2">
                  <c:v>3261</c:v>
                </c:pt>
                <c:pt idx="3">
                  <c:v>3219</c:v>
                </c:pt>
                <c:pt idx="4">
                  <c:v>3150</c:v>
                </c:pt>
                <c:pt idx="5">
                  <c:v>3015</c:v>
                </c:pt>
                <c:pt idx="6">
                  <c:v>3457</c:v>
                </c:pt>
                <c:pt idx="7">
                  <c:v>3540</c:v>
                </c:pt>
                <c:pt idx="8">
                  <c:v>3697</c:v>
                </c:pt>
                <c:pt idx="9">
                  <c:v>3426</c:v>
                </c:pt>
                <c:pt idx="10">
                  <c:v>3480</c:v>
                </c:pt>
                <c:pt idx="11">
                  <c:v>3548</c:v>
                </c:pt>
                <c:pt idx="12">
                  <c:v>3707</c:v>
                </c:pt>
                <c:pt idx="13">
                  <c:v>3700</c:v>
                </c:pt>
                <c:pt idx="14">
                  <c:v>3791</c:v>
                </c:pt>
                <c:pt idx="15">
                  <c:v>3878</c:v>
                </c:pt>
                <c:pt idx="16">
                  <c:v>3870</c:v>
                </c:pt>
                <c:pt idx="17">
                  <c:v>3939</c:v>
                </c:pt>
                <c:pt idx="18">
                  <c:v>4063</c:v>
                </c:pt>
                <c:pt idx="19">
                  <c:v>4056</c:v>
                </c:pt>
                <c:pt idx="20">
                  <c:v>4154</c:v>
                </c:pt>
                <c:pt idx="21">
                  <c:v>4137</c:v>
                </c:pt>
                <c:pt idx="22">
                  <c:v>4341</c:v>
                </c:pt>
                <c:pt idx="23">
                  <c:v>4455</c:v>
                </c:pt>
                <c:pt idx="24">
                  <c:v>4416</c:v>
                </c:pt>
                <c:pt idx="25">
                  <c:v>4527</c:v>
                </c:pt>
                <c:pt idx="26">
                  <c:v>4653</c:v>
                </c:pt>
                <c:pt idx="27">
                  <c:v>4913</c:v>
                </c:pt>
                <c:pt idx="28">
                  <c:v>5174</c:v>
                </c:pt>
              </c:numCache>
            </c:numRef>
          </c:val>
          <c:smooth val="0"/>
        </c:ser>
        <c:dLbls>
          <c:showLegendKey val="0"/>
          <c:showVal val="0"/>
          <c:showCatName val="0"/>
          <c:showSerName val="0"/>
          <c:showPercent val="0"/>
          <c:showBubbleSize val="0"/>
        </c:dLbls>
        <c:marker val="1"/>
        <c:smooth val="0"/>
        <c:axId val="143234560"/>
        <c:axId val="141409024"/>
      </c:lineChart>
      <c:dateAx>
        <c:axId val="14323456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1409024"/>
        <c:crosses val="autoZero"/>
        <c:auto val="1"/>
        <c:lblOffset val="100"/>
        <c:baseTimeUnit val="months"/>
      </c:dateAx>
      <c:valAx>
        <c:axId val="14140902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3234560"/>
        <c:crosses val="autoZero"/>
        <c:crossBetween val="between"/>
      </c:valAx>
    </c:plotArea>
    <c:legend>
      <c:legendPos val="b"/>
      <c:layout>
        <c:manualLayout>
          <c:xMode val="edge"/>
          <c:yMode val="edge"/>
          <c:x val="0.17089305402425578"/>
          <c:y val="0.93650793650793651"/>
          <c:w val="0.62072767364940384"/>
          <c:h val="4.232804232804233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686868686868689E-2"/>
          <c:y val="4.8959027777777775E-2"/>
          <c:w val="0.92887477560881171"/>
          <c:h val="0.75946875000000003"/>
        </c:manualLayout>
      </c:layout>
      <c:lineChart>
        <c:grouping val="standard"/>
        <c:varyColors val="0"/>
        <c:ser>
          <c:idx val="4"/>
          <c:order val="0"/>
          <c:tx>
            <c:strRef>
              <c:f>RTT!$A$10</c:f>
              <c:strCache>
                <c:ptCount val="1"/>
                <c:pt idx="0">
                  <c:v>Patient journeys within 18 weeks (%)</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RTT!$B$9:$AW$9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RTT!$B$10:$AW$10</c:f>
              <c:numCache>
                <c:formatCode>0.0%</c:formatCode>
                <c:ptCount val="48"/>
                <c:pt idx="0">
                  <c:v>0.86099999999999999</c:v>
                </c:pt>
                <c:pt idx="1">
                  <c:v>0.87</c:v>
                </c:pt>
                <c:pt idx="2">
                  <c:v>0.8590000000000001</c:v>
                </c:pt>
                <c:pt idx="3">
                  <c:v>0.873</c:v>
                </c:pt>
                <c:pt idx="4">
                  <c:v>0.85199999999999998</c:v>
                </c:pt>
                <c:pt idx="5">
                  <c:v>0.84900000000000009</c:v>
                </c:pt>
                <c:pt idx="6">
                  <c:v>0.84</c:v>
                </c:pt>
                <c:pt idx="7">
                  <c:v>0.82499999999999996</c:v>
                </c:pt>
                <c:pt idx="8">
                  <c:v>0.82799999999999996</c:v>
                </c:pt>
                <c:pt idx="9">
                  <c:v>0.83</c:v>
                </c:pt>
                <c:pt idx="10">
                  <c:v>0.82400000000000007</c:v>
                </c:pt>
                <c:pt idx="11">
                  <c:v>0.82400000000000007</c:v>
                </c:pt>
                <c:pt idx="12">
                  <c:v>0.83</c:v>
                </c:pt>
                <c:pt idx="13">
                  <c:v>0.82900000000000007</c:v>
                </c:pt>
                <c:pt idx="14">
                  <c:v>0.81299999999999994</c:v>
                </c:pt>
                <c:pt idx="15">
                  <c:v>0.83599999999999997</c:v>
                </c:pt>
                <c:pt idx="16">
                  <c:v>0.83199999999999996</c:v>
                </c:pt>
                <c:pt idx="17">
                  <c:v>0.81</c:v>
                </c:pt>
                <c:pt idx="18">
                  <c:v>0.80200000000000005</c:v>
                </c:pt>
                <c:pt idx="19">
                  <c:v>0.79900000000000004</c:v>
                </c:pt>
                <c:pt idx="20">
                  <c:v>0.79900000000000004</c:v>
                </c:pt>
                <c:pt idx="21">
                  <c:v>0.79200000000000004</c:v>
                </c:pt>
                <c:pt idx="22">
                  <c:v>0.79300000000000004</c:v>
                </c:pt>
                <c:pt idx="23">
                  <c:v>0.79100000000000004</c:v>
                </c:pt>
                <c:pt idx="24">
                  <c:v>0.78800000000000003</c:v>
                </c:pt>
                <c:pt idx="25">
                  <c:v>0.81</c:v>
                </c:pt>
                <c:pt idx="26">
                  <c:v>0.81100000000000005</c:v>
                </c:pt>
                <c:pt idx="27">
                  <c:v>0.80700000000000005</c:v>
                </c:pt>
                <c:pt idx="28">
                  <c:v>0.79400000000000004</c:v>
                </c:pt>
              </c:numCache>
            </c:numRef>
          </c:val>
          <c:smooth val="0"/>
        </c:ser>
        <c:ser>
          <c:idx val="0"/>
          <c:order val="1"/>
          <c:tx>
            <c:strRef>
              <c:f>RTT!$A$14</c:f>
              <c:strCache>
                <c:ptCount val="1"/>
                <c:pt idx="0">
                  <c:v>Target (min)</c:v>
                </c:pt>
              </c:strCache>
            </c:strRef>
          </c:tx>
          <c:spPr>
            <a:ln w="25400">
              <a:solidFill>
                <a:srgbClr val="FF0000"/>
              </a:solidFill>
              <a:prstDash val="dash"/>
            </a:ln>
          </c:spPr>
          <c:marker>
            <c:symbol val="none"/>
          </c:marker>
          <c:cat>
            <c:numRef>
              <c:f>RTT!$B$9:$AW$9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RTT!$B$14:$AW$14</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143236096"/>
        <c:axId val="144684672"/>
      </c:lineChart>
      <c:dateAx>
        <c:axId val="14323609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4684672"/>
        <c:crosses val="autoZero"/>
        <c:auto val="1"/>
        <c:lblOffset val="100"/>
        <c:baseTimeUnit val="months"/>
      </c:dateAx>
      <c:valAx>
        <c:axId val="144684672"/>
        <c:scaling>
          <c:orientation val="minMax"/>
          <c:max val="1"/>
          <c:min val="0.70000000000000062"/>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3236096"/>
        <c:crosses val="autoZero"/>
        <c:crossBetween val="between"/>
        <c:majorUnit val="3.0000000000000016E-2"/>
      </c:valAx>
    </c:plotArea>
    <c:legend>
      <c:legendPos val="r"/>
      <c:layout>
        <c:manualLayout>
          <c:xMode val="edge"/>
          <c:yMode val="edge"/>
          <c:x val="0.22759021560661083"/>
          <c:y val="0.91572275687761251"/>
          <c:w val="0.57016431165282477"/>
          <c:h val="8.0487994556236023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42857142857141E-2"/>
          <c:y val="3.0769230769230792E-2"/>
          <c:w val="0.92838095238095242"/>
          <c:h val="0.77842777777777783"/>
        </c:manualLayout>
      </c:layout>
      <c:lineChart>
        <c:grouping val="standard"/>
        <c:varyColors val="0"/>
        <c:ser>
          <c:idx val="0"/>
          <c:order val="0"/>
          <c:tx>
            <c:strRef>
              <c:f>'Sickness Absence'!$A$10</c:f>
              <c:strCache>
                <c:ptCount val="1"/>
                <c:pt idx="0">
                  <c:v>NHS Lothian</c:v>
                </c:pt>
              </c:strCache>
            </c:strRef>
          </c:tx>
          <c:spPr>
            <a:ln w="25400">
              <a:solidFill>
                <a:srgbClr val="0070C0"/>
              </a:solidFill>
            </a:ln>
          </c:spPr>
          <c:marker>
            <c:symbol val="circle"/>
            <c:size val="4"/>
            <c:spPr>
              <a:solidFill>
                <a:srgbClr val="0070C0"/>
              </a:solidFill>
              <a:ln w="25400">
                <a:solidFill>
                  <a:srgbClr val="0070C0"/>
                </a:solidFill>
              </a:ln>
            </c:spPr>
          </c:marker>
          <c:cat>
            <c:numRef>
              <c:f>'Sickness Absence'!$B$9:$AW$9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numCache>
            </c:numRef>
          </c:cat>
          <c:val>
            <c:numRef>
              <c:f>'Sickness Absence'!$B$10:$AW$10</c:f>
              <c:numCache>
                <c:formatCode>0.00%</c:formatCode>
                <c:ptCount val="48"/>
                <c:pt idx="0">
                  <c:v>4.7699999999999992E-2</c:v>
                </c:pt>
                <c:pt idx="1">
                  <c:v>4.6699999999999998E-2</c:v>
                </c:pt>
                <c:pt idx="2">
                  <c:v>4.8099999999999997E-2</c:v>
                </c:pt>
                <c:pt idx="3">
                  <c:v>4.9299999999999997E-2</c:v>
                </c:pt>
                <c:pt idx="4">
                  <c:v>4.58E-2</c:v>
                </c:pt>
                <c:pt idx="5">
                  <c:v>4.82E-2</c:v>
                </c:pt>
                <c:pt idx="6">
                  <c:v>4.9800000000000004E-2</c:v>
                </c:pt>
                <c:pt idx="7">
                  <c:v>5.1200000000000002E-2</c:v>
                </c:pt>
                <c:pt idx="8">
                  <c:v>5.1799999999999999E-2</c:v>
                </c:pt>
                <c:pt idx="9">
                  <c:v>5.4100000000000002E-2</c:v>
                </c:pt>
                <c:pt idx="10">
                  <c:v>5.1399999999999994E-2</c:v>
                </c:pt>
                <c:pt idx="11">
                  <c:v>5.1200000000000002E-2</c:v>
                </c:pt>
                <c:pt idx="12">
                  <c:v>4.5700000000000005E-2</c:v>
                </c:pt>
                <c:pt idx="13">
                  <c:v>4.5400000000000003E-2</c:v>
                </c:pt>
                <c:pt idx="14">
                  <c:v>4.5100000000000001E-2</c:v>
                </c:pt>
                <c:pt idx="15">
                  <c:v>4.4999999999999998E-2</c:v>
                </c:pt>
                <c:pt idx="16">
                  <c:v>4.87E-2</c:v>
                </c:pt>
                <c:pt idx="17">
                  <c:v>4.8599999999999997E-2</c:v>
                </c:pt>
                <c:pt idx="18">
                  <c:v>4.9700000000000001E-2</c:v>
                </c:pt>
                <c:pt idx="19">
                  <c:v>5.1999999999999998E-2</c:v>
                </c:pt>
                <c:pt idx="20">
                  <c:v>5.2999999999999999E-2</c:v>
                </c:pt>
                <c:pt idx="21">
                  <c:v>5.45E-2</c:v>
                </c:pt>
                <c:pt idx="22">
                  <c:v>4.7800000000000002E-2</c:v>
                </c:pt>
                <c:pt idx="23">
                  <c:v>5.0999999999999997E-2</c:v>
                </c:pt>
                <c:pt idx="24">
                  <c:v>4.3900000000000002E-2</c:v>
                </c:pt>
                <c:pt idx="25">
                  <c:v>5.0799999999999998E-2</c:v>
                </c:pt>
                <c:pt idx="26">
                  <c:v>4.9099999999999998E-2</c:v>
                </c:pt>
                <c:pt idx="27">
                  <c:v>4.7100000000000003E-2</c:v>
                </c:pt>
              </c:numCache>
            </c:numRef>
          </c:val>
          <c:smooth val="0"/>
        </c:ser>
        <c:ser>
          <c:idx val="1"/>
          <c:order val="1"/>
          <c:tx>
            <c:strRef>
              <c:f>'Sickness Absence'!$A$11</c:f>
              <c:strCache>
                <c:ptCount val="1"/>
                <c:pt idx="0">
                  <c:v>Target (max)</c:v>
                </c:pt>
              </c:strCache>
            </c:strRef>
          </c:tx>
          <c:spPr>
            <a:ln w="25400">
              <a:solidFill>
                <a:srgbClr val="FF0000"/>
              </a:solidFill>
              <a:prstDash val="dash"/>
            </a:ln>
          </c:spPr>
          <c:marker>
            <c:symbol val="none"/>
          </c:marker>
          <c:cat>
            <c:numRef>
              <c:f>'Sickness Absence'!$B$9:$AW$9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numCache>
            </c:numRef>
          </c:cat>
          <c:val>
            <c:numRef>
              <c:f>'Sickness Absence'!$B$11:$AW$11</c:f>
              <c:numCache>
                <c:formatCode>0.00%</c:formatCode>
                <c:ptCount val="48"/>
                <c:pt idx="0">
                  <c:v>0.04</c:v>
                </c:pt>
                <c:pt idx="1">
                  <c:v>0.04</c:v>
                </c:pt>
                <c:pt idx="2">
                  <c:v>0.04</c:v>
                </c:pt>
                <c:pt idx="3">
                  <c:v>0.04</c:v>
                </c:pt>
                <c:pt idx="4">
                  <c:v>0.04</c:v>
                </c:pt>
                <c:pt idx="5">
                  <c:v>0.04</c:v>
                </c:pt>
                <c:pt idx="6">
                  <c:v>0.04</c:v>
                </c:pt>
                <c:pt idx="7">
                  <c:v>0.04</c:v>
                </c:pt>
                <c:pt idx="8">
                  <c:v>0.04</c:v>
                </c:pt>
                <c:pt idx="9">
                  <c:v>0.04</c:v>
                </c:pt>
                <c:pt idx="10">
                  <c:v>0.04</c:v>
                </c:pt>
                <c:pt idx="11">
                  <c:v>0.04</c:v>
                </c:pt>
                <c:pt idx="12">
                  <c:v>0.04</c:v>
                </c:pt>
                <c:pt idx="13">
                  <c:v>0.04</c:v>
                </c:pt>
                <c:pt idx="14">
                  <c:v>0.04</c:v>
                </c:pt>
                <c:pt idx="15">
                  <c:v>0.04</c:v>
                </c:pt>
                <c:pt idx="16">
                  <c:v>0.04</c:v>
                </c:pt>
                <c:pt idx="17">
                  <c:v>0.04</c:v>
                </c:pt>
                <c:pt idx="18">
                  <c:v>0.04</c:v>
                </c:pt>
                <c:pt idx="19">
                  <c:v>0.04</c:v>
                </c:pt>
                <c:pt idx="20">
                  <c:v>0.04</c:v>
                </c:pt>
                <c:pt idx="21">
                  <c:v>0.04</c:v>
                </c:pt>
                <c:pt idx="22">
                  <c:v>0.04</c:v>
                </c:pt>
                <c:pt idx="23">
                  <c:v>0.04</c:v>
                </c:pt>
                <c:pt idx="24">
                  <c:v>0.04</c:v>
                </c:pt>
                <c:pt idx="25">
                  <c:v>0.04</c:v>
                </c:pt>
                <c:pt idx="26">
                  <c:v>0.04</c:v>
                </c:pt>
                <c:pt idx="27">
                  <c:v>0.04</c:v>
                </c:pt>
                <c:pt idx="28">
                  <c:v>0.04</c:v>
                </c:pt>
                <c:pt idx="29">
                  <c:v>0.04</c:v>
                </c:pt>
                <c:pt idx="30">
                  <c:v>0.04</c:v>
                </c:pt>
                <c:pt idx="31">
                  <c:v>0.04</c:v>
                </c:pt>
                <c:pt idx="32">
                  <c:v>0.04</c:v>
                </c:pt>
                <c:pt idx="33">
                  <c:v>0.04</c:v>
                </c:pt>
                <c:pt idx="34">
                  <c:v>0.04</c:v>
                </c:pt>
                <c:pt idx="35">
                  <c:v>0.04</c:v>
                </c:pt>
                <c:pt idx="36">
                  <c:v>0.04</c:v>
                </c:pt>
                <c:pt idx="37">
                  <c:v>0.04</c:v>
                </c:pt>
                <c:pt idx="38">
                  <c:v>0.04</c:v>
                </c:pt>
                <c:pt idx="39">
                  <c:v>0.04</c:v>
                </c:pt>
                <c:pt idx="40">
                  <c:v>0.04</c:v>
                </c:pt>
                <c:pt idx="41">
                  <c:v>0.04</c:v>
                </c:pt>
                <c:pt idx="42">
                  <c:v>0.04</c:v>
                </c:pt>
                <c:pt idx="43">
                  <c:v>0.04</c:v>
                </c:pt>
                <c:pt idx="44">
                  <c:v>0.04</c:v>
                </c:pt>
                <c:pt idx="45">
                  <c:v>0.04</c:v>
                </c:pt>
                <c:pt idx="46">
                  <c:v>0.04</c:v>
                </c:pt>
                <c:pt idx="47">
                  <c:v>0.04</c:v>
                </c:pt>
              </c:numCache>
            </c:numRef>
          </c:val>
          <c:smooth val="0"/>
        </c:ser>
        <c:dLbls>
          <c:showLegendKey val="0"/>
          <c:showVal val="0"/>
          <c:showCatName val="0"/>
          <c:showSerName val="0"/>
          <c:showPercent val="0"/>
          <c:showBubbleSize val="0"/>
        </c:dLbls>
        <c:marker val="1"/>
        <c:smooth val="0"/>
        <c:axId val="144152576"/>
        <c:axId val="144728064"/>
      </c:lineChart>
      <c:dateAx>
        <c:axId val="144152576"/>
        <c:scaling>
          <c:orientation val="minMax"/>
        </c:scaling>
        <c:delete val="0"/>
        <c:axPos val="b"/>
        <c:numFmt formatCode="mmm\ yy" sourceLinked="0"/>
        <c:majorTickMark val="out"/>
        <c:minorTickMark val="none"/>
        <c:tickLblPos val="low"/>
        <c:txPr>
          <a:bodyPr rot="-5400000" vert="horz"/>
          <a:lstStyle/>
          <a:p>
            <a:pPr>
              <a:defRPr sz="800" b="0" i="0" u="none" strike="noStrike" baseline="0">
                <a:solidFill>
                  <a:srgbClr val="000000"/>
                </a:solidFill>
                <a:latin typeface="Arial"/>
                <a:ea typeface="Arial"/>
                <a:cs typeface="Arial"/>
              </a:defRPr>
            </a:pPr>
            <a:endParaRPr lang="en-US"/>
          </a:p>
        </c:txPr>
        <c:crossAx val="144728064"/>
        <c:crosses val="autoZero"/>
        <c:auto val="1"/>
        <c:lblOffset val="100"/>
        <c:baseTimeUnit val="months"/>
      </c:dateAx>
      <c:valAx>
        <c:axId val="144728064"/>
        <c:scaling>
          <c:orientation val="minMax"/>
          <c:max val="6.0000000000000032E-2"/>
          <c:min val="0"/>
        </c:scaling>
        <c:delete val="0"/>
        <c:axPos val="l"/>
        <c:majorGridlines/>
        <c:numFmt formatCode="0.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4152576"/>
        <c:crosses val="autoZero"/>
        <c:crossBetween val="between"/>
        <c:majorUnit val="1.0000000000000005E-2"/>
      </c:valAx>
    </c:plotArea>
    <c:legend>
      <c:legendPos val="r"/>
      <c:layout>
        <c:manualLayout>
          <c:xMode val="edge"/>
          <c:yMode val="edge"/>
          <c:x val="0.30300798397996348"/>
          <c:y val="0.93932952825341365"/>
          <c:w val="0.42913646268306982"/>
          <c:h val="5.7142579399795952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24537037037034E-2"/>
          <c:y val="4.4193333333334514E-2"/>
          <c:w val="0.92358090277777749"/>
          <c:h val="0.7129647222222224"/>
        </c:manualLayout>
      </c:layout>
      <c:lineChart>
        <c:grouping val="standard"/>
        <c:varyColors val="0"/>
        <c:ser>
          <c:idx val="3"/>
          <c:order val="0"/>
          <c:tx>
            <c:strRef>
              <c:f>'Smoking Cessation'!$A$10</c:f>
              <c:strCache>
                <c:ptCount val="1"/>
                <c:pt idx="0">
                  <c:v>NHS Lothian Target (for financial year quarters) (min)</c:v>
                </c:pt>
              </c:strCache>
            </c:strRef>
          </c:tx>
          <c:spPr>
            <a:ln w="25400">
              <a:solidFill>
                <a:srgbClr val="FF0000"/>
              </a:solidFill>
              <a:prstDash val="dash"/>
            </a:ln>
          </c:spPr>
          <c:marker>
            <c:symbol val="none"/>
          </c:marker>
          <c:dPt>
            <c:idx val="4"/>
            <c:bubble3D val="0"/>
            <c:spPr>
              <a:ln w="25400">
                <a:noFill/>
                <a:prstDash val="dash"/>
              </a:ln>
            </c:spPr>
          </c:dPt>
          <c:dPt>
            <c:idx val="8"/>
            <c:bubble3D val="0"/>
            <c:spPr>
              <a:ln w="25400">
                <a:noFill/>
                <a:prstDash val="dash"/>
              </a:ln>
            </c:spPr>
          </c:dPt>
          <c:dPt>
            <c:idx val="11"/>
            <c:bubble3D val="0"/>
            <c:spPr>
              <a:ln w="25400" cmpd="sng">
                <a:solidFill>
                  <a:srgbClr val="FF0000"/>
                </a:solidFill>
                <a:prstDash val="dash"/>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Cessation'!$B$10:$U$10</c:f>
              <c:numCache>
                <c:formatCode>General</c:formatCode>
                <c:ptCount val="20"/>
                <c:pt idx="0">
                  <c:v>442</c:v>
                </c:pt>
                <c:pt idx="1">
                  <c:v>441</c:v>
                </c:pt>
                <c:pt idx="2">
                  <c:v>441</c:v>
                </c:pt>
                <c:pt idx="3">
                  <c:v>441</c:v>
                </c:pt>
                <c:pt idx="4">
                  <c:v>293</c:v>
                </c:pt>
                <c:pt idx="5">
                  <c:v>293</c:v>
                </c:pt>
                <c:pt idx="6">
                  <c:v>293</c:v>
                </c:pt>
                <c:pt idx="7">
                  <c:v>293</c:v>
                </c:pt>
                <c:pt idx="8">
                  <c:v>367</c:v>
                </c:pt>
                <c:pt idx="9">
                  <c:v>294</c:v>
                </c:pt>
                <c:pt idx="10">
                  <c:v>404</c:v>
                </c:pt>
                <c:pt idx="11">
                  <c:v>404</c:v>
                </c:pt>
              </c:numCache>
            </c:numRef>
          </c:val>
          <c:smooth val="0"/>
        </c:ser>
        <c:ser>
          <c:idx val="5"/>
          <c:order val="1"/>
          <c:tx>
            <c:strRef>
              <c:f>'Smoking Cessation'!$A$11</c:f>
              <c:strCache>
                <c:ptCount val="1"/>
                <c:pt idx="0">
                  <c:v>NHS Lothian Total - Overall</c:v>
                </c:pt>
              </c:strCache>
            </c:strRef>
          </c:tx>
          <c:spPr>
            <a:ln w="25400">
              <a:solidFill>
                <a:srgbClr val="0070C0"/>
              </a:solidFill>
            </a:ln>
          </c:spPr>
          <c:marker>
            <c:symbol val="circle"/>
            <c:size val="4"/>
            <c:spPr>
              <a:solidFill>
                <a:srgbClr val="0070C0"/>
              </a:solidFill>
              <a:ln w="25400">
                <a:solidFill>
                  <a:srgbClr val="0070C0"/>
                </a:solidFill>
              </a:ln>
            </c:spPr>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Cessation'!$B$11:$M$11</c:f>
              <c:numCache>
                <c:formatCode>General</c:formatCode>
                <c:ptCount val="12"/>
                <c:pt idx="0">
                  <c:v>251</c:v>
                </c:pt>
                <c:pt idx="1">
                  <c:v>244</c:v>
                </c:pt>
                <c:pt idx="2">
                  <c:v>276</c:v>
                </c:pt>
                <c:pt idx="3">
                  <c:v>368</c:v>
                </c:pt>
                <c:pt idx="4">
                  <c:v>304</c:v>
                </c:pt>
                <c:pt idx="5">
                  <c:v>315</c:v>
                </c:pt>
                <c:pt idx="6">
                  <c:v>234</c:v>
                </c:pt>
                <c:pt idx="7">
                  <c:v>314</c:v>
                </c:pt>
                <c:pt idx="8">
                  <c:v>222</c:v>
                </c:pt>
                <c:pt idx="9">
                  <c:v>239</c:v>
                </c:pt>
                <c:pt idx="10">
                  <c:v>211</c:v>
                </c:pt>
                <c:pt idx="11">
                  <c:v>303</c:v>
                </c:pt>
              </c:numCache>
            </c:numRef>
          </c:val>
          <c:smooth val="0"/>
        </c:ser>
        <c:ser>
          <c:idx val="0"/>
          <c:order val="2"/>
          <c:tx>
            <c:strRef>
              <c:f>'Smoking Cessation'!$A$12</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Cessation'!$B$12:$U$12</c:f>
              <c:numCache>
                <c:formatCode>General</c:formatCode>
                <c:ptCount val="20"/>
                <c:pt idx="0">
                  <c:v>263.5</c:v>
                </c:pt>
                <c:pt idx="1">
                  <c:v>263.5</c:v>
                </c:pt>
                <c:pt idx="2">
                  <c:v>263.5</c:v>
                </c:pt>
                <c:pt idx="3">
                  <c:v>263.5</c:v>
                </c:pt>
                <c:pt idx="4">
                  <c:v>263.5</c:v>
                </c:pt>
                <c:pt idx="5">
                  <c:v>263.5</c:v>
                </c:pt>
                <c:pt idx="6">
                  <c:v>263.5</c:v>
                </c:pt>
                <c:pt idx="7">
                  <c:v>263.5</c:v>
                </c:pt>
                <c:pt idx="8">
                  <c:v>263.5</c:v>
                </c:pt>
                <c:pt idx="9">
                  <c:v>263.5</c:v>
                </c:pt>
                <c:pt idx="10">
                  <c:v>263.5</c:v>
                </c:pt>
                <c:pt idx="11">
                  <c:v>263.5</c:v>
                </c:pt>
              </c:numCache>
            </c:numRef>
          </c:val>
          <c:smooth val="0"/>
        </c:ser>
        <c:dLbls>
          <c:showLegendKey val="0"/>
          <c:showVal val="0"/>
          <c:showCatName val="0"/>
          <c:showSerName val="0"/>
          <c:showPercent val="0"/>
          <c:showBubbleSize val="0"/>
        </c:dLbls>
        <c:marker val="1"/>
        <c:smooth val="0"/>
        <c:axId val="144151040"/>
        <c:axId val="144730368"/>
      </c:lineChart>
      <c:dateAx>
        <c:axId val="144151040"/>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730368"/>
        <c:crosses val="autoZero"/>
        <c:auto val="1"/>
        <c:lblOffset val="100"/>
        <c:baseTimeUnit val="months"/>
        <c:majorUnit val="3"/>
        <c:majorTimeUnit val="months"/>
        <c:minorUnit val="1"/>
        <c:minorTimeUnit val="days"/>
      </c:dateAx>
      <c:valAx>
        <c:axId val="144730368"/>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151040"/>
        <c:crosses val="autoZero"/>
        <c:crossBetween val="between"/>
      </c:valAx>
      <c:spPr>
        <a:solidFill>
          <a:srgbClr val="FFFFFF"/>
        </a:solidFill>
        <a:ln w="25400">
          <a:noFill/>
        </a:ln>
      </c:spPr>
    </c:plotArea>
    <c:legend>
      <c:legendPos val="r"/>
      <c:layout>
        <c:manualLayout>
          <c:xMode val="edge"/>
          <c:yMode val="edge"/>
          <c:x val="1.2127894156560091E-2"/>
          <c:y val="0.8333333333333337"/>
          <c:w val="0.95810363836825263"/>
          <c:h val="0.1587301587301589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644907407407397E-2"/>
          <c:y val="6.5359995468192378E-2"/>
          <c:w val="0.92946053240740745"/>
          <c:h val="0.70238146444078065"/>
        </c:manualLayout>
      </c:layout>
      <c:barChart>
        <c:barDir val="col"/>
        <c:grouping val="clustered"/>
        <c:varyColors val="0"/>
        <c:ser>
          <c:idx val="5"/>
          <c:order val="1"/>
          <c:tx>
            <c:strRef>
              <c:f>'Smoking Cessation'!$A$11</c:f>
              <c:strCache>
                <c:ptCount val="1"/>
                <c:pt idx="0">
                  <c:v>NHS Lothian Total - Overall</c:v>
                </c:pt>
              </c:strCache>
            </c:strRef>
          </c:tx>
          <c:spPr>
            <a:noFill/>
            <a:ln w="25400">
              <a:solidFill>
                <a:srgbClr val="0070C0"/>
              </a:solidFill>
            </a:ln>
          </c:spPr>
          <c:invertIfNegative val="0"/>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Cessation'!$B$11:$U$11</c:f>
              <c:numCache>
                <c:formatCode>General</c:formatCode>
                <c:ptCount val="20"/>
                <c:pt idx="0">
                  <c:v>251</c:v>
                </c:pt>
                <c:pt idx="1">
                  <c:v>244</c:v>
                </c:pt>
                <c:pt idx="2">
                  <c:v>276</c:v>
                </c:pt>
                <c:pt idx="3">
                  <c:v>368</c:v>
                </c:pt>
                <c:pt idx="4">
                  <c:v>304</c:v>
                </c:pt>
                <c:pt idx="5">
                  <c:v>315</c:v>
                </c:pt>
                <c:pt idx="6">
                  <c:v>234</c:v>
                </c:pt>
                <c:pt idx="7">
                  <c:v>314</c:v>
                </c:pt>
                <c:pt idx="8">
                  <c:v>222</c:v>
                </c:pt>
                <c:pt idx="9">
                  <c:v>239</c:v>
                </c:pt>
                <c:pt idx="10">
                  <c:v>211</c:v>
                </c:pt>
                <c:pt idx="11">
                  <c:v>303</c:v>
                </c:pt>
              </c:numCache>
            </c:numRef>
          </c:val>
        </c:ser>
        <c:ser>
          <c:idx val="2"/>
          <c:order val="3"/>
          <c:tx>
            <c:strRef>
              <c:f>'Smoking Cessation'!$A$15</c:f>
              <c:strCache>
                <c:ptCount val="1"/>
                <c:pt idx="0">
                  <c:v>NHS Lothian Total – Non-Pharmacy &amp; Prisons only</c:v>
                </c:pt>
              </c:strCache>
            </c:strRef>
          </c:tx>
          <c:spPr>
            <a:noFill/>
            <a:ln w="25400">
              <a:solidFill>
                <a:srgbClr val="0070C0"/>
              </a:solidFill>
              <a:prstDash val="sysDash"/>
            </a:ln>
          </c:spPr>
          <c:invertIfNegative val="0"/>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Cessation'!$B$15:$U$15</c:f>
              <c:numCache>
                <c:formatCode>0</c:formatCode>
                <c:ptCount val="20"/>
                <c:pt idx="0">
                  <c:v>224</c:v>
                </c:pt>
                <c:pt idx="1">
                  <c:v>189</c:v>
                </c:pt>
                <c:pt idx="2">
                  <c:v>195</c:v>
                </c:pt>
                <c:pt idx="3">
                  <c:v>229</c:v>
                </c:pt>
                <c:pt idx="4">
                  <c:v>210</c:v>
                </c:pt>
                <c:pt idx="5">
                  <c:v>229</c:v>
                </c:pt>
                <c:pt idx="6">
                  <c:v>155</c:v>
                </c:pt>
                <c:pt idx="7">
                  <c:v>193</c:v>
                </c:pt>
                <c:pt idx="8">
                  <c:v>159</c:v>
                </c:pt>
                <c:pt idx="9">
                  <c:v>175</c:v>
                </c:pt>
                <c:pt idx="10">
                  <c:v>170</c:v>
                </c:pt>
                <c:pt idx="11">
                  <c:v>196</c:v>
                </c:pt>
                <c:pt idx="12">
                  <c:v>0</c:v>
                </c:pt>
                <c:pt idx="13">
                  <c:v>0</c:v>
                </c:pt>
                <c:pt idx="14">
                  <c:v>0</c:v>
                </c:pt>
              </c:numCache>
            </c:numRef>
          </c:val>
        </c:ser>
        <c:ser>
          <c:idx val="0"/>
          <c:order val="4"/>
          <c:tx>
            <c:strRef>
              <c:f>'Smoking Cessation'!$A$18</c:f>
              <c:strCache>
                <c:ptCount val="1"/>
                <c:pt idx="0">
                  <c:v>NHS Lothian Total – PCR Pharmacies only</c:v>
                </c:pt>
              </c:strCache>
            </c:strRef>
          </c:tx>
          <c:spPr>
            <a:noFill/>
            <a:ln w="25400">
              <a:solidFill>
                <a:srgbClr val="0070C0"/>
              </a:solidFill>
              <a:prstDash val="sysDot"/>
            </a:ln>
          </c:spPr>
          <c:invertIfNegative val="0"/>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Cessation'!$B$18:$U$18</c:f>
              <c:numCache>
                <c:formatCode>General</c:formatCode>
                <c:ptCount val="20"/>
                <c:pt idx="0">
                  <c:v>27</c:v>
                </c:pt>
                <c:pt idx="1">
                  <c:v>55</c:v>
                </c:pt>
                <c:pt idx="2">
                  <c:v>81</c:v>
                </c:pt>
                <c:pt idx="3">
                  <c:v>139</c:v>
                </c:pt>
                <c:pt idx="4">
                  <c:v>94</c:v>
                </c:pt>
                <c:pt idx="5">
                  <c:v>86</c:v>
                </c:pt>
                <c:pt idx="6">
                  <c:v>79</c:v>
                </c:pt>
                <c:pt idx="7">
                  <c:v>121</c:v>
                </c:pt>
                <c:pt idx="8">
                  <c:v>63</c:v>
                </c:pt>
                <c:pt idx="9">
                  <c:v>64</c:v>
                </c:pt>
                <c:pt idx="10">
                  <c:v>41</c:v>
                </c:pt>
                <c:pt idx="11">
                  <c:v>107</c:v>
                </c:pt>
                <c:pt idx="12">
                  <c:v>0</c:v>
                </c:pt>
                <c:pt idx="13">
                  <c:v>0</c:v>
                </c:pt>
                <c:pt idx="14">
                  <c:v>0</c:v>
                </c:pt>
              </c:numCache>
            </c:numRef>
          </c:val>
        </c:ser>
        <c:dLbls>
          <c:showLegendKey val="0"/>
          <c:showVal val="0"/>
          <c:showCatName val="0"/>
          <c:showSerName val="0"/>
          <c:showPercent val="0"/>
          <c:showBubbleSize val="0"/>
        </c:dLbls>
        <c:gapWidth val="12"/>
        <c:axId val="145078272"/>
        <c:axId val="144732672"/>
      </c:barChart>
      <c:lineChart>
        <c:grouping val="standard"/>
        <c:varyColors val="0"/>
        <c:ser>
          <c:idx val="3"/>
          <c:order val="0"/>
          <c:tx>
            <c:strRef>
              <c:f>'Smoking Cessation'!$A$10</c:f>
              <c:strCache>
                <c:ptCount val="1"/>
                <c:pt idx="0">
                  <c:v>NHS Lothian Target (for financial year quarters) (min)</c:v>
                </c:pt>
              </c:strCache>
            </c:strRef>
          </c:tx>
          <c:spPr>
            <a:ln w="25400">
              <a:solidFill>
                <a:srgbClr val="FF0000"/>
              </a:solidFill>
              <a:prstDash val="dash"/>
            </a:ln>
          </c:spPr>
          <c:marker>
            <c:symbol val="none"/>
          </c:marker>
          <c:dPt>
            <c:idx val="4"/>
            <c:bubble3D val="0"/>
            <c:spPr>
              <a:ln w="25400">
                <a:noFill/>
                <a:prstDash val="dash"/>
              </a:ln>
            </c:spPr>
          </c:dPt>
          <c:dPt>
            <c:idx val="8"/>
            <c:bubble3D val="0"/>
            <c:spPr>
              <a:ln w="25400">
                <a:noFill/>
                <a:prstDash val="dash"/>
              </a:ln>
            </c:spPr>
          </c:dPt>
          <c:dPt>
            <c:idx val="11"/>
            <c:bubble3D val="0"/>
            <c:spPr>
              <a:ln w="25400" cmpd="sng">
                <a:solidFill>
                  <a:srgbClr val="FF0000"/>
                </a:solidFill>
                <a:prstDash val="dash"/>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Cessation'!$B$10:$U$10</c:f>
              <c:numCache>
                <c:formatCode>General</c:formatCode>
                <c:ptCount val="20"/>
                <c:pt idx="0">
                  <c:v>442</c:v>
                </c:pt>
                <c:pt idx="1">
                  <c:v>441</c:v>
                </c:pt>
                <c:pt idx="2">
                  <c:v>441</c:v>
                </c:pt>
                <c:pt idx="3">
                  <c:v>441</c:v>
                </c:pt>
                <c:pt idx="4">
                  <c:v>293</c:v>
                </c:pt>
                <c:pt idx="5">
                  <c:v>293</c:v>
                </c:pt>
                <c:pt idx="6">
                  <c:v>293</c:v>
                </c:pt>
                <c:pt idx="7">
                  <c:v>293</c:v>
                </c:pt>
                <c:pt idx="8">
                  <c:v>367</c:v>
                </c:pt>
                <c:pt idx="9">
                  <c:v>294</c:v>
                </c:pt>
                <c:pt idx="10">
                  <c:v>404</c:v>
                </c:pt>
                <c:pt idx="11">
                  <c:v>404</c:v>
                </c:pt>
              </c:numCache>
            </c:numRef>
          </c:val>
          <c:smooth val="0"/>
        </c:ser>
        <c:ser>
          <c:idx val="1"/>
          <c:order val="2"/>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bubble3D val="0"/>
            <c:spPr>
              <a:ln w="25400">
                <a:noFill/>
                <a:prstDash val="sysDot"/>
              </a:ln>
            </c:spPr>
          </c:dPt>
          <c:dPt>
            <c:idx val="8"/>
            <c:bubble3D val="0"/>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numCache>
            </c:numRef>
          </c:val>
          <c:smooth val="0"/>
        </c:ser>
        <c:dLbls>
          <c:showLegendKey val="0"/>
          <c:showVal val="0"/>
          <c:showCatName val="0"/>
          <c:showSerName val="0"/>
          <c:showPercent val="0"/>
          <c:showBubbleSize val="0"/>
        </c:dLbls>
        <c:marker val="1"/>
        <c:smooth val="0"/>
        <c:axId val="145078272"/>
        <c:axId val="144732672"/>
      </c:lineChart>
      <c:dateAx>
        <c:axId val="145078272"/>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732672"/>
        <c:crosses val="autoZero"/>
        <c:auto val="1"/>
        <c:lblOffset val="100"/>
        <c:baseTimeUnit val="months"/>
        <c:majorUnit val="3"/>
        <c:majorTimeUnit val="months"/>
        <c:minorUnit val="1"/>
        <c:minorTimeUnit val="days"/>
      </c:dateAx>
      <c:valAx>
        <c:axId val="144732672"/>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078272"/>
        <c:crosses val="autoZero"/>
        <c:crossBetween val="between"/>
      </c:valAx>
      <c:spPr>
        <a:solidFill>
          <a:srgbClr val="FFFFFF"/>
        </a:solidFill>
        <a:ln w="25400">
          <a:noFill/>
        </a:ln>
      </c:spPr>
    </c:plotArea>
    <c:legend>
      <c:legendPos val="r"/>
      <c:layout>
        <c:manualLayout>
          <c:xMode val="edge"/>
          <c:yMode val="edge"/>
          <c:x val="1.212784643530297E-2"/>
          <c:y val="0.82275132275132279"/>
          <c:w val="0.97023153984946453"/>
          <c:h val="0.16931216931216933"/>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24537037037034E-2"/>
          <c:y val="4.4193333333334549E-2"/>
          <c:w val="0.92358090277777749"/>
          <c:h val="0.7129647222222224"/>
        </c:manualLayout>
      </c:layout>
      <c:lineChart>
        <c:grouping val="standard"/>
        <c:varyColors val="0"/>
        <c:ser>
          <c:idx val="1"/>
          <c:order val="0"/>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bubble3D val="0"/>
            <c:spPr>
              <a:ln w="25400">
                <a:noFill/>
                <a:prstDash val="sysDot"/>
              </a:ln>
            </c:spPr>
          </c:dPt>
          <c:dPt>
            <c:idx val="8"/>
            <c:bubble3D val="0"/>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numCache>
            </c:numRef>
          </c:val>
          <c:smooth val="0"/>
        </c:ser>
        <c:ser>
          <c:idx val="2"/>
          <c:order val="1"/>
          <c:tx>
            <c:strRef>
              <c:f>'Smoking Cessation'!$A$15</c:f>
              <c:strCache>
                <c:ptCount val="1"/>
                <c:pt idx="0">
                  <c:v>NHS Lothian Total – Non-Pharmacy &amp; Prisons only</c:v>
                </c:pt>
              </c:strCache>
            </c:strRef>
          </c:tx>
          <c:spPr>
            <a:ln w="25400">
              <a:solidFill>
                <a:srgbClr val="0070C0"/>
              </a:solidFill>
              <a:prstDash val="sysDash"/>
            </a:ln>
          </c:spPr>
          <c:marker>
            <c:symbol val="none"/>
          </c:marker>
          <c:dPt>
            <c:idx val="8"/>
            <c:bubble3D val="0"/>
          </c:dPt>
          <c:dPt>
            <c:idx val="11"/>
            <c:bubble3D val="0"/>
          </c:dPt>
          <c:dPt>
            <c:idx val="12"/>
            <c:bubble3D val="0"/>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Cessation'!$B$15:$U$15</c:f>
              <c:numCache>
                <c:formatCode>0</c:formatCode>
                <c:ptCount val="20"/>
                <c:pt idx="0">
                  <c:v>224</c:v>
                </c:pt>
                <c:pt idx="1">
                  <c:v>189</c:v>
                </c:pt>
                <c:pt idx="2">
                  <c:v>195</c:v>
                </c:pt>
                <c:pt idx="3">
                  <c:v>229</c:v>
                </c:pt>
                <c:pt idx="4">
                  <c:v>210</c:v>
                </c:pt>
                <c:pt idx="5">
                  <c:v>229</c:v>
                </c:pt>
                <c:pt idx="6">
                  <c:v>155</c:v>
                </c:pt>
                <c:pt idx="7">
                  <c:v>193</c:v>
                </c:pt>
                <c:pt idx="8">
                  <c:v>159</c:v>
                </c:pt>
                <c:pt idx="9">
                  <c:v>175</c:v>
                </c:pt>
                <c:pt idx="10">
                  <c:v>170</c:v>
                </c:pt>
                <c:pt idx="11">
                  <c:v>196</c:v>
                </c:pt>
                <c:pt idx="12">
                  <c:v>0</c:v>
                </c:pt>
                <c:pt idx="13">
                  <c:v>0</c:v>
                </c:pt>
                <c:pt idx="14">
                  <c:v>0</c:v>
                </c:pt>
              </c:numCache>
            </c:numRef>
          </c:val>
          <c:smooth val="0"/>
        </c:ser>
        <c:ser>
          <c:idx val="0"/>
          <c:order val="2"/>
          <c:tx>
            <c:strRef>
              <c:f>'Smoking Cessation'!$A$16</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Cessation'!$B$16:$U$16</c:f>
              <c:numCache>
                <c:formatCode>0</c:formatCode>
                <c:ptCount val="20"/>
                <c:pt idx="0">
                  <c:v>194</c:v>
                </c:pt>
                <c:pt idx="1">
                  <c:v>194</c:v>
                </c:pt>
                <c:pt idx="2">
                  <c:v>194</c:v>
                </c:pt>
                <c:pt idx="3">
                  <c:v>194</c:v>
                </c:pt>
                <c:pt idx="4">
                  <c:v>194</c:v>
                </c:pt>
                <c:pt idx="5">
                  <c:v>194</c:v>
                </c:pt>
                <c:pt idx="6">
                  <c:v>194</c:v>
                </c:pt>
                <c:pt idx="7">
                  <c:v>194</c:v>
                </c:pt>
                <c:pt idx="8">
                  <c:v>194</c:v>
                </c:pt>
                <c:pt idx="9">
                  <c:v>194</c:v>
                </c:pt>
                <c:pt idx="10">
                  <c:v>194</c:v>
                </c:pt>
                <c:pt idx="11">
                  <c:v>194</c:v>
                </c:pt>
              </c:numCache>
            </c:numRef>
          </c:val>
          <c:smooth val="0"/>
        </c:ser>
        <c:dLbls>
          <c:showLegendKey val="0"/>
          <c:showVal val="0"/>
          <c:showCatName val="0"/>
          <c:showSerName val="0"/>
          <c:showPercent val="0"/>
          <c:showBubbleSize val="0"/>
        </c:dLbls>
        <c:marker val="1"/>
        <c:smooth val="0"/>
        <c:axId val="145079808"/>
        <c:axId val="144734976"/>
      </c:lineChart>
      <c:dateAx>
        <c:axId val="145079808"/>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734976"/>
        <c:crosses val="autoZero"/>
        <c:auto val="1"/>
        <c:lblOffset val="100"/>
        <c:baseTimeUnit val="months"/>
        <c:majorUnit val="3"/>
        <c:majorTimeUnit val="months"/>
        <c:minorUnit val="1"/>
        <c:minorTimeUnit val="days"/>
      </c:dateAx>
      <c:valAx>
        <c:axId val="144734976"/>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079808"/>
        <c:crosses val="autoZero"/>
        <c:crossBetween val="between"/>
      </c:valAx>
      <c:spPr>
        <a:solidFill>
          <a:srgbClr val="FFFFFF"/>
        </a:solidFill>
        <a:ln w="25400">
          <a:noFill/>
        </a:ln>
      </c:spPr>
    </c:plotArea>
    <c:legend>
      <c:legendPos val="r"/>
      <c:layout>
        <c:manualLayout>
          <c:xMode val="edge"/>
          <c:yMode val="edge"/>
          <c:x val="7.5593952483801524E-3"/>
          <c:y val="0.81481481481481488"/>
          <c:w val="0.98056155507559384"/>
          <c:h val="0.1774332472006890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524537037037034E-2"/>
          <c:y val="4.419333333333457E-2"/>
          <c:w val="0.92358090277777749"/>
          <c:h val="0.7129647222222224"/>
        </c:manualLayout>
      </c:layout>
      <c:lineChart>
        <c:grouping val="standard"/>
        <c:varyColors val="0"/>
        <c:ser>
          <c:idx val="1"/>
          <c:order val="0"/>
          <c:tx>
            <c:strRef>
              <c:f>'Smoking Cessation'!$A$14</c:f>
              <c:strCache>
                <c:ptCount val="1"/>
                <c:pt idx="0">
                  <c:v>50% share of NHS Lothian Target (for financial year quarters) – for PCR Pharmacies; and for Non-Pharmacy &amp; Prisons, respectively (min)</c:v>
                </c:pt>
              </c:strCache>
            </c:strRef>
          </c:tx>
          <c:spPr>
            <a:ln w="25400">
              <a:solidFill>
                <a:srgbClr val="FF0000"/>
              </a:solidFill>
              <a:prstDash val="sysDot"/>
            </a:ln>
          </c:spPr>
          <c:marker>
            <c:symbol val="none"/>
          </c:marker>
          <c:dPt>
            <c:idx val="4"/>
            <c:bubble3D val="0"/>
            <c:spPr>
              <a:ln w="25400">
                <a:noFill/>
                <a:prstDash val="sysDot"/>
              </a:ln>
            </c:spPr>
          </c:dPt>
          <c:dPt>
            <c:idx val="8"/>
            <c:bubble3D val="0"/>
            <c:spPr>
              <a:ln w="25400">
                <a:noFill/>
                <a:prstDash val="sysDot"/>
              </a:ln>
            </c:spPr>
          </c:dPt>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Cessation'!$B$14:$U$14</c:f>
              <c:numCache>
                <c:formatCode>General</c:formatCode>
                <c:ptCount val="20"/>
                <c:pt idx="0">
                  <c:v>221</c:v>
                </c:pt>
                <c:pt idx="1">
                  <c:v>221</c:v>
                </c:pt>
                <c:pt idx="2">
                  <c:v>221</c:v>
                </c:pt>
                <c:pt idx="3">
                  <c:v>221</c:v>
                </c:pt>
                <c:pt idx="4">
                  <c:v>147</c:v>
                </c:pt>
                <c:pt idx="5">
                  <c:v>147</c:v>
                </c:pt>
                <c:pt idx="6">
                  <c:v>147</c:v>
                </c:pt>
                <c:pt idx="7">
                  <c:v>147</c:v>
                </c:pt>
                <c:pt idx="8" formatCode="0">
                  <c:v>183.5</c:v>
                </c:pt>
                <c:pt idx="9" formatCode="0">
                  <c:v>147</c:v>
                </c:pt>
                <c:pt idx="10" formatCode="0">
                  <c:v>202</c:v>
                </c:pt>
                <c:pt idx="11" formatCode="0">
                  <c:v>202</c:v>
                </c:pt>
              </c:numCache>
            </c:numRef>
          </c:val>
          <c:smooth val="0"/>
        </c:ser>
        <c:ser>
          <c:idx val="0"/>
          <c:order val="1"/>
          <c:tx>
            <c:strRef>
              <c:f>'Smoking Cessation'!$A$18</c:f>
              <c:strCache>
                <c:ptCount val="1"/>
                <c:pt idx="0">
                  <c:v>NHS Lothian Total – PCR Pharmacies only</c:v>
                </c:pt>
              </c:strCache>
            </c:strRef>
          </c:tx>
          <c:spPr>
            <a:ln w="25400">
              <a:solidFill>
                <a:srgbClr val="0070C0"/>
              </a:solidFill>
              <a:prstDash val="sysDot"/>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Cessation'!$B$18:$U$18</c:f>
              <c:numCache>
                <c:formatCode>General</c:formatCode>
                <c:ptCount val="20"/>
                <c:pt idx="0">
                  <c:v>27</c:v>
                </c:pt>
                <c:pt idx="1">
                  <c:v>55</c:v>
                </c:pt>
                <c:pt idx="2">
                  <c:v>81</c:v>
                </c:pt>
                <c:pt idx="3">
                  <c:v>139</c:v>
                </c:pt>
                <c:pt idx="4">
                  <c:v>94</c:v>
                </c:pt>
                <c:pt idx="5">
                  <c:v>86</c:v>
                </c:pt>
                <c:pt idx="6">
                  <c:v>79</c:v>
                </c:pt>
                <c:pt idx="7">
                  <c:v>121</c:v>
                </c:pt>
                <c:pt idx="8">
                  <c:v>63</c:v>
                </c:pt>
                <c:pt idx="9">
                  <c:v>64</c:v>
                </c:pt>
                <c:pt idx="10">
                  <c:v>41</c:v>
                </c:pt>
                <c:pt idx="11">
                  <c:v>107</c:v>
                </c:pt>
                <c:pt idx="12">
                  <c:v>0</c:v>
                </c:pt>
                <c:pt idx="13">
                  <c:v>0</c:v>
                </c:pt>
                <c:pt idx="14">
                  <c:v>0</c:v>
                </c:pt>
              </c:numCache>
            </c:numRef>
          </c:val>
          <c:smooth val="0"/>
        </c:ser>
        <c:ser>
          <c:idx val="2"/>
          <c:order val="2"/>
          <c:tx>
            <c:strRef>
              <c:f>'Smoking Cessation'!$A$19</c:f>
              <c:strCache>
                <c:ptCount val="1"/>
                <c:pt idx="0">
                  <c:v>Baseline Median</c:v>
                </c:pt>
              </c:strCache>
            </c:strRef>
          </c:tx>
          <c:spPr>
            <a:ln w="25400">
              <a:solidFill>
                <a:schemeClr val="tx1"/>
              </a:solidFill>
            </a:ln>
          </c:spPr>
          <c:marker>
            <c:symbol val="none"/>
          </c:marker>
          <c:cat>
            <c:numRef>
              <c:f>'Smoking Cessation'!$B$9:$U$9</c:f>
              <c:numCache>
                <c:formatCode>mmm\ yy</c:formatCode>
                <c:ptCount val="20"/>
                <c:pt idx="0">
                  <c:v>41791</c:v>
                </c:pt>
                <c:pt idx="1">
                  <c:v>41883</c:v>
                </c:pt>
                <c:pt idx="2">
                  <c:v>41974</c:v>
                </c:pt>
                <c:pt idx="3">
                  <c:v>42064</c:v>
                </c:pt>
                <c:pt idx="4">
                  <c:v>42156</c:v>
                </c:pt>
                <c:pt idx="5">
                  <c:v>42248</c:v>
                </c:pt>
                <c:pt idx="6">
                  <c:v>42339</c:v>
                </c:pt>
                <c:pt idx="7">
                  <c:v>42430</c:v>
                </c:pt>
                <c:pt idx="8">
                  <c:v>42522</c:v>
                </c:pt>
                <c:pt idx="9">
                  <c:v>42614</c:v>
                </c:pt>
                <c:pt idx="10">
                  <c:v>42705</c:v>
                </c:pt>
                <c:pt idx="11">
                  <c:v>42795</c:v>
                </c:pt>
              </c:numCache>
            </c:numRef>
          </c:cat>
          <c:val>
            <c:numRef>
              <c:f>'Smoking Cessation'!$B$19:$U$19</c:f>
              <c:numCache>
                <c:formatCode>General</c:formatCode>
                <c:ptCount val="20"/>
                <c:pt idx="0">
                  <c:v>80</c:v>
                </c:pt>
                <c:pt idx="1">
                  <c:v>80</c:v>
                </c:pt>
                <c:pt idx="2">
                  <c:v>80</c:v>
                </c:pt>
                <c:pt idx="3">
                  <c:v>80</c:v>
                </c:pt>
                <c:pt idx="4">
                  <c:v>80</c:v>
                </c:pt>
                <c:pt idx="5">
                  <c:v>80</c:v>
                </c:pt>
                <c:pt idx="6">
                  <c:v>80</c:v>
                </c:pt>
                <c:pt idx="7">
                  <c:v>80</c:v>
                </c:pt>
                <c:pt idx="8">
                  <c:v>80</c:v>
                </c:pt>
                <c:pt idx="9">
                  <c:v>80</c:v>
                </c:pt>
                <c:pt idx="10">
                  <c:v>80</c:v>
                </c:pt>
                <c:pt idx="11">
                  <c:v>80</c:v>
                </c:pt>
              </c:numCache>
            </c:numRef>
          </c:val>
          <c:smooth val="0"/>
        </c:ser>
        <c:dLbls>
          <c:showLegendKey val="0"/>
          <c:showVal val="0"/>
          <c:showCatName val="0"/>
          <c:showSerName val="0"/>
          <c:showPercent val="0"/>
          <c:showBubbleSize val="0"/>
        </c:dLbls>
        <c:marker val="1"/>
        <c:smooth val="0"/>
        <c:axId val="145079296"/>
        <c:axId val="146228352"/>
      </c:lineChart>
      <c:dateAx>
        <c:axId val="145079296"/>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228352"/>
        <c:crosses val="autoZero"/>
        <c:auto val="1"/>
        <c:lblOffset val="100"/>
        <c:baseTimeUnit val="months"/>
        <c:majorUnit val="3"/>
        <c:majorTimeUnit val="months"/>
        <c:minorUnit val="1"/>
        <c:minorTimeUnit val="days"/>
      </c:dateAx>
      <c:valAx>
        <c:axId val="146228352"/>
        <c:scaling>
          <c:orientation val="minMax"/>
        </c:scaling>
        <c:delete val="0"/>
        <c:axPos val="l"/>
        <c:majorGridlines>
          <c:spPr>
            <a:ln w="3175">
              <a:solidFill>
                <a:srgbClr val="FFFFFF"/>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079296"/>
        <c:crosses val="autoZero"/>
        <c:crossBetween val="between"/>
      </c:valAx>
      <c:spPr>
        <a:solidFill>
          <a:srgbClr val="FFFFFF"/>
        </a:solidFill>
        <a:ln w="25400">
          <a:noFill/>
        </a:ln>
      </c:spPr>
    </c:plotArea>
    <c:legend>
      <c:legendPos val="r"/>
      <c:layout>
        <c:manualLayout>
          <c:xMode val="edge"/>
          <c:yMode val="edge"/>
          <c:x val="0"/>
          <c:y val="0.8171171171171171"/>
          <c:w val="0.98877253262002551"/>
          <c:h val="0.1747747747747747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GB" sz="1000" b="1" i="0" u="none" strike="noStrike" baseline="0">
                <a:solidFill>
                  <a:srgbClr val="000000"/>
                </a:solidFill>
                <a:latin typeface="Arial"/>
                <a:cs typeface="Arial"/>
              </a:rPr>
              <a:t>NHS Lothian Annual Outcomes Against Standard (HEAT for 2014/15, &amp; LDP for 2015/16 &amp; 2016/17)                </a:t>
            </a:r>
            <a:r>
              <a:rPr lang="en-GB" sz="800" b="1" i="0" u="none" strike="noStrike" baseline="0">
                <a:solidFill>
                  <a:srgbClr val="000000"/>
                </a:solidFill>
                <a:latin typeface="Arial"/>
                <a:cs typeface="Arial"/>
              </a:rPr>
              <a:t>(Source:  ISD Scotland)</a:t>
            </a:r>
          </a:p>
        </c:rich>
      </c:tx>
      <c:layout>
        <c:manualLayout>
          <c:xMode val="edge"/>
          <c:yMode val="edge"/>
          <c:x val="0.1452146761698889"/>
          <c:y val="1.5564165590412604E-2"/>
        </c:manualLayout>
      </c:layout>
      <c:overlay val="0"/>
      <c:spPr>
        <a:noFill/>
        <a:ln w="25400">
          <a:noFill/>
        </a:ln>
      </c:spPr>
    </c:title>
    <c:autoTitleDeleted val="0"/>
    <c:plotArea>
      <c:layout>
        <c:manualLayout>
          <c:layoutTarget val="inner"/>
          <c:xMode val="edge"/>
          <c:yMode val="edge"/>
          <c:x val="5.5755280589926424E-2"/>
          <c:y val="5.8165675173192752E-2"/>
          <c:w val="0.91177084945306763"/>
          <c:h val="0.83014022079924843"/>
        </c:manualLayout>
      </c:layout>
      <c:barChart>
        <c:barDir val="col"/>
        <c:grouping val="clustered"/>
        <c:varyColors val="0"/>
        <c:ser>
          <c:idx val="0"/>
          <c:order val="1"/>
          <c:tx>
            <c:strRef>
              <c:f>'Smoking Cessation - Published'!$A$10</c:f>
              <c:strCache>
                <c:ptCount val="1"/>
                <c:pt idx="0">
                  <c:v>NHS Lothian</c:v>
                </c:pt>
              </c:strCache>
            </c:strRef>
          </c:tx>
          <c:invertIfNegative val="0"/>
          <c:dPt>
            <c:idx val="2"/>
            <c:invertIfNegative val="0"/>
            <c:bubble3D val="0"/>
            <c:spPr>
              <a:ln>
                <a:noFill/>
              </a:ln>
            </c:spPr>
          </c:dPt>
          <c:cat>
            <c:strRef>
              <c:f>'Smoking Cessation - Published'!$B$7:$D$7</c:f>
              <c:strCache>
                <c:ptCount val="3"/>
                <c:pt idx="0">
                  <c:v>2014/15</c:v>
                </c:pt>
                <c:pt idx="1">
                  <c:v>2015/16</c:v>
                </c:pt>
                <c:pt idx="2">
                  <c:v>2016/17</c:v>
                </c:pt>
              </c:strCache>
            </c:strRef>
          </c:cat>
          <c:val>
            <c:numRef>
              <c:f>'Smoking Cessation - Published'!$B$10:$D$10</c:f>
              <c:numCache>
                <c:formatCode>#,##0</c:formatCode>
                <c:ptCount val="3"/>
                <c:pt idx="0">
                  <c:v>1139</c:v>
                </c:pt>
                <c:pt idx="1">
                  <c:v>1167</c:v>
                </c:pt>
              </c:numCache>
            </c:numRef>
          </c:val>
        </c:ser>
        <c:dLbls>
          <c:showLegendKey val="0"/>
          <c:showVal val="0"/>
          <c:showCatName val="0"/>
          <c:showSerName val="0"/>
          <c:showPercent val="0"/>
          <c:showBubbleSize val="0"/>
        </c:dLbls>
        <c:gapWidth val="150"/>
        <c:axId val="145076224"/>
        <c:axId val="146230656"/>
      </c:barChart>
      <c:lineChart>
        <c:grouping val="standard"/>
        <c:varyColors val="0"/>
        <c:ser>
          <c:idx val="3"/>
          <c:order val="0"/>
          <c:tx>
            <c:strRef>
              <c:f>'Smoking Cessation - Published'!$A$11</c:f>
              <c:strCache>
                <c:ptCount val="1"/>
                <c:pt idx="0">
                  <c:v>NHS Lothian Target</c:v>
                </c:pt>
              </c:strCache>
            </c:strRef>
          </c:tx>
          <c:spPr>
            <a:ln w="25400">
              <a:solidFill>
                <a:schemeClr val="bg1"/>
              </a:solidFill>
              <a:prstDash val="lgDashDot"/>
            </a:ln>
          </c:spPr>
          <c:marker>
            <c:symbol val="triangle"/>
            <c:size val="8"/>
            <c:spPr>
              <a:solidFill>
                <a:srgbClr val="FF0000"/>
              </a:solidFill>
              <a:ln w="25400">
                <a:solidFill>
                  <a:srgbClr val="FF0000"/>
                </a:solidFill>
              </a:ln>
            </c:spPr>
          </c:marker>
          <c:cat>
            <c:strRef>
              <c:f>'Smoking Cessation - Published'!$B$7:$D$7</c:f>
              <c:strCache>
                <c:ptCount val="3"/>
                <c:pt idx="0">
                  <c:v>2014/15</c:v>
                </c:pt>
                <c:pt idx="1">
                  <c:v>2015/16</c:v>
                </c:pt>
                <c:pt idx="2">
                  <c:v>2016/17</c:v>
                </c:pt>
              </c:strCache>
            </c:strRef>
          </c:cat>
          <c:val>
            <c:numRef>
              <c:f>'Smoking Cessation - Published'!$B$11:$D$11</c:f>
              <c:numCache>
                <c:formatCode>#,##0</c:formatCode>
                <c:ptCount val="3"/>
                <c:pt idx="0">
                  <c:v>1765</c:v>
                </c:pt>
                <c:pt idx="1">
                  <c:v>1170</c:v>
                </c:pt>
                <c:pt idx="2">
                  <c:v>1469</c:v>
                </c:pt>
              </c:numCache>
            </c:numRef>
          </c:val>
          <c:smooth val="0"/>
        </c:ser>
        <c:dLbls>
          <c:showLegendKey val="0"/>
          <c:showVal val="0"/>
          <c:showCatName val="0"/>
          <c:showSerName val="0"/>
          <c:showPercent val="0"/>
          <c:showBubbleSize val="0"/>
        </c:dLbls>
        <c:marker val="1"/>
        <c:smooth val="0"/>
        <c:axId val="145076224"/>
        <c:axId val="146230656"/>
      </c:lineChart>
      <c:catAx>
        <c:axId val="145076224"/>
        <c:scaling>
          <c:orientation val="minMax"/>
        </c:scaling>
        <c:delete val="0"/>
        <c:axPos val="b"/>
        <c:numFmt formatCode="mmm\ 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6230656"/>
        <c:crosses val="autoZero"/>
        <c:auto val="1"/>
        <c:lblAlgn val="ctr"/>
        <c:lblOffset val="100"/>
        <c:tickLblSkip val="1"/>
        <c:tickMarkSkip val="1"/>
        <c:noMultiLvlLbl val="0"/>
      </c:catAx>
      <c:valAx>
        <c:axId val="146230656"/>
        <c:scaling>
          <c:orientation val="minMax"/>
        </c:scaling>
        <c:delete val="0"/>
        <c:axPos val="l"/>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5076224"/>
        <c:crosses val="autoZero"/>
        <c:crossBetween val="between"/>
      </c:valAx>
      <c:spPr>
        <a:solidFill>
          <a:srgbClr val="FFFFFF"/>
        </a:solidFill>
        <a:ln w="25400">
          <a:noFill/>
        </a:ln>
      </c:spPr>
    </c:plotArea>
    <c:legend>
      <c:legendPos val="r"/>
      <c:layout>
        <c:manualLayout>
          <c:xMode val="edge"/>
          <c:yMode val="edge"/>
          <c:x val="0.18191841234840525"/>
          <c:y val="0.94444444444444464"/>
          <c:w val="0.65270121278942761"/>
          <c:h val="3.7037037037036896E-2"/>
        </c:manualLayout>
      </c:layout>
      <c:overlay val="0"/>
      <c:spPr>
        <a:solidFill>
          <a:srgbClr val="FFFFFF"/>
        </a:solidFill>
        <a:ln w="25400">
          <a:noFill/>
        </a:ln>
      </c:spPr>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606"/>
        </c:manualLayout>
      </c:layout>
      <c:lineChart>
        <c:grouping val="standard"/>
        <c:varyColors val="0"/>
        <c:ser>
          <c:idx val="1"/>
          <c:order val="0"/>
          <c:tx>
            <c:strRef>
              <c:f>Stroke!$A$17</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Stroke!$B$17:$AW$17</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0.61702127659574468</c:v>
                </c:pt>
                <c:pt idx="21">
                  <c:v>0.71186440677966101</c:v>
                </c:pt>
                <c:pt idx="22">
                  <c:v>0.72549019607843135</c:v>
                </c:pt>
                <c:pt idx="23">
                  <c:v>0.77372262773722644</c:v>
                </c:pt>
                <c:pt idx="24">
                  <c:v>0.6328125</c:v>
                </c:pt>
                <c:pt idx="25">
                  <c:v>0.73722627737226276</c:v>
                </c:pt>
                <c:pt idx="26">
                  <c:v>0.74436090225563911</c:v>
                </c:pt>
              </c:numCache>
            </c:numRef>
          </c:val>
          <c:smooth val="0"/>
        </c:ser>
        <c:ser>
          <c:idx val="0"/>
          <c:order val="1"/>
          <c:tx>
            <c:strRef>
              <c:f>Stroke!$A$22</c:f>
              <c:strCache>
                <c:ptCount val="1"/>
                <c:pt idx="0">
                  <c:v>Bundle Target (min)</c:v>
                </c:pt>
              </c:strCache>
            </c:strRef>
          </c:tx>
          <c:spPr>
            <a:ln w="25400">
              <a:solidFill>
                <a:srgbClr val="FF0000"/>
              </a:solidFill>
              <a:prstDash val="dash"/>
            </a:ln>
          </c:spPr>
          <c:marker>
            <c:symbol val="none"/>
          </c:marker>
          <c:dPt>
            <c:idx val="12"/>
            <c:bubble3D val="0"/>
            <c:spPr>
              <a:ln w="25400">
                <a:noFill/>
                <a:prstDash val="dash"/>
              </a:ln>
            </c:spPr>
          </c:dPt>
          <c:dPt>
            <c:idx val="21"/>
            <c:bubble3D val="0"/>
            <c:spPr>
              <a:ln w="25400">
                <a:noFill/>
                <a:prstDash val="dash"/>
              </a:ln>
            </c:spPr>
          </c:dPt>
          <c:dPt>
            <c:idx val="24"/>
            <c:marker>
              <c:symbol val="dash"/>
              <c:size val="2"/>
              <c:spPr>
                <a:solidFill>
                  <a:srgbClr val="FF0000"/>
                </a:solidFill>
                <a:ln>
                  <a:solidFill>
                    <a:srgbClr val="FF0000"/>
                  </a:solidFill>
                </a:ln>
              </c:spPr>
            </c:marker>
            <c:bubble3D val="0"/>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dLbls>
          <c:showLegendKey val="0"/>
          <c:showVal val="0"/>
          <c:showCatName val="0"/>
          <c:showSerName val="0"/>
          <c:showPercent val="0"/>
          <c:showBubbleSize val="0"/>
        </c:dLbls>
        <c:marker val="1"/>
        <c:smooth val="0"/>
        <c:axId val="143235584"/>
        <c:axId val="146232960"/>
      </c:lineChart>
      <c:dateAx>
        <c:axId val="14323558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6232960"/>
        <c:crosses val="autoZero"/>
        <c:auto val="1"/>
        <c:lblOffset val="100"/>
        <c:baseTimeUnit val="months"/>
      </c:dateAx>
      <c:valAx>
        <c:axId val="146232960"/>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3235584"/>
        <c:crosses val="autoZero"/>
        <c:crossBetween val="between"/>
        <c:majorUnit val="5.0000000000000024E-2"/>
      </c:valAx>
    </c:plotArea>
    <c:legend>
      <c:legendPos val="r"/>
      <c:layout>
        <c:manualLayout>
          <c:xMode val="edge"/>
          <c:yMode val="edge"/>
          <c:x val="3.1268750000000012E-2"/>
          <c:y val="0.93121693121692095"/>
          <c:w val="0.92019108796296256"/>
          <c:h val="4.497354497354843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651"/>
        </c:manualLayout>
      </c:layout>
      <c:lineChart>
        <c:grouping val="standard"/>
        <c:varyColors val="0"/>
        <c:ser>
          <c:idx val="1"/>
          <c:order val="0"/>
          <c:tx>
            <c:strRef>
              <c:f>Stroke!$A$331</c:f>
              <c:strCache>
                <c:ptCount val="1"/>
                <c:pt idx="0">
                  <c:v>Bundle Component 1 - Access to stroke unit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Stroke!$B$331:$AW$331</c:f>
              <c:numCache>
                <c:formatCode>0.0%</c:formatCode>
                <c:ptCount val="48"/>
                <c:pt idx="0">
                  <c:v>0.74698795180722888</c:v>
                </c:pt>
                <c:pt idx="1">
                  <c:v>0.66346153846153844</c:v>
                </c:pt>
                <c:pt idx="2">
                  <c:v>0.66249999999999998</c:v>
                </c:pt>
                <c:pt idx="3">
                  <c:v>0.48484848484848486</c:v>
                </c:pt>
                <c:pt idx="4">
                  <c:v>0.6875</c:v>
                </c:pt>
                <c:pt idx="5">
                  <c:v>0.71052631578947367</c:v>
                </c:pt>
                <c:pt idx="6">
                  <c:v>0.82954545454545459</c:v>
                </c:pt>
                <c:pt idx="7">
                  <c:v>0.7578947368421054</c:v>
                </c:pt>
                <c:pt idx="8">
                  <c:v>0.67100000000000004</c:v>
                </c:pt>
                <c:pt idx="9">
                  <c:v>0.77272727272727271</c:v>
                </c:pt>
                <c:pt idx="10">
                  <c:v>0.65</c:v>
                </c:pt>
                <c:pt idx="11">
                  <c:v>0.71250000000000002</c:v>
                </c:pt>
                <c:pt idx="12">
                  <c:v>0.72289156626506024</c:v>
                </c:pt>
                <c:pt idx="13">
                  <c:v>0.64130434782608692</c:v>
                </c:pt>
                <c:pt idx="14">
                  <c:v>0.83333333333333348</c:v>
                </c:pt>
                <c:pt idx="15">
                  <c:v>0.7857142857142857</c:v>
                </c:pt>
                <c:pt idx="16">
                  <c:v>0.83561643835616439</c:v>
                </c:pt>
                <c:pt idx="17">
                  <c:v>0.82417582417582413</c:v>
                </c:pt>
                <c:pt idx="18">
                  <c:v>0.68831168831168843</c:v>
                </c:pt>
                <c:pt idx="19">
                  <c:v>0.85526315789473684</c:v>
                </c:pt>
                <c:pt idx="20">
                  <c:v>0.68932038834951459</c:v>
                </c:pt>
                <c:pt idx="21">
                  <c:v>0.77215189873417733</c:v>
                </c:pt>
                <c:pt idx="22">
                  <c:v>0.80597014925373134</c:v>
                </c:pt>
                <c:pt idx="23">
                  <c:v>0.85869565217391308</c:v>
                </c:pt>
                <c:pt idx="24">
                  <c:v>0.67816091954022983</c:v>
                </c:pt>
                <c:pt idx="25">
                  <c:v>0.8</c:v>
                </c:pt>
                <c:pt idx="26">
                  <c:v>0.80645161290322576</c:v>
                </c:pt>
              </c:numCache>
            </c:numRef>
          </c:val>
          <c:smooth val="0"/>
        </c:ser>
        <c:ser>
          <c:idx val="3"/>
          <c:order val="1"/>
          <c:tx>
            <c:strRef>
              <c:f>Stroke!$A$334</c:f>
              <c:strCache>
                <c:ptCount val="1"/>
                <c:pt idx="0">
                  <c:v>Extended Baseline Median</c:v>
                </c:pt>
              </c:strCache>
            </c:strRef>
          </c:tx>
          <c:spPr>
            <a:ln w="25400">
              <a:solidFill>
                <a:schemeClr val="tx1"/>
              </a:solidFill>
              <a:prstDash val="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Stroke!$B$334:$AW$334</c:f>
              <c:numCache>
                <c:formatCode>0.0%</c:formatCode>
                <c:ptCount val="48"/>
                <c:pt idx="1">
                  <c:v>0</c:v>
                </c:pt>
                <c:pt idx="11">
                  <c:v>0.69901315789473684</c:v>
                </c:pt>
                <c:pt idx="12">
                  <c:v>0.69901315789473684</c:v>
                </c:pt>
                <c:pt idx="13">
                  <c:v>0.69901315789473684</c:v>
                </c:pt>
                <c:pt idx="14">
                  <c:v>0.69901315789473684</c:v>
                </c:pt>
                <c:pt idx="15">
                  <c:v>0.69901315789473684</c:v>
                </c:pt>
                <c:pt idx="16">
                  <c:v>0.69901315789473684</c:v>
                </c:pt>
                <c:pt idx="17">
                  <c:v>0.69901315789473684</c:v>
                </c:pt>
                <c:pt idx="18">
                  <c:v>0.69901315789473684</c:v>
                </c:pt>
                <c:pt idx="19">
                  <c:v>0.69901315789473684</c:v>
                </c:pt>
                <c:pt idx="20">
                  <c:v>0.69901315789473684</c:v>
                </c:pt>
                <c:pt idx="21">
                  <c:v>0.69901315789473684</c:v>
                </c:pt>
                <c:pt idx="22">
                  <c:v>0.69901315789473684</c:v>
                </c:pt>
                <c:pt idx="23">
                  <c:v>0.69901315789473684</c:v>
                </c:pt>
                <c:pt idx="24">
                  <c:v>0.69901315789473684</c:v>
                </c:pt>
                <c:pt idx="25">
                  <c:v>0.69901315789473684</c:v>
                </c:pt>
                <c:pt idx="26">
                  <c:v>0.69901315789473684</c:v>
                </c:pt>
                <c:pt idx="27">
                  <c:v>0.69901315789473684</c:v>
                </c:pt>
                <c:pt idx="28">
                  <c:v>0.69901315789473684</c:v>
                </c:pt>
                <c:pt idx="29">
                  <c:v>0.69901315789473684</c:v>
                </c:pt>
                <c:pt idx="30">
                  <c:v>0.69901315789473684</c:v>
                </c:pt>
                <c:pt idx="31">
                  <c:v>0.69901315789473684</c:v>
                </c:pt>
                <c:pt idx="32">
                  <c:v>0.69901315789473684</c:v>
                </c:pt>
                <c:pt idx="33">
                  <c:v>0.69901315789473684</c:v>
                </c:pt>
                <c:pt idx="34">
                  <c:v>0.69901315789473684</c:v>
                </c:pt>
                <c:pt idx="35">
                  <c:v>0.69901315789473684</c:v>
                </c:pt>
                <c:pt idx="36">
                  <c:v>0.69901315789473684</c:v>
                </c:pt>
                <c:pt idx="37">
                  <c:v>0.69901315789473684</c:v>
                </c:pt>
                <c:pt idx="38">
                  <c:v>0.69901315789473684</c:v>
                </c:pt>
                <c:pt idx="39">
                  <c:v>0.69901315789473684</c:v>
                </c:pt>
                <c:pt idx="40">
                  <c:v>0.69901315789473684</c:v>
                </c:pt>
                <c:pt idx="41">
                  <c:v>0.69901315789473684</c:v>
                </c:pt>
                <c:pt idx="42">
                  <c:v>0.69901315789473684</c:v>
                </c:pt>
                <c:pt idx="43">
                  <c:v>0.69901315789473684</c:v>
                </c:pt>
                <c:pt idx="44">
                  <c:v>0.69901315789473684</c:v>
                </c:pt>
                <c:pt idx="45">
                  <c:v>0.69901315789473684</c:v>
                </c:pt>
                <c:pt idx="46">
                  <c:v>0.69901315789473684</c:v>
                </c:pt>
                <c:pt idx="47">
                  <c:v>0.69901315789473684</c:v>
                </c:pt>
              </c:numCache>
            </c:numRef>
          </c:val>
          <c:smooth val="0"/>
        </c:ser>
        <c:ser>
          <c:idx val="2"/>
          <c:order val="2"/>
          <c:tx>
            <c:strRef>
              <c:f>Stroke!$A$333</c:f>
              <c:strCache>
                <c:ptCount val="1"/>
                <c:pt idx="0">
                  <c:v>Baseline Median</c:v>
                </c:pt>
              </c:strCache>
            </c:strRef>
          </c:tx>
          <c:spPr>
            <a:ln w="25400">
              <a:solidFill>
                <a:prstClr val="black"/>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Stroke!$B$333:$M$333</c:f>
              <c:numCache>
                <c:formatCode>0.0%</c:formatCode>
                <c:ptCount val="12"/>
                <c:pt idx="0">
                  <c:v>0.69901315789473684</c:v>
                </c:pt>
                <c:pt idx="1">
                  <c:v>0.69901315789473684</c:v>
                </c:pt>
                <c:pt idx="2">
                  <c:v>0.69901315789473684</c:v>
                </c:pt>
                <c:pt idx="3">
                  <c:v>0.69901315789473684</c:v>
                </c:pt>
                <c:pt idx="4">
                  <c:v>0.69901315789473684</c:v>
                </c:pt>
                <c:pt idx="5">
                  <c:v>0.69901315789473684</c:v>
                </c:pt>
                <c:pt idx="6">
                  <c:v>0.69901315789473684</c:v>
                </c:pt>
                <c:pt idx="7">
                  <c:v>0.69901315789473684</c:v>
                </c:pt>
                <c:pt idx="8">
                  <c:v>0.69901315789473684</c:v>
                </c:pt>
                <c:pt idx="9">
                  <c:v>0.69901315789473684</c:v>
                </c:pt>
                <c:pt idx="10">
                  <c:v>0.69901315789473684</c:v>
                </c:pt>
                <c:pt idx="11">
                  <c:v>0.69901315789473684</c:v>
                </c:pt>
              </c:numCache>
            </c:numRef>
          </c:val>
          <c:smooth val="0"/>
        </c:ser>
        <c:ser>
          <c:idx val="0"/>
          <c:order val="3"/>
          <c:tx>
            <c:strRef>
              <c:f>Stroke!$A$332</c:f>
              <c:strCache>
                <c:ptCount val="1"/>
                <c:pt idx="0">
                  <c:v>Component Target (min)</c:v>
                </c:pt>
              </c:strCache>
            </c:strRef>
          </c:tx>
          <c:spPr>
            <a:ln w="25400">
              <a:solidFill>
                <a:srgbClr val="FF0000"/>
              </a:solidFill>
              <a:prstDash val="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Stroke!$B$332:$AW$332</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145805824"/>
        <c:axId val="145850368"/>
      </c:lineChart>
      <c:dateAx>
        <c:axId val="14580582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5850368"/>
        <c:crosses val="autoZero"/>
        <c:auto val="1"/>
        <c:lblOffset val="100"/>
        <c:baseTimeUnit val="months"/>
      </c:dateAx>
      <c:valAx>
        <c:axId val="14585036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5805824"/>
        <c:crosses val="autoZero"/>
        <c:crossBetween val="between"/>
      </c:valAx>
    </c:plotArea>
    <c:legend>
      <c:legendPos val="r"/>
      <c:layout>
        <c:manualLayout>
          <c:xMode val="edge"/>
          <c:yMode val="edge"/>
          <c:x val="4.7824074074074106E-3"/>
          <c:y val="0.91358024691358064"/>
          <c:w val="0.97660497685185232"/>
          <c:h val="8.6419753086419679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015429028050423E-2"/>
          <c:y val="4.856512141280353E-2"/>
          <c:w val="0.91617145329759453"/>
          <c:h val="0.71763021751912437"/>
        </c:manualLayout>
      </c:layout>
      <c:lineChart>
        <c:grouping val="standard"/>
        <c:varyColors val="0"/>
        <c:ser>
          <c:idx val="4"/>
          <c:order val="0"/>
          <c:tx>
            <c:strRef>
              <c:f>Antenatal!$A$10</c:f>
              <c:strCache>
                <c:ptCount val="1"/>
                <c:pt idx="0">
                  <c:v>% within 12 weeks</c:v>
                </c:pt>
              </c:strCache>
            </c:strRef>
          </c:tx>
          <c:spPr>
            <a:ln w="25400" cap="rnd">
              <a:solidFill>
                <a:srgbClr val="0070C0"/>
              </a:solidFill>
              <a:round/>
              <a:headEnd type="none"/>
            </a:ln>
            <a:effectLst/>
          </c:spPr>
          <c:marker>
            <c:symbol val="circle"/>
            <c:size val="4"/>
            <c:spPr>
              <a:solidFill>
                <a:srgbClr val="0070C0"/>
              </a:solidFill>
              <a:ln w="25400">
                <a:solidFill>
                  <a:srgbClr val="0070C0"/>
                </a:solidFill>
              </a:ln>
            </c:spPr>
          </c:marker>
          <c:cat>
            <c:numRef>
              <c:f>Antenatal!$B$9:$AW$9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numCache>
            </c:numRef>
          </c:cat>
          <c:val>
            <c:numRef>
              <c:f>Antenatal!$B$10:$AW$10</c:f>
              <c:numCache>
                <c:formatCode>0.0%</c:formatCode>
                <c:ptCount val="48"/>
                <c:pt idx="0">
                  <c:v>0.876</c:v>
                </c:pt>
                <c:pt idx="1">
                  <c:v>0.85899999999999999</c:v>
                </c:pt>
                <c:pt idx="2">
                  <c:v>0.9</c:v>
                </c:pt>
                <c:pt idx="3">
                  <c:v>0.89100000000000001</c:v>
                </c:pt>
                <c:pt idx="4">
                  <c:v>0.84399999999999997</c:v>
                </c:pt>
                <c:pt idx="5">
                  <c:v>0.88100000000000001</c:v>
                </c:pt>
                <c:pt idx="6">
                  <c:v>0.85899999999999999</c:v>
                </c:pt>
                <c:pt idx="7">
                  <c:v>0.89700000000000002</c:v>
                </c:pt>
                <c:pt idx="8">
                  <c:v>0.871</c:v>
                </c:pt>
                <c:pt idx="9">
                  <c:v>0.85699999999999998</c:v>
                </c:pt>
                <c:pt idx="10">
                  <c:v>0.90700000000000003</c:v>
                </c:pt>
                <c:pt idx="11">
                  <c:v>0.90800000000000003</c:v>
                </c:pt>
                <c:pt idx="12">
                  <c:v>0.88200000000000001</c:v>
                </c:pt>
                <c:pt idx="13">
                  <c:v>0.86899999999999999</c:v>
                </c:pt>
                <c:pt idx="14">
                  <c:v>0.86599999999999999</c:v>
                </c:pt>
                <c:pt idx="15">
                  <c:v>0.88900000000000001</c:v>
                </c:pt>
                <c:pt idx="16">
                  <c:v>0.86</c:v>
                </c:pt>
                <c:pt idx="17">
                  <c:v>0.88800000000000001</c:v>
                </c:pt>
                <c:pt idx="18">
                  <c:v>0.871</c:v>
                </c:pt>
                <c:pt idx="19">
                  <c:v>0.88700000000000001</c:v>
                </c:pt>
                <c:pt idx="20">
                  <c:v>0.89</c:v>
                </c:pt>
                <c:pt idx="21">
                  <c:v>0.88500000000000001</c:v>
                </c:pt>
                <c:pt idx="22">
                  <c:v>0.85899999999999999</c:v>
                </c:pt>
                <c:pt idx="23">
                  <c:v>0.88900000000000001</c:v>
                </c:pt>
                <c:pt idx="24">
                  <c:v>0.81499999999999995</c:v>
                </c:pt>
                <c:pt idx="25">
                  <c:v>0.88800000000000001</c:v>
                </c:pt>
                <c:pt idx="26">
                  <c:v>0.89200000000000002</c:v>
                </c:pt>
                <c:pt idx="27">
                  <c:v>0.91600000000000004</c:v>
                </c:pt>
              </c:numCache>
            </c:numRef>
          </c:val>
          <c:smooth val="0"/>
        </c:ser>
        <c:ser>
          <c:idx val="5"/>
          <c:order val="1"/>
          <c:tx>
            <c:strRef>
              <c:f>Antenatal!$A$14</c:f>
              <c:strCache>
                <c:ptCount val="1"/>
                <c:pt idx="0">
                  <c:v>Target (min)</c:v>
                </c:pt>
              </c:strCache>
            </c:strRef>
          </c:tx>
          <c:spPr>
            <a:ln w="25400">
              <a:solidFill>
                <a:srgbClr val="FF0000"/>
              </a:solidFill>
              <a:prstDash val="dash"/>
            </a:ln>
          </c:spPr>
          <c:marker>
            <c:symbol val="none"/>
          </c:marker>
          <c:cat>
            <c:numRef>
              <c:f>Antenatal!$B$9:$AW$9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numCache>
            </c:numRef>
          </c:cat>
          <c:val>
            <c:numRef>
              <c:f>Antenatal!$B$14:$AW$14</c:f>
              <c:numCache>
                <c:formatCode>0.0%</c:formatCode>
                <c:ptCount val="48"/>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0.8</c:v>
                </c:pt>
                <c:pt idx="17">
                  <c:v>0.8</c:v>
                </c:pt>
                <c:pt idx="18">
                  <c:v>0.8</c:v>
                </c:pt>
                <c:pt idx="19">
                  <c:v>0.8</c:v>
                </c:pt>
                <c:pt idx="20">
                  <c:v>0.8</c:v>
                </c:pt>
                <c:pt idx="21">
                  <c:v>0.8</c:v>
                </c:pt>
                <c:pt idx="22">
                  <c:v>0.8</c:v>
                </c:pt>
                <c:pt idx="23">
                  <c:v>0.8</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dLbls>
          <c:showLegendKey val="0"/>
          <c:showVal val="0"/>
          <c:showCatName val="0"/>
          <c:showSerName val="0"/>
          <c:showPercent val="0"/>
          <c:showBubbleSize val="0"/>
        </c:dLbls>
        <c:marker val="1"/>
        <c:smooth val="0"/>
        <c:axId val="124950016"/>
        <c:axId val="125957184"/>
      </c:lineChart>
      <c:dateAx>
        <c:axId val="12495001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5957184"/>
        <c:crosses val="autoZero"/>
        <c:auto val="1"/>
        <c:lblOffset val="100"/>
        <c:baseTimeUnit val="months"/>
      </c:dateAx>
      <c:valAx>
        <c:axId val="125957184"/>
        <c:scaling>
          <c:orientation val="minMax"/>
          <c:max val="1"/>
          <c:min val="0.70000000000000062"/>
        </c:scaling>
        <c:delete val="0"/>
        <c:axPos val="l"/>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950016"/>
        <c:crosses val="autoZero"/>
        <c:crossBetween val="between"/>
        <c:majorUnit val="5.0000000000000024E-2"/>
      </c:valAx>
    </c:plotArea>
    <c:legend>
      <c:legendPos val="r"/>
      <c:layout>
        <c:manualLayout>
          <c:xMode val="edge"/>
          <c:yMode val="edge"/>
          <c:x val="0.22562979189485213"/>
          <c:y val="0.88888888888888884"/>
          <c:w val="0.58598028477545727"/>
          <c:h val="9.523809523809424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651"/>
        </c:manualLayout>
      </c:layout>
      <c:lineChart>
        <c:grouping val="standard"/>
        <c:varyColors val="0"/>
        <c:ser>
          <c:idx val="1"/>
          <c:order val="0"/>
          <c:tx>
            <c:strRef>
              <c:f>Stroke!$A$352</c:f>
              <c:strCache>
                <c:ptCount val="1"/>
                <c:pt idx="0">
                  <c:v>Bundle Component 2 - Swallow screen within standard (on day of admission to Mar 16 incl./ within four hours of admission from Apr 16 incl.)</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Stroke!$B$352:$AW$352</c:f>
              <c:numCache>
                <c:formatCode>0.0%</c:formatCode>
                <c:ptCount val="48"/>
                <c:pt idx="0">
                  <c:v>0.8165137614678899</c:v>
                </c:pt>
                <c:pt idx="1">
                  <c:v>0.83333333333333348</c:v>
                </c:pt>
                <c:pt idx="2">
                  <c:v>0.82474226804123707</c:v>
                </c:pt>
                <c:pt idx="3">
                  <c:v>0.80412371134020622</c:v>
                </c:pt>
                <c:pt idx="4">
                  <c:v>0.86274509803921573</c:v>
                </c:pt>
                <c:pt idx="5">
                  <c:v>0.90384615384615385</c:v>
                </c:pt>
                <c:pt idx="6">
                  <c:v>0.89075630252100846</c:v>
                </c:pt>
                <c:pt idx="7">
                  <c:v>0.8294573643410853</c:v>
                </c:pt>
                <c:pt idx="8">
                  <c:v>0.83495145631067957</c:v>
                </c:pt>
                <c:pt idx="9">
                  <c:v>0.86885245901639341</c:v>
                </c:pt>
                <c:pt idx="10">
                  <c:v>0.84745762711864403</c:v>
                </c:pt>
                <c:pt idx="11">
                  <c:v>0.87878787878787878</c:v>
                </c:pt>
                <c:pt idx="12">
                  <c:v>0.77900000000000003</c:v>
                </c:pt>
                <c:pt idx="13">
                  <c:v>0.75</c:v>
                </c:pt>
                <c:pt idx="14">
                  <c:v>0.84399999999999997</c:v>
                </c:pt>
                <c:pt idx="15">
                  <c:v>0.82399999999999995</c:v>
                </c:pt>
                <c:pt idx="16">
                  <c:v>0.82758620689655171</c:v>
                </c:pt>
                <c:pt idx="17">
                  <c:v>0.78461538461538471</c:v>
                </c:pt>
                <c:pt idx="18">
                  <c:v>0.83333333333333348</c:v>
                </c:pt>
                <c:pt idx="19">
                  <c:v>0.80188679245283023</c:v>
                </c:pt>
                <c:pt idx="20">
                  <c:v>0.82978723404255317</c:v>
                </c:pt>
                <c:pt idx="21">
                  <c:v>0.87179487179487181</c:v>
                </c:pt>
                <c:pt idx="22">
                  <c:v>0.8</c:v>
                </c:pt>
                <c:pt idx="23">
                  <c:v>0.90441176470588236</c:v>
                </c:pt>
                <c:pt idx="24">
                  <c:v>0.796875</c:v>
                </c:pt>
                <c:pt idx="25">
                  <c:v>0.875</c:v>
                </c:pt>
                <c:pt idx="26">
                  <c:v>0.87969924812030076</c:v>
                </c:pt>
              </c:numCache>
            </c:numRef>
          </c:val>
          <c:smooth val="0"/>
        </c:ser>
        <c:ser>
          <c:idx val="2"/>
          <c:order val="1"/>
          <c:tx>
            <c:strRef>
              <c:f>Stroke!$A$355</c:f>
              <c:strCache>
                <c:ptCount val="1"/>
                <c:pt idx="0">
                  <c:v>Baseline Median</c:v>
                </c:pt>
              </c:strCache>
            </c:strRef>
          </c:tx>
          <c:spPr>
            <a:ln w="25400">
              <a:solidFill>
                <a:schemeClr val="tx1"/>
              </a:solidFill>
            </a:ln>
          </c:spPr>
          <c:marker>
            <c:symbol val="none"/>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Stroke!$B$355:$AW$355</c:f>
              <c:numCache>
                <c:formatCode>0.0%</c:formatCode>
                <c:ptCount val="48"/>
                <c:pt idx="11">
                  <c:v>0</c:v>
                </c:pt>
                <c:pt idx="12">
                  <c:v>0.82579310344827583</c:v>
                </c:pt>
                <c:pt idx="13">
                  <c:v>0.82579310344827583</c:v>
                </c:pt>
                <c:pt idx="14">
                  <c:v>0.82579310344827583</c:v>
                </c:pt>
                <c:pt idx="15">
                  <c:v>0.82579310344827583</c:v>
                </c:pt>
                <c:pt idx="16">
                  <c:v>0.82579310344827583</c:v>
                </c:pt>
                <c:pt idx="17">
                  <c:v>0.82579310344827583</c:v>
                </c:pt>
                <c:pt idx="18">
                  <c:v>0.82579310344827583</c:v>
                </c:pt>
                <c:pt idx="19">
                  <c:v>0.82579310344827583</c:v>
                </c:pt>
                <c:pt idx="20">
                  <c:v>0.82579310344827583</c:v>
                </c:pt>
                <c:pt idx="21">
                  <c:v>0.82579310344827583</c:v>
                </c:pt>
                <c:pt idx="22">
                  <c:v>0.82579310344827583</c:v>
                </c:pt>
                <c:pt idx="23">
                  <c:v>0.82579310344827583</c:v>
                </c:pt>
              </c:numCache>
            </c:numRef>
          </c:val>
          <c:smooth val="0"/>
        </c:ser>
        <c:ser>
          <c:idx val="4"/>
          <c:order val="2"/>
          <c:tx>
            <c:strRef>
              <c:f>Stroke!$A$356</c:f>
              <c:strCache>
                <c:ptCount val="1"/>
                <c:pt idx="0">
                  <c:v>Extended Baseline Median</c:v>
                </c:pt>
              </c:strCache>
            </c:strRef>
          </c:tx>
          <c:spPr>
            <a:ln w="25400">
              <a:solidFill>
                <a:schemeClr val="tx1"/>
              </a:solidFill>
              <a:prstDash val="dash"/>
            </a:ln>
          </c:spPr>
          <c:marker>
            <c:symbol val="none"/>
          </c:marker>
          <c:dPt>
            <c:idx val="23"/>
            <c:bubble3D val="0"/>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Stroke!$B$356:$AW$356</c:f>
              <c:numCache>
                <c:formatCode>0.0%</c:formatCode>
                <c:ptCount val="48"/>
                <c:pt idx="11">
                  <c:v>0</c:v>
                </c:pt>
                <c:pt idx="12">
                  <c:v>0</c:v>
                </c:pt>
                <c:pt idx="13">
                  <c:v>0</c:v>
                </c:pt>
                <c:pt idx="14">
                  <c:v>0</c:v>
                </c:pt>
                <c:pt idx="15">
                  <c:v>0</c:v>
                </c:pt>
                <c:pt idx="16">
                  <c:v>0</c:v>
                </c:pt>
                <c:pt idx="17">
                  <c:v>0</c:v>
                </c:pt>
                <c:pt idx="18">
                  <c:v>0</c:v>
                </c:pt>
                <c:pt idx="19">
                  <c:v>0</c:v>
                </c:pt>
                <c:pt idx="20">
                  <c:v>0</c:v>
                </c:pt>
                <c:pt idx="21">
                  <c:v>0</c:v>
                </c:pt>
                <c:pt idx="22">
                  <c:v>0</c:v>
                </c:pt>
                <c:pt idx="23">
                  <c:v>0.82579310344827583</c:v>
                </c:pt>
                <c:pt idx="24">
                  <c:v>0.82579310344827583</c:v>
                </c:pt>
                <c:pt idx="25">
                  <c:v>0.82579310344827583</c:v>
                </c:pt>
                <c:pt idx="26">
                  <c:v>0.82579310344827583</c:v>
                </c:pt>
                <c:pt idx="27">
                  <c:v>0.82579310344827583</c:v>
                </c:pt>
                <c:pt idx="28">
                  <c:v>0.82579310344827583</c:v>
                </c:pt>
                <c:pt idx="29">
                  <c:v>0.82579310344827583</c:v>
                </c:pt>
                <c:pt idx="30">
                  <c:v>0.82579310344827583</c:v>
                </c:pt>
                <c:pt idx="31">
                  <c:v>0.82579310344827583</c:v>
                </c:pt>
                <c:pt idx="32">
                  <c:v>0.82579310344827583</c:v>
                </c:pt>
                <c:pt idx="33">
                  <c:v>0.82579310344827583</c:v>
                </c:pt>
                <c:pt idx="34">
                  <c:v>0.82579310344827583</c:v>
                </c:pt>
                <c:pt idx="35">
                  <c:v>0.82579310344827583</c:v>
                </c:pt>
                <c:pt idx="36">
                  <c:v>0.82579310344827583</c:v>
                </c:pt>
                <c:pt idx="37">
                  <c:v>0.82579310344827583</c:v>
                </c:pt>
                <c:pt idx="38">
                  <c:v>0.82579310344827583</c:v>
                </c:pt>
                <c:pt idx="39">
                  <c:v>0.82579310344827583</c:v>
                </c:pt>
                <c:pt idx="40">
                  <c:v>0.82579310344827583</c:v>
                </c:pt>
                <c:pt idx="41">
                  <c:v>0.82579310344827583</c:v>
                </c:pt>
                <c:pt idx="42">
                  <c:v>0.82579310344827583</c:v>
                </c:pt>
                <c:pt idx="43">
                  <c:v>0.82579310344827583</c:v>
                </c:pt>
                <c:pt idx="44">
                  <c:v>0.82579310344827583</c:v>
                </c:pt>
                <c:pt idx="45">
                  <c:v>0.82579310344827583</c:v>
                </c:pt>
                <c:pt idx="46">
                  <c:v>0.82579310344827583</c:v>
                </c:pt>
                <c:pt idx="47">
                  <c:v>0.82579310344827583</c:v>
                </c:pt>
              </c:numCache>
            </c:numRef>
          </c:val>
          <c:smooth val="0"/>
        </c:ser>
        <c:ser>
          <c:idx val="0"/>
          <c:order val="3"/>
          <c:tx>
            <c:strRef>
              <c:f>Stroke!$A$353</c:f>
              <c:strCache>
                <c:ptCount val="1"/>
                <c:pt idx="0">
                  <c:v>Component Target - 90% on day of admission (min)</c:v>
                </c:pt>
              </c:strCache>
            </c:strRef>
          </c:tx>
          <c:spPr>
            <a:ln w="25400">
              <a:solidFill>
                <a:srgbClr val="FF0000"/>
              </a:solidFill>
              <a:prstDash val="sysDot"/>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Stroke!$B$353:$M$353</c:f>
              <c:numCache>
                <c:formatCode>0.0%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ser>
        <c:ser>
          <c:idx val="3"/>
          <c:order val="4"/>
          <c:tx>
            <c:strRef>
              <c:f>Stroke!$A$354</c:f>
              <c:strCache>
                <c:ptCount val="1"/>
                <c:pt idx="0">
                  <c:v>Component Target - 100% within four hours of admission</c:v>
                </c:pt>
              </c:strCache>
            </c:strRef>
          </c:tx>
          <c:spPr>
            <a:ln w="25400">
              <a:solidFill>
                <a:srgbClr val="FF0000"/>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Stroke!$B$354:$AW$354</c:f>
              <c:numCache>
                <c:formatCode>0.0%</c:formatCode>
                <c:ptCount val="48"/>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ser>
        <c:dLbls>
          <c:showLegendKey val="0"/>
          <c:showVal val="0"/>
          <c:showCatName val="0"/>
          <c:showSerName val="0"/>
          <c:showPercent val="0"/>
          <c:showBubbleSize val="0"/>
        </c:dLbls>
        <c:marker val="1"/>
        <c:smooth val="0"/>
        <c:axId val="145807872"/>
        <c:axId val="145852672"/>
      </c:lineChart>
      <c:dateAx>
        <c:axId val="14580787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5852672"/>
        <c:crosses val="autoZero"/>
        <c:auto val="1"/>
        <c:lblOffset val="100"/>
        <c:baseTimeUnit val="months"/>
      </c:dateAx>
      <c:valAx>
        <c:axId val="145852672"/>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5807872"/>
        <c:crosses val="autoZero"/>
        <c:crossBetween val="between"/>
        <c:majorUnit val="5.0000000000000024E-2"/>
      </c:valAx>
    </c:plotArea>
    <c:legend>
      <c:legendPos val="r"/>
      <c:layout>
        <c:manualLayout>
          <c:xMode val="edge"/>
          <c:yMode val="edge"/>
          <c:x val="3.3076074972436605E-3"/>
          <c:y val="0.88536155202821853"/>
          <c:w val="0.99044468945240716"/>
          <c:h val="0.11463844797178141"/>
        </c:manualLayout>
      </c:layout>
      <c:overlay val="0"/>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651"/>
        </c:manualLayout>
      </c:layout>
      <c:lineChart>
        <c:grouping val="standard"/>
        <c:varyColors val="0"/>
        <c:ser>
          <c:idx val="1"/>
          <c:order val="0"/>
          <c:tx>
            <c:strRef>
              <c:f>Stroke!$A$375</c:f>
              <c:strCache>
                <c:ptCount val="1"/>
                <c:pt idx="0">
                  <c:v>Bundle Component 3 -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Stroke!$B$375:$AW$375</c:f>
              <c:numCache>
                <c:formatCode>0.0%</c:formatCode>
                <c:ptCount val="48"/>
                <c:pt idx="0">
                  <c:v>0.95412844036697253</c:v>
                </c:pt>
                <c:pt idx="1">
                  <c:v>0.95238095238095222</c:v>
                </c:pt>
                <c:pt idx="2">
                  <c:v>0.95876288659793818</c:v>
                </c:pt>
                <c:pt idx="3">
                  <c:v>0.97938144329896903</c:v>
                </c:pt>
                <c:pt idx="4">
                  <c:v>0.94117647058823517</c:v>
                </c:pt>
                <c:pt idx="5">
                  <c:v>0.96153846153846156</c:v>
                </c:pt>
                <c:pt idx="6">
                  <c:v>0.97478991596638653</c:v>
                </c:pt>
                <c:pt idx="7">
                  <c:v>0.98461538461538467</c:v>
                </c:pt>
                <c:pt idx="8">
                  <c:v>0.95199999999999996</c:v>
                </c:pt>
                <c:pt idx="9">
                  <c:v>0.97699999999999998</c:v>
                </c:pt>
                <c:pt idx="10">
                  <c:v>0.97599999999999998</c:v>
                </c:pt>
                <c:pt idx="11">
                  <c:v>0.94495412844036697</c:v>
                </c:pt>
                <c:pt idx="12">
                  <c:v>0.96212121212121215</c:v>
                </c:pt>
                <c:pt idx="13">
                  <c:v>0.96799999999999997</c:v>
                </c:pt>
                <c:pt idx="14">
                  <c:v>0.93600000000000005</c:v>
                </c:pt>
                <c:pt idx="15">
                  <c:v>0.95299999999999996</c:v>
                </c:pt>
                <c:pt idx="16">
                  <c:v>0.98347107438016534</c:v>
                </c:pt>
                <c:pt idx="17">
                  <c:v>0.96946564885496178</c:v>
                </c:pt>
                <c:pt idx="18">
                  <c:v>0.94444444444444442</c:v>
                </c:pt>
                <c:pt idx="19">
                  <c:v>0.9719626168224299</c:v>
                </c:pt>
                <c:pt idx="20">
                  <c:v>0.9858156028368793</c:v>
                </c:pt>
                <c:pt idx="21">
                  <c:v>0.92372881355932213</c:v>
                </c:pt>
                <c:pt idx="22">
                  <c:v>0.98039215686274506</c:v>
                </c:pt>
                <c:pt idx="23">
                  <c:v>0.96350364963503654</c:v>
                </c:pt>
                <c:pt idx="24">
                  <c:v>0.9609375</c:v>
                </c:pt>
                <c:pt idx="25">
                  <c:v>0.96350364963503654</c:v>
                </c:pt>
                <c:pt idx="26">
                  <c:v>0.96240601503759393</c:v>
                </c:pt>
              </c:numCache>
            </c:numRef>
          </c:val>
          <c:smooth val="0"/>
        </c:ser>
        <c:ser>
          <c:idx val="2"/>
          <c:order val="1"/>
          <c:tx>
            <c:strRef>
              <c:f>Stroke!$A$377</c:f>
              <c:strCache>
                <c:ptCount val="1"/>
                <c:pt idx="0">
                  <c:v>Baseline Median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Stroke!$B$377:$M$377</c:f>
              <c:numCache>
                <c:formatCode>0.0%</c:formatCode>
                <c:ptCount val="12"/>
                <c:pt idx="0">
                  <c:v>0.96015067406819987</c:v>
                </c:pt>
                <c:pt idx="1">
                  <c:v>0.96015067406819987</c:v>
                </c:pt>
                <c:pt idx="2">
                  <c:v>0.96015067406819987</c:v>
                </c:pt>
                <c:pt idx="3">
                  <c:v>0.96015067406819987</c:v>
                </c:pt>
                <c:pt idx="4">
                  <c:v>0.96015067406819987</c:v>
                </c:pt>
                <c:pt idx="5">
                  <c:v>0.96015067406819987</c:v>
                </c:pt>
                <c:pt idx="6">
                  <c:v>0.96015067406819987</c:v>
                </c:pt>
                <c:pt idx="7">
                  <c:v>0.96015067406819987</c:v>
                </c:pt>
                <c:pt idx="8">
                  <c:v>0.96015067406819987</c:v>
                </c:pt>
                <c:pt idx="9">
                  <c:v>0.96015067406819987</c:v>
                </c:pt>
                <c:pt idx="10">
                  <c:v>0.96015067406819987</c:v>
                </c:pt>
                <c:pt idx="11">
                  <c:v>0.96015067406819987</c:v>
                </c:pt>
              </c:numCache>
            </c:numRef>
          </c:val>
          <c:smooth val="0"/>
        </c:ser>
        <c:ser>
          <c:idx val="3"/>
          <c:order val="2"/>
          <c:tx>
            <c:strRef>
              <c:f>Stroke!$A$378</c:f>
              <c:strCache>
                <c:ptCount val="1"/>
                <c:pt idx="0">
                  <c:v>Extended Baseline Median</c:v>
                </c:pt>
              </c:strCache>
            </c:strRef>
          </c:tx>
          <c:spPr>
            <a:ln w="25400">
              <a:solidFill>
                <a:prstClr val="black"/>
              </a:solidFill>
              <a:prstDash val="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Stroke!$B$378:$AW$378</c:f>
              <c:numCache>
                <c:formatCode>0.0%</c:formatCode>
                <c:ptCount val="48"/>
                <c:pt idx="11">
                  <c:v>0.96015067406819987</c:v>
                </c:pt>
                <c:pt idx="12">
                  <c:v>0.96015067406819987</c:v>
                </c:pt>
                <c:pt idx="13">
                  <c:v>0.96015067406819987</c:v>
                </c:pt>
                <c:pt idx="14">
                  <c:v>0.96015067406819987</c:v>
                </c:pt>
                <c:pt idx="15">
                  <c:v>0.96015067406819987</c:v>
                </c:pt>
                <c:pt idx="16">
                  <c:v>0.96015067406819987</c:v>
                </c:pt>
                <c:pt idx="17">
                  <c:v>0.96015067406819987</c:v>
                </c:pt>
                <c:pt idx="18">
                  <c:v>0.96015067406819987</c:v>
                </c:pt>
                <c:pt idx="19">
                  <c:v>0.96015067406819987</c:v>
                </c:pt>
                <c:pt idx="20">
                  <c:v>0.96015067406819987</c:v>
                </c:pt>
                <c:pt idx="21">
                  <c:v>0.96015067406819987</c:v>
                </c:pt>
                <c:pt idx="22">
                  <c:v>0.96015067406819987</c:v>
                </c:pt>
                <c:pt idx="23">
                  <c:v>0.96015067406819987</c:v>
                </c:pt>
                <c:pt idx="24">
                  <c:v>0.96015067406819987</c:v>
                </c:pt>
                <c:pt idx="25">
                  <c:v>0.96015067406819987</c:v>
                </c:pt>
                <c:pt idx="26">
                  <c:v>0.96015067406819987</c:v>
                </c:pt>
                <c:pt idx="27">
                  <c:v>0.96015067406819987</c:v>
                </c:pt>
                <c:pt idx="28">
                  <c:v>0.96015067406819987</c:v>
                </c:pt>
                <c:pt idx="29">
                  <c:v>0.96015067406819987</c:v>
                </c:pt>
                <c:pt idx="30">
                  <c:v>0.96015067406819987</c:v>
                </c:pt>
                <c:pt idx="31">
                  <c:v>0.96015067406819987</c:v>
                </c:pt>
                <c:pt idx="32">
                  <c:v>0.96015067406819987</c:v>
                </c:pt>
                <c:pt idx="33">
                  <c:v>0.96015067406819987</c:v>
                </c:pt>
                <c:pt idx="34">
                  <c:v>0.96015067406819987</c:v>
                </c:pt>
                <c:pt idx="35">
                  <c:v>0.96015067406819987</c:v>
                </c:pt>
                <c:pt idx="36">
                  <c:v>0.96015067406819987</c:v>
                </c:pt>
                <c:pt idx="37">
                  <c:v>0.96015067406819987</c:v>
                </c:pt>
                <c:pt idx="38">
                  <c:v>0.96015067406819987</c:v>
                </c:pt>
                <c:pt idx="39">
                  <c:v>0.96015067406819987</c:v>
                </c:pt>
                <c:pt idx="40">
                  <c:v>0.96015067406819987</c:v>
                </c:pt>
                <c:pt idx="41">
                  <c:v>0.96015067406819987</c:v>
                </c:pt>
                <c:pt idx="42">
                  <c:v>0.96015067406819987</c:v>
                </c:pt>
                <c:pt idx="43">
                  <c:v>0.96015067406819987</c:v>
                </c:pt>
                <c:pt idx="44">
                  <c:v>0.96015067406819987</c:v>
                </c:pt>
                <c:pt idx="45">
                  <c:v>0.96015067406819987</c:v>
                </c:pt>
                <c:pt idx="46">
                  <c:v>0.96015067406819987</c:v>
                </c:pt>
                <c:pt idx="47">
                  <c:v>0.96015067406819987</c:v>
                </c:pt>
              </c:numCache>
            </c:numRef>
          </c:val>
          <c:smooth val="0"/>
        </c:ser>
        <c:ser>
          <c:idx val="0"/>
          <c:order val="3"/>
          <c:tx>
            <c:strRef>
              <c:f>Stroke!$A$376</c:f>
              <c:strCache>
                <c:ptCount val="1"/>
                <c:pt idx="0">
                  <c:v>Component Target (min)</c:v>
                </c:pt>
              </c:strCache>
            </c:strRef>
          </c:tx>
          <c:spPr>
            <a:ln w="25400">
              <a:solidFill>
                <a:srgbClr val="FF0000"/>
              </a:solidFill>
              <a:prstDash val="dash"/>
            </a:ln>
          </c:spPr>
          <c:marker>
            <c:symbol val="none"/>
          </c:marker>
          <c:dPt>
            <c:idx val="12"/>
            <c:bubble3D val="0"/>
            <c:spPr>
              <a:ln w="25400">
                <a:noFill/>
                <a:prstDash val="dash"/>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Stroke!$B$376:$AW$376</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45808896"/>
        <c:axId val="145854976"/>
      </c:lineChart>
      <c:dateAx>
        <c:axId val="14580889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5854976"/>
        <c:crosses val="autoZero"/>
        <c:auto val="1"/>
        <c:lblOffset val="100"/>
        <c:baseTimeUnit val="months"/>
      </c:dateAx>
      <c:valAx>
        <c:axId val="145854976"/>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5808896"/>
        <c:crosses val="autoZero"/>
        <c:crossBetween val="between"/>
      </c:valAx>
    </c:plotArea>
    <c:legend>
      <c:legendPos val="r"/>
      <c:layout>
        <c:manualLayout>
          <c:xMode val="edge"/>
          <c:yMode val="edge"/>
          <c:x val="2.9768467475192944E-2"/>
          <c:y val="0.9029982363315876"/>
          <c:w val="0.92322681274542995"/>
          <c:h val="9.700176366843034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651"/>
        </c:manualLayout>
      </c:layout>
      <c:lineChart>
        <c:grouping val="standard"/>
        <c:varyColors val="0"/>
        <c:ser>
          <c:idx val="1"/>
          <c:order val="0"/>
          <c:tx>
            <c:strRef>
              <c:f>Stroke!$A$395</c:f>
              <c:strCache>
                <c:ptCount val="1"/>
                <c:pt idx="0">
                  <c:v>Bundle Component 4 - Aspirin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Stroke!$B$395:$AW$395</c:f>
              <c:numCache>
                <c:formatCode>0.0%</c:formatCode>
                <c:ptCount val="48"/>
                <c:pt idx="0">
                  <c:v>0.92753623188405798</c:v>
                </c:pt>
                <c:pt idx="1">
                  <c:v>0.90909090909090906</c:v>
                </c:pt>
                <c:pt idx="2">
                  <c:v>0.95081967213114749</c:v>
                </c:pt>
                <c:pt idx="3">
                  <c:v>0.8771929824561403</c:v>
                </c:pt>
                <c:pt idx="4">
                  <c:v>0.94915254237288138</c:v>
                </c:pt>
                <c:pt idx="5">
                  <c:v>0.92063492063492058</c:v>
                </c:pt>
                <c:pt idx="6">
                  <c:v>0.9552238805970148</c:v>
                </c:pt>
                <c:pt idx="7">
                  <c:v>0.93827160493827155</c:v>
                </c:pt>
                <c:pt idx="8">
                  <c:v>0.9</c:v>
                </c:pt>
                <c:pt idx="9">
                  <c:v>0.93333333333333324</c:v>
                </c:pt>
                <c:pt idx="10">
                  <c:v>0.92300000000000004</c:v>
                </c:pt>
                <c:pt idx="11">
                  <c:v>0.81666666666666676</c:v>
                </c:pt>
                <c:pt idx="12">
                  <c:v>0.90700000000000003</c:v>
                </c:pt>
                <c:pt idx="13">
                  <c:v>0.93421052631578949</c:v>
                </c:pt>
                <c:pt idx="14">
                  <c:v>0.92400000000000004</c:v>
                </c:pt>
                <c:pt idx="15">
                  <c:v>0.92200000000000004</c:v>
                </c:pt>
                <c:pt idx="16">
                  <c:v>0.9285714285714286</c:v>
                </c:pt>
                <c:pt idx="17">
                  <c:v>0.90476190476190477</c:v>
                </c:pt>
                <c:pt idx="18">
                  <c:v>0.88461538461538458</c:v>
                </c:pt>
                <c:pt idx="19">
                  <c:v>0.8771929824561403</c:v>
                </c:pt>
                <c:pt idx="20">
                  <c:v>0.88749999999999996</c:v>
                </c:pt>
                <c:pt idx="21">
                  <c:v>0.9152542372881356</c:v>
                </c:pt>
                <c:pt idx="22">
                  <c:v>0.96226415094339623</c:v>
                </c:pt>
                <c:pt idx="23">
                  <c:v>0.92207792207792205</c:v>
                </c:pt>
                <c:pt idx="24">
                  <c:v>0.91891891891891897</c:v>
                </c:pt>
                <c:pt idx="25">
                  <c:v>0.90361445783132543</c:v>
                </c:pt>
                <c:pt idx="26">
                  <c:v>0.953125</c:v>
                </c:pt>
              </c:numCache>
            </c:numRef>
          </c:val>
          <c:smooth val="0"/>
        </c:ser>
        <c:ser>
          <c:idx val="2"/>
          <c:order val="1"/>
          <c:tx>
            <c:strRef>
              <c:f>Stroke!$A$397</c:f>
              <c:strCache>
                <c:ptCount val="1"/>
                <c:pt idx="0">
                  <c:v>Baseline Median</c:v>
                </c:pt>
              </c:strCache>
            </c:strRef>
          </c:tx>
          <c:spPr>
            <a:ln w="25400">
              <a:solidFill>
                <a:prstClr val="black"/>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Stroke!$B$397:$M$397</c:f>
              <c:numCache>
                <c:formatCode>0.0%</c:formatCode>
                <c:ptCount val="12"/>
                <c:pt idx="0">
                  <c:v>0.92526811594202907</c:v>
                </c:pt>
                <c:pt idx="1">
                  <c:v>0.92526811594202907</c:v>
                </c:pt>
                <c:pt idx="2">
                  <c:v>0.92526811594202907</c:v>
                </c:pt>
                <c:pt idx="3">
                  <c:v>0.92526811594202907</c:v>
                </c:pt>
                <c:pt idx="4">
                  <c:v>0.92526811594202907</c:v>
                </c:pt>
                <c:pt idx="5">
                  <c:v>0.92526811594202907</c:v>
                </c:pt>
                <c:pt idx="6">
                  <c:v>0.92526811594202907</c:v>
                </c:pt>
                <c:pt idx="7">
                  <c:v>0.92526811594202907</c:v>
                </c:pt>
                <c:pt idx="8">
                  <c:v>0.92526811594202907</c:v>
                </c:pt>
                <c:pt idx="9">
                  <c:v>0.92526811594202907</c:v>
                </c:pt>
                <c:pt idx="10">
                  <c:v>0.92526811594202907</c:v>
                </c:pt>
                <c:pt idx="11">
                  <c:v>0.92526811594202907</c:v>
                </c:pt>
              </c:numCache>
            </c:numRef>
          </c:val>
          <c:smooth val="0"/>
        </c:ser>
        <c:ser>
          <c:idx val="3"/>
          <c:order val="2"/>
          <c:tx>
            <c:strRef>
              <c:f>Stroke!$A$398</c:f>
              <c:strCache>
                <c:ptCount val="1"/>
                <c:pt idx="0">
                  <c:v>Extended Baseline Median</c:v>
                </c:pt>
              </c:strCache>
            </c:strRef>
          </c:tx>
          <c:spPr>
            <a:ln w="25400">
              <a:solidFill>
                <a:prstClr val="black"/>
              </a:solidFill>
              <a:prstDash val="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Stroke!$B$398:$AW$398</c:f>
              <c:numCache>
                <c:formatCode>General</c:formatCode>
                <c:ptCount val="48"/>
                <c:pt idx="11" formatCode="0.0%">
                  <c:v>0.92526811594202907</c:v>
                </c:pt>
                <c:pt idx="12" formatCode="0.0%">
                  <c:v>0.92526811594202907</c:v>
                </c:pt>
                <c:pt idx="13" formatCode="0.0%">
                  <c:v>0.92526811594202907</c:v>
                </c:pt>
                <c:pt idx="14" formatCode="0.0%">
                  <c:v>0.92526811594202907</c:v>
                </c:pt>
                <c:pt idx="15" formatCode="0.0%">
                  <c:v>0.92526811594202907</c:v>
                </c:pt>
                <c:pt idx="16" formatCode="0.0%">
                  <c:v>0.92526811594202907</c:v>
                </c:pt>
                <c:pt idx="17" formatCode="0.0%">
                  <c:v>0.92526811594202907</c:v>
                </c:pt>
                <c:pt idx="18" formatCode="0.0%">
                  <c:v>0.92526811594202907</c:v>
                </c:pt>
                <c:pt idx="19" formatCode="0.0%">
                  <c:v>0.92526811594202907</c:v>
                </c:pt>
                <c:pt idx="20" formatCode="0.0%">
                  <c:v>0.92526811594202907</c:v>
                </c:pt>
                <c:pt idx="21" formatCode="0.0%">
                  <c:v>0.92526811594202907</c:v>
                </c:pt>
                <c:pt idx="22" formatCode="0.0%">
                  <c:v>0.92526811594202907</c:v>
                </c:pt>
                <c:pt idx="23" formatCode="0.0%">
                  <c:v>0.92526811594202907</c:v>
                </c:pt>
                <c:pt idx="24" formatCode="0.0%">
                  <c:v>0.92526811594202907</c:v>
                </c:pt>
                <c:pt idx="25" formatCode="0.0%">
                  <c:v>0.92526811594202907</c:v>
                </c:pt>
                <c:pt idx="26" formatCode="0.0%">
                  <c:v>0.92526811594202907</c:v>
                </c:pt>
                <c:pt idx="27" formatCode="0.0%">
                  <c:v>0.92526811594202907</c:v>
                </c:pt>
                <c:pt idx="28" formatCode="0.0%">
                  <c:v>0.92526811594202907</c:v>
                </c:pt>
                <c:pt idx="29" formatCode="0.0%">
                  <c:v>0.92526811594202907</c:v>
                </c:pt>
                <c:pt idx="30" formatCode="0.0%">
                  <c:v>0.92526811594202907</c:v>
                </c:pt>
                <c:pt idx="31" formatCode="0.0%">
                  <c:v>0.92526811594202907</c:v>
                </c:pt>
                <c:pt idx="32" formatCode="0.0%">
                  <c:v>0.92526811594202907</c:v>
                </c:pt>
                <c:pt idx="33" formatCode="0.0%">
                  <c:v>0.92526811594202907</c:v>
                </c:pt>
                <c:pt idx="34" formatCode="0.0%">
                  <c:v>0.92526811594202907</c:v>
                </c:pt>
                <c:pt idx="35" formatCode="0.0%">
                  <c:v>0.92526811594202907</c:v>
                </c:pt>
                <c:pt idx="36" formatCode="0.0%">
                  <c:v>0.92526811594202907</c:v>
                </c:pt>
                <c:pt idx="37" formatCode="0.0%">
                  <c:v>0.92526811594202907</c:v>
                </c:pt>
                <c:pt idx="38" formatCode="0.0%">
                  <c:v>0.92526811594202907</c:v>
                </c:pt>
                <c:pt idx="39" formatCode="0.0%">
                  <c:v>0.92526811594202907</c:v>
                </c:pt>
                <c:pt idx="40" formatCode="0.0%">
                  <c:v>0.92526811594202907</c:v>
                </c:pt>
                <c:pt idx="41" formatCode="0.0%">
                  <c:v>0.92526811594202907</c:v>
                </c:pt>
                <c:pt idx="42" formatCode="0.0%">
                  <c:v>0.92526811594202907</c:v>
                </c:pt>
                <c:pt idx="43" formatCode="0.0%">
                  <c:v>0.92526811594202907</c:v>
                </c:pt>
                <c:pt idx="44" formatCode="0.0%">
                  <c:v>0.92526811594202907</c:v>
                </c:pt>
                <c:pt idx="45" formatCode="0.0%">
                  <c:v>0.92526811594202907</c:v>
                </c:pt>
                <c:pt idx="46" formatCode="0.0%">
                  <c:v>0.92526811594202907</c:v>
                </c:pt>
                <c:pt idx="47" formatCode="0.0%">
                  <c:v>0.92526811594202907</c:v>
                </c:pt>
              </c:numCache>
            </c:numRef>
          </c:val>
          <c:smooth val="0"/>
        </c:ser>
        <c:ser>
          <c:idx val="0"/>
          <c:order val="3"/>
          <c:tx>
            <c:strRef>
              <c:f>Stroke!$A$396</c:f>
              <c:strCache>
                <c:ptCount val="1"/>
                <c:pt idx="0">
                  <c:v>Component Target (min)</c:v>
                </c:pt>
              </c:strCache>
            </c:strRef>
          </c:tx>
          <c:spPr>
            <a:ln w="25400">
              <a:solidFill>
                <a:srgbClr val="FF0000"/>
              </a:solidFill>
              <a:prstDash val="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Stroke!$B$396:$AW$396</c:f>
              <c:numCache>
                <c:formatCode>0.0%</c:formatCode>
                <c:ptCount val="48"/>
                <c:pt idx="0">
                  <c:v>0.95</c:v>
                </c:pt>
                <c:pt idx="1">
                  <c:v>0.95</c:v>
                </c:pt>
                <c:pt idx="2">
                  <c:v>0.95</c:v>
                </c:pt>
                <c:pt idx="3">
                  <c:v>0.95</c:v>
                </c:pt>
                <c:pt idx="4">
                  <c:v>0.95</c:v>
                </c:pt>
                <c:pt idx="5">
                  <c:v>0.95</c:v>
                </c:pt>
                <c:pt idx="6">
                  <c:v>0.95</c:v>
                </c:pt>
                <c:pt idx="7">
                  <c:v>0.95</c:v>
                </c:pt>
                <c:pt idx="8">
                  <c:v>0.95</c:v>
                </c:pt>
                <c:pt idx="9">
                  <c:v>0.95</c:v>
                </c:pt>
                <c:pt idx="10">
                  <c:v>0.95</c:v>
                </c:pt>
                <c:pt idx="11">
                  <c:v>0.95</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46604544"/>
        <c:axId val="145857280"/>
      </c:lineChart>
      <c:dateAx>
        <c:axId val="14660454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5857280"/>
        <c:crosses val="autoZero"/>
        <c:auto val="1"/>
        <c:lblOffset val="100"/>
        <c:baseTimeUnit val="months"/>
      </c:dateAx>
      <c:valAx>
        <c:axId val="145857280"/>
        <c:scaling>
          <c:orientation val="minMax"/>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6604544"/>
        <c:crosses val="autoZero"/>
        <c:crossBetween val="between"/>
      </c:valAx>
    </c:plotArea>
    <c:legend>
      <c:legendPos val="r"/>
      <c:layout>
        <c:manualLayout>
          <c:xMode val="edge"/>
          <c:yMode val="edge"/>
          <c:x val="4.5938993017273104E-2"/>
          <c:y val="0.9029982363315876"/>
          <c:w val="0.8929658213892"/>
          <c:h val="9.700176366843034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684"/>
        </c:manualLayout>
      </c:layout>
      <c:lineChart>
        <c:grouping val="standard"/>
        <c:varyColors val="0"/>
        <c:ser>
          <c:idx val="1"/>
          <c:order val="0"/>
          <c:tx>
            <c:strRef>
              <c:f>Stroke!$A$17</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Stroke!$B$17:$AW$17</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0.61702127659574468</c:v>
                </c:pt>
                <c:pt idx="21">
                  <c:v>0.71186440677966101</c:v>
                </c:pt>
                <c:pt idx="22">
                  <c:v>0.72549019607843135</c:v>
                </c:pt>
                <c:pt idx="23">
                  <c:v>0.77372262773722644</c:v>
                </c:pt>
                <c:pt idx="24">
                  <c:v>0.6328125</c:v>
                </c:pt>
                <c:pt idx="25">
                  <c:v>0.73722627737226276</c:v>
                </c:pt>
                <c:pt idx="26">
                  <c:v>0.74436090225563911</c:v>
                </c:pt>
              </c:numCache>
            </c:numRef>
          </c:val>
          <c:smooth val="0"/>
        </c:ser>
        <c:ser>
          <c:idx val="0"/>
          <c:order val="1"/>
          <c:tx>
            <c:strRef>
              <c:f>Stroke!$A$22</c:f>
              <c:strCache>
                <c:ptCount val="1"/>
                <c:pt idx="0">
                  <c:v>Bundle Target (min)</c:v>
                </c:pt>
              </c:strCache>
            </c:strRef>
          </c:tx>
          <c:spPr>
            <a:ln w="25400">
              <a:solidFill>
                <a:srgbClr val="FF0000"/>
              </a:solidFill>
              <a:prstDash val="dash"/>
            </a:ln>
          </c:spPr>
          <c:marker>
            <c:symbol val="none"/>
          </c:marker>
          <c:dPt>
            <c:idx val="12"/>
            <c:bubble3D val="0"/>
            <c:spPr>
              <a:ln w="25400">
                <a:noFill/>
                <a:prstDash val="dash"/>
              </a:ln>
            </c:spPr>
          </c:dPt>
          <c:dPt>
            <c:idx val="21"/>
            <c:bubble3D val="0"/>
            <c:spPr>
              <a:ln w="25400">
                <a:noFill/>
                <a:prstDash val="dash"/>
              </a:ln>
            </c:spPr>
          </c:dPt>
          <c:dPt>
            <c:idx val="24"/>
            <c:bubble3D val="0"/>
            <c:spPr>
              <a:ln w="25400">
                <a:noFill/>
                <a:prstDash val="dash"/>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ser>
          <c:idx val="2"/>
          <c:order val="2"/>
          <c:tx>
            <c:strRef>
              <c:f>Stroke!$A$23</c:f>
              <c:strCache>
                <c:ptCount val="1"/>
                <c:pt idx="0">
                  <c:v>Baseline Median</c:v>
                </c:pt>
              </c:strCache>
            </c:strRef>
          </c:tx>
          <c:spPr>
            <a:ln w="25400">
              <a:solidFill>
                <a:schemeClr val="tx1"/>
              </a:solidFill>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Stroke!$B$23:$Y$23</c:f>
              <c:numCache>
                <c:formatCode>0.0%</c:formatCode>
                <c:ptCount val="24"/>
                <c:pt idx="12">
                  <c:v>0.70243220338983048</c:v>
                </c:pt>
                <c:pt idx="13">
                  <c:v>0.70243220338983048</c:v>
                </c:pt>
                <c:pt idx="14">
                  <c:v>0.70243220338983048</c:v>
                </c:pt>
                <c:pt idx="15">
                  <c:v>0.70243220338983048</c:v>
                </c:pt>
                <c:pt idx="16">
                  <c:v>0.70243220338983048</c:v>
                </c:pt>
                <c:pt idx="17">
                  <c:v>0.70243220338983048</c:v>
                </c:pt>
                <c:pt idx="18">
                  <c:v>0.70243220338983048</c:v>
                </c:pt>
                <c:pt idx="19">
                  <c:v>0.70243220338983048</c:v>
                </c:pt>
                <c:pt idx="20">
                  <c:v>0.70243220338983048</c:v>
                </c:pt>
                <c:pt idx="21">
                  <c:v>0.70243220338983048</c:v>
                </c:pt>
                <c:pt idx="22">
                  <c:v>0.70243220338983048</c:v>
                </c:pt>
                <c:pt idx="23">
                  <c:v>0.70243220338983048</c:v>
                </c:pt>
              </c:numCache>
            </c:numRef>
          </c:val>
          <c:smooth val="0"/>
        </c:ser>
        <c:ser>
          <c:idx val="3"/>
          <c:order val="3"/>
          <c:tx>
            <c:strRef>
              <c:f>Stroke!$A$24</c:f>
              <c:strCache>
                <c:ptCount val="1"/>
                <c:pt idx="0">
                  <c:v>Extended Baseline Median</c:v>
                </c:pt>
              </c:strCache>
            </c:strRef>
          </c:tx>
          <c:spPr>
            <a:ln w="25400">
              <a:solidFill>
                <a:schemeClr val="tx1"/>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Stroke!$B$24:$AW$24</c:f>
              <c:numCache>
                <c:formatCode>0.0%</c:formatCode>
                <c:ptCount val="48"/>
                <c:pt idx="23">
                  <c:v>0.70243220338983048</c:v>
                </c:pt>
                <c:pt idx="24">
                  <c:v>0.70243220338983048</c:v>
                </c:pt>
                <c:pt idx="25">
                  <c:v>0.70243220338983048</c:v>
                </c:pt>
                <c:pt idx="26">
                  <c:v>0.70243220338983048</c:v>
                </c:pt>
                <c:pt idx="27">
                  <c:v>0.70243220338983048</c:v>
                </c:pt>
                <c:pt idx="28">
                  <c:v>0.70243220338983048</c:v>
                </c:pt>
                <c:pt idx="29">
                  <c:v>0.70243220338983048</c:v>
                </c:pt>
                <c:pt idx="30">
                  <c:v>0.70243220338983048</c:v>
                </c:pt>
                <c:pt idx="31">
                  <c:v>0.70243220338983048</c:v>
                </c:pt>
                <c:pt idx="32">
                  <c:v>0.70243220338983048</c:v>
                </c:pt>
                <c:pt idx="33">
                  <c:v>0.70243220338983048</c:v>
                </c:pt>
                <c:pt idx="34">
                  <c:v>0.70243220338983048</c:v>
                </c:pt>
                <c:pt idx="35">
                  <c:v>0.70243220338983048</c:v>
                </c:pt>
                <c:pt idx="36">
                  <c:v>0.70243220338983048</c:v>
                </c:pt>
                <c:pt idx="37">
                  <c:v>0.70243220338983048</c:v>
                </c:pt>
                <c:pt idx="38">
                  <c:v>0.70243220338983048</c:v>
                </c:pt>
                <c:pt idx="39">
                  <c:v>0.70243220338983048</c:v>
                </c:pt>
                <c:pt idx="40">
                  <c:v>0.70243220338983048</c:v>
                </c:pt>
                <c:pt idx="41">
                  <c:v>0.70243220338983048</c:v>
                </c:pt>
                <c:pt idx="42">
                  <c:v>0.70243220338983048</c:v>
                </c:pt>
                <c:pt idx="43">
                  <c:v>0.70243220338983048</c:v>
                </c:pt>
                <c:pt idx="44">
                  <c:v>0.70243220338983048</c:v>
                </c:pt>
                <c:pt idx="45">
                  <c:v>0.70243220338983048</c:v>
                </c:pt>
                <c:pt idx="46">
                  <c:v>0.70243220338983048</c:v>
                </c:pt>
                <c:pt idx="47">
                  <c:v>0.70243220338983048</c:v>
                </c:pt>
              </c:numCache>
            </c:numRef>
          </c:val>
          <c:smooth val="0"/>
        </c:ser>
        <c:dLbls>
          <c:showLegendKey val="0"/>
          <c:showVal val="0"/>
          <c:showCatName val="0"/>
          <c:showSerName val="0"/>
          <c:showPercent val="0"/>
          <c:showBubbleSize val="0"/>
        </c:dLbls>
        <c:marker val="1"/>
        <c:smooth val="0"/>
        <c:axId val="146605568"/>
        <c:axId val="147465920"/>
      </c:lineChart>
      <c:dateAx>
        <c:axId val="14660556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7465920"/>
        <c:crosses val="autoZero"/>
        <c:auto val="1"/>
        <c:lblOffset val="100"/>
        <c:baseTimeUnit val="months"/>
      </c:dateAx>
      <c:valAx>
        <c:axId val="147465920"/>
        <c:scaling>
          <c:orientation val="minMax"/>
          <c:max val="1"/>
          <c:min val="0.5"/>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6605568"/>
        <c:crosses val="autoZero"/>
        <c:crossBetween val="between"/>
        <c:majorUnit val="5.0000000000000024E-2"/>
      </c:valAx>
    </c:plotArea>
    <c:legend>
      <c:legendPos val="r"/>
      <c:layout>
        <c:manualLayout>
          <c:xMode val="edge"/>
          <c:yMode val="edge"/>
          <c:x val="2.6828371922087476E-2"/>
          <c:y val="0.90299823633157295"/>
          <c:w val="0.95511990438901861"/>
          <c:h val="8.641975308641967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684"/>
        </c:manualLayout>
      </c:layout>
      <c:lineChart>
        <c:grouping val="standard"/>
        <c:varyColors val="0"/>
        <c:ser>
          <c:idx val="1"/>
          <c:order val="0"/>
          <c:tx>
            <c:strRef>
              <c:f>Stroke!$A$321</c:f>
              <c:strCache>
                <c:ptCount val="1"/>
                <c:pt idx="0">
                  <c:v>Number of initial stroke patients receiving appropriate bundle of care</c:v>
                </c:pt>
              </c:strCache>
            </c:strRef>
          </c:tx>
          <c:spPr>
            <a:ln w="25400">
              <a:solidFill>
                <a:srgbClr val="0070C0"/>
              </a:solidFill>
            </a:ln>
          </c:spPr>
          <c:marker>
            <c:symbol val="circle"/>
            <c:size val="4"/>
            <c:spPr>
              <a:solidFill>
                <a:srgbClr val="0070C0"/>
              </a:solidFill>
              <a:ln w="25400">
                <a:solidFill>
                  <a:srgbClr val="0070C0"/>
                </a:solidFill>
              </a:ln>
            </c:spPr>
          </c:marker>
          <c:dPt>
            <c:idx val="1"/>
            <c:bubble3D val="0"/>
            <c:spPr>
              <a:ln w="25400">
                <a:solidFill>
                  <a:srgbClr val="00B050"/>
                </a:solidFill>
              </a:ln>
            </c:spPr>
          </c:dPt>
          <c:dPt>
            <c:idx val="2"/>
            <c:bubble3D val="0"/>
            <c:spPr>
              <a:ln w="25400">
                <a:solidFill>
                  <a:srgbClr val="00B050"/>
                </a:solidFill>
              </a:ln>
            </c:spPr>
          </c:dPt>
          <c:dPt>
            <c:idx val="3"/>
            <c:marker>
              <c:spPr>
                <a:solidFill>
                  <a:srgbClr val="0066CC"/>
                </a:solidFill>
                <a:ln w="25400">
                  <a:solidFill>
                    <a:srgbClr val="0070C0"/>
                  </a:solidFill>
                </a:ln>
              </c:spPr>
            </c:marker>
            <c:bubble3D val="0"/>
            <c:spPr>
              <a:ln w="25400">
                <a:solidFill>
                  <a:srgbClr val="00B050"/>
                </a:solidFill>
              </a:ln>
            </c:spPr>
          </c:dPt>
          <c:dPt>
            <c:idx val="4"/>
            <c:bubble3D val="0"/>
            <c:spPr>
              <a:ln w="25400">
                <a:solidFill>
                  <a:srgbClr val="00B050"/>
                </a:solidFill>
              </a:ln>
            </c:spPr>
          </c:dPt>
          <c:dPt>
            <c:idx val="5"/>
            <c:bubble3D val="0"/>
            <c:spPr>
              <a:ln w="25400">
                <a:solidFill>
                  <a:srgbClr val="00B050"/>
                </a:solidFill>
              </a:ln>
            </c:spPr>
          </c:dPt>
          <c:dPt>
            <c:idx val="12"/>
            <c:bubble3D val="0"/>
            <c:spPr>
              <a:ln w="25400">
                <a:noFill/>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Stroke!$B$321:$AW$321</c:f>
              <c:numCache>
                <c:formatCode>0</c:formatCode>
                <c:ptCount val="48"/>
                <c:pt idx="0">
                  <c:v>73</c:v>
                </c:pt>
                <c:pt idx="1">
                  <c:v>74</c:v>
                </c:pt>
                <c:pt idx="2">
                  <c:v>56</c:v>
                </c:pt>
                <c:pt idx="3">
                  <c:v>50</c:v>
                </c:pt>
                <c:pt idx="4">
                  <c:v>66</c:v>
                </c:pt>
                <c:pt idx="5">
                  <c:v>69</c:v>
                </c:pt>
                <c:pt idx="6">
                  <c:v>94</c:v>
                </c:pt>
                <c:pt idx="7">
                  <c:v>84</c:v>
                </c:pt>
                <c:pt idx="8">
                  <c:v>67</c:v>
                </c:pt>
                <c:pt idx="9">
                  <c:v>87</c:v>
                </c:pt>
                <c:pt idx="10">
                  <c:v>78</c:v>
                </c:pt>
                <c:pt idx="11">
                  <c:v>67</c:v>
                </c:pt>
                <c:pt idx="12">
                  <c:v>76</c:v>
                </c:pt>
                <c:pt idx="13">
                  <c:v>68</c:v>
                </c:pt>
                <c:pt idx="14">
                  <c:v>90</c:v>
                </c:pt>
                <c:pt idx="15">
                  <c:v>88</c:v>
                </c:pt>
                <c:pt idx="16">
                  <c:v>88</c:v>
                </c:pt>
                <c:pt idx="17">
                  <c:v>88</c:v>
                </c:pt>
                <c:pt idx="18">
                  <c:v>81</c:v>
                </c:pt>
                <c:pt idx="19">
                  <c:v>78</c:v>
                </c:pt>
                <c:pt idx="20">
                  <c:v>87</c:v>
                </c:pt>
                <c:pt idx="21">
                  <c:v>84</c:v>
                </c:pt>
                <c:pt idx="22">
                  <c:v>74</c:v>
                </c:pt>
                <c:pt idx="23">
                  <c:v>106</c:v>
                </c:pt>
                <c:pt idx="24">
                  <c:v>81</c:v>
                </c:pt>
                <c:pt idx="25">
                  <c:v>101</c:v>
                </c:pt>
                <c:pt idx="26">
                  <c:v>99</c:v>
                </c:pt>
              </c:numCache>
            </c:numRef>
          </c:val>
          <c:smooth val="0"/>
        </c:ser>
        <c:ser>
          <c:idx val="2"/>
          <c:order val="1"/>
          <c:tx>
            <c:strRef>
              <c:f>Stroke!$A$326</c:f>
              <c:strCache>
                <c:ptCount val="1"/>
                <c:pt idx="0">
                  <c:v>Mean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Stroke!$B$326:$AW$326</c:f>
              <c:numCache>
                <c:formatCode>0</c:formatCode>
                <c:ptCount val="48"/>
                <c:pt idx="0">
                  <c:v>79.777777777777771</c:v>
                </c:pt>
                <c:pt idx="1">
                  <c:v>79.777777777777771</c:v>
                </c:pt>
                <c:pt idx="2">
                  <c:v>79.777777777777771</c:v>
                </c:pt>
                <c:pt idx="3">
                  <c:v>79.777777777777771</c:v>
                </c:pt>
                <c:pt idx="4">
                  <c:v>79.777777777777771</c:v>
                </c:pt>
                <c:pt idx="5">
                  <c:v>79.777777777777771</c:v>
                </c:pt>
                <c:pt idx="6">
                  <c:v>79.777777777777771</c:v>
                </c:pt>
                <c:pt idx="7">
                  <c:v>79.777777777777771</c:v>
                </c:pt>
                <c:pt idx="8">
                  <c:v>79.777777777777771</c:v>
                </c:pt>
                <c:pt idx="9">
                  <c:v>79.777777777777771</c:v>
                </c:pt>
                <c:pt idx="10">
                  <c:v>79.777777777777771</c:v>
                </c:pt>
                <c:pt idx="11">
                  <c:v>79.777777777777771</c:v>
                </c:pt>
                <c:pt idx="12">
                  <c:v>79.777777777777771</c:v>
                </c:pt>
                <c:pt idx="13">
                  <c:v>79.777777777777771</c:v>
                </c:pt>
                <c:pt idx="14">
                  <c:v>79.777777777777771</c:v>
                </c:pt>
                <c:pt idx="15">
                  <c:v>79.777777777777771</c:v>
                </c:pt>
                <c:pt idx="16">
                  <c:v>79.777777777777771</c:v>
                </c:pt>
                <c:pt idx="17">
                  <c:v>79.777777777777771</c:v>
                </c:pt>
                <c:pt idx="18">
                  <c:v>79.777777777777771</c:v>
                </c:pt>
                <c:pt idx="19">
                  <c:v>79.777777777777771</c:v>
                </c:pt>
                <c:pt idx="20">
                  <c:v>79.777777777777771</c:v>
                </c:pt>
                <c:pt idx="21">
                  <c:v>79.777777777777771</c:v>
                </c:pt>
                <c:pt idx="22">
                  <c:v>79.777777777777771</c:v>
                </c:pt>
                <c:pt idx="23">
                  <c:v>79.777777777777771</c:v>
                </c:pt>
                <c:pt idx="24">
                  <c:v>79.777777777777771</c:v>
                </c:pt>
                <c:pt idx="25">
                  <c:v>79.777777777777771</c:v>
                </c:pt>
                <c:pt idx="26">
                  <c:v>79.777777777777771</c:v>
                </c:pt>
                <c:pt idx="27">
                  <c:v>79.777777777777771</c:v>
                </c:pt>
                <c:pt idx="28">
                  <c:v>79.777777777777771</c:v>
                </c:pt>
                <c:pt idx="29">
                  <c:v>79.777777777777771</c:v>
                </c:pt>
                <c:pt idx="30">
                  <c:v>79.777777777777771</c:v>
                </c:pt>
                <c:pt idx="31">
                  <c:v>79.777777777777771</c:v>
                </c:pt>
                <c:pt idx="32">
                  <c:v>79.777777777777771</c:v>
                </c:pt>
                <c:pt idx="33">
                  <c:v>79.777777777777771</c:v>
                </c:pt>
                <c:pt idx="34">
                  <c:v>79.777777777777771</c:v>
                </c:pt>
                <c:pt idx="35">
                  <c:v>79.777777777777771</c:v>
                </c:pt>
                <c:pt idx="36">
                  <c:v>79.777777777777771</c:v>
                </c:pt>
                <c:pt idx="37">
                  <c:v>79.777777777777771</c:v>
                </c:pt>
                <c:pt idx="38">
                  <c:v>79.777777777777771</c:v>
                </c:pt>
                <c:pt idx="39">
                  <c:v>79.777777777777771</c:v>
                </c:pt>
                <c:pt idx="40">
                  <c:v>79.777777777777771</c:v>
                </c:pt>
                <c:pt idx="41">
                  <c:v>79.777777777777771</c:v>
                </c:pt>
                <c:pt idx="42">
                  <c:v>79.777777777777771</c:v>
                </c:pt>
                <c:pt idx="43">
                  <c:v>79.777777777777771</c:v>
                </c:pt>
                <c:pt idx="44">
                  <c:v>79.777777777777771</c:v>
                </c:pt>
                <c:pt idx="45">
                  <c:v>79.777777777777771</c:v>
                </c:pt>
                <c:pt idx="46">
                  <c:v>79.777777777777771</c:v>
                </c:pt>
                <c:pt idx="47">
                  <c:v>79.777777777777771</c:v>
                </c:pt>
              </c:numCache>
            </c:numRef>
          </c:val>
          <c:smooth val="0"/>
        </c:ser>
        <c:ser>
          <c:idx val="3"/>
          <c:order val="2"/>
          <c:tx>
            <c:strRef>
              <c:f>Stroke!$A$329</c:f>
              <c:strCache>
                <c:ptCount val="1"/>
                <c:pt idx="0">
                  <c:v>Upper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Stroke!$B$329:$AW$329</c:f>
              <c:numCache>
                <c:formatCode>0</c:formatCode>
                <c:ptCount val="48"/>
                <c:pt idx="0">
                  <c:v>114.59402535998281</c:v>
                </c:pt>
                <c:pt idx="1">
                  <c:v>114.59402535998281</c:v>
                </c:pt>
                <c:pt idx="2">
                  <c:v>114.59402535998281</c:v>
                </c:pt>
                <c:pt idx="3">
                  <c:v>114.59402535998281</c:v>
                </c:pt>
                <c:pt idx="4">
                  <c:v>114.59402535998281</c:v>
                </c:pt>
                <c:pt idx="5">
                  <c:v>114.59402535998281</c:v>
                </c:pt>
                <c:pt idx="6">
                  <c:v>114.59402535998281</c:v>
                </c:pt>
                <c:pt idx="7">
                  <c:v>114.59402535998281</c:v>
                </c:pt>
                <c:pt idx="8">
                  <c:v>114.59402535998281</c:v>
                </c:pt>
                <c:pt idx="9">
                  <c:v>114.59402535998281</c:v>
                </c:pt>
                <c:pt idx="10">
                  <c:v>114.59402535998281</c:v>
                </c:pt>
                <c:pt idx="11">
                  <c:v>114.59402535998281</c:v>
                </c:pt>
                <c:pt idx="12">
                  <c:v>114.59402535998281</c:v>
                </c:pt>
                <c:pt idx="13">
                  <c:v>114.59402535998281</c:v>
                </c:pt>
                <c:pt idx="14">
                  <c:v>114.59402535998281</c:v>
                </c:pt>
                <c:pt idx="15">
                  <c:v>114.59402535998281</c:v>
                </c:pt>
                <c:pt idx="16">
                  <c:v>114.59402535998281</c:v>
                </c:pt>
                <c:pt idx="17">
                  <c:v>114.59402535998281</c:v>
                </c:pt>
                <c:pt idx="18">
                  <c:v>114.59402535998281</c:v>
                </c:pt>
                <c:pt idx="19">
                  <c:v>114.59402535998281</c:v>
                </c:pt>
                <c:pt idx="20">
                  <c:v>114.59402535998281</c:v>
                </c:pt>
                <c:pt idx="21">
                  <c:v>114.59402535998281</c:v>
                </c:pt>
                <c:pt idx="22">
                  <c:v>114.59402535998281</c:v>
                </c:pt>
                <c:pt idx="23">
                  <c:v>114.59402535998281</c:v>
                </c:pt>
                <c:pt idx="24">
                  <c:v>114.59402535998281</c:v>
                </c:pt>
                <c:pt idx="25">
                  <c:v>114.59402535998281</c:v>
                </c:pt>
                <c:pt idx="26">
                  <c:v>114.59402535998281</c:v>
                </c:pt>
                <c:pt idx="27">
                  <c:v>114.59402535998281</c:v>
                </c:pt>
                <c:pt idx="28">
                  <c:v>114.59402535998281</c:v>
                </c:pt>
                <c:pt idx="29">
                  <c:v>114.59402535998281</c:v>
                </c:pt>
                <c:pt idx="30">
                  <c:v>114.59402535998281</c:v>
                </c:pt>
                <c:pt idx="31">
                  <c:v>114.59402535998281</c:v>
                </c:pt>
                <c:pt idx="32">
                  <c:v>114.59402535998281</c:v>
                </c:pt>
                <c:pt idx="33">
                  <c:v>114.59402535998281</c:v>
                </c:pt>
                <c:pt idx="34">
                  <c:v>114.59402535998281</c:v>
                </c:pt>
                <c:pt idx="35">
                  <c:v>114.59402535998281</c:v>
                </c:pt>
                <c:pt idx="36">
                  <c:v>114.59402535998281</c:v>
                </c:pt>
                <c:pt idx="37">
                  <c:v>114.59402535998281</c:v>
                </c:pt>
                <c:pt idx="38">
                  <c:v>114.59402535998281</c:v>
                </c:pt>
                <c:pt idx="39">
                  <c:v>114.59402535998281</c:v>
                </c:pt>
                <c:pt idx="40">
                  <c:v>114.59402535998281</c:v>
                </c:pt>
                <c:pt idx="41">
                  <c:v>114.59402535998281</c:v>
                </c:pt>
                <c:pt idx="42">
                  <c:v>114.59402535998281</c:v>
                </c:pt>
                <c:pt idx="43">
                  <c:v>114.59402535998281</c:v>
                </c:pt>
                <c:pt idx="44">
                  <c:v>114.59402535998281</c:v>
                </c:pt>
                <c:pt idx="45">
                  <c:v>114.59402535998281</c:v>
                </c:pt>
                <c:pt idx="46">
                  <c:v>114.59402535998281</c:v>
                </c:pt>
                <c:pt idx="47">
                  <c:v>114.59402535998281</c:v>
                </c:pt>
              </c:numCache>
            </c:numRef>
          </c:val>
          <c:smooth val="0"/>
        </c:ser>
        <c:ser>
          <c:idx val="4"/>
          <c:order val="3"/>
          <c:tx>
            <c:strRef>
              <c:f>Stroke!$A$330</c:f>
              <c:strCache>
                <c:ptCount val="1"/>
                <c:pt idx="0">
                  <c:v>Lower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Stroke!$B$330:$AW$330</c:f>
              <c:numCache>
                <c:formatCode>0</c:formatCode>
                <c:ptCount val="48"/>
                <c:pt idx="0">
                  <c:v>44.961530195572735</c:v>
                </c:pt>
                <c:pt idx="1">
                  <c:v>44.961530195572735</c:v>
                </c:pt>
                <c:pt idx="2">
                  <c:v>44.961530195572735</c:v>
                </c:pt>
                <c:pt idx="3">
                  <c:v>44.961530195572735</c:v>
                </c:pt>
                <c:pt idx="4">
                  <c:v>44.961530195572735</c:v>
                </c:pt>
                <c:pt idx="5">
                  <c:v>44.961530195572735</c:v>
                </c:pt>
                <c:pt idx="6">
                  <c:v>44.961530195572735</c:v>
                </c:pt>
                <c:pt idx="7">
                  <c:v>44.961530195572735</c:v>
                </c:pt>
                <c:pt idx="8">
                  <c:v>44.961530195572735</c:v>
                </c:pt>
                <c:pt idx="9">
                  <c:v>44.961530195572735</c:v>
                </c:pt>
                <c:pt idx="10">
                  <c:v>44.961530195572735</c:v>
                </c:pt>
                <c:pt idx="11">
                  <c:v>44.961530195572735</c:v>
                </c:pt>
                <c:pt idx="12">
                  <c:v>44.961530195572735</c:v>
                </c:pt>
                <c:pt idx="13">
                  <c:v>44.961530195572735</c:v>
                </c:pt>
                <c:pt idx="14">
                  <c:v>44.961530195572735</c:v>
                </c:pt>
                <c:pt idx="15">
                  <c:v>44.961530195572735</c:v>
                </c:pt>
                <c:pt idx="16">
                  <c:v>44.961530195572735</c:v>
                </c:pt>
                <c:pt idx="17">
                  <c:v>44.961530195572735</c:v>
                </c:pt>
                <c:pt idx="18">
                  <c:v>44.961530195572735</c:v>
                </c:pt>
                <c:pt idx="19">
                  <c:v>44.961530195572735</c:v>
                </c:pt>
                <c:pt idx="20">
                  <c:v>44.961530195572735</c:v>
                </c:pt>
                <c:pt idx="21">
                  <c:v>44.961530195572735</c:v>
                </c:pt>
                <c:pt idx="22">
                  <c:v>44.961530195572735</c:v>
                </c:pt>
                <c:pt idx="23">
                  <c:v>44.961530195572735</c:v>
                </c:pt>
                <c:pt idx="24">
                  <c:v>44.961530195572735</c:v>
                </c:pt>
                <c:pt idx="25">
                  <c:v>44.961530195572735</c:v>
                </c:pt>
                <c:pt idx="26">
                  <c:v>44.961530195572735</c:v>
                </c:pt>
                <c:pt idx="27">
                  <c:v>44.961530195572735</c:v>
                </c:pt>
                <c:pt idx="28">
                  <c:v>44.961530195572735</c:v>
                </c:pt>
                <c:pt idx="29">
                  <c:v>44.961530195572735</c:v>
                </c:pt>
                <c:pt idx="30">
                  <c:v>44.961530195572735</c:v>
                </c:pt>
                <c:pt idx="31">
                  <c:v>44.961530195572735</c:v>
                </c:pt>
                <c:pt idx="32">
                  <c:v>44.961530195572735</c:v>
                </c:pt>
                <c:pt idx="33">
                  <c:v>44.961530195572735</c:v>
                </c:pt>
                <c:pt idx="34">
                  <c:v>44.961530195572735</c:v>
                </c:pt>
                <c:pt idx="35">
                  <c:v>44.961530195572735</c:v>
                </c:pt>
                <c:pt idx="36">
                  <c:v>44.961530195572735</c:v>
                </c:pt>
                <c:pt idx="37">
                  <c:v>44.961530195572735</c:v>
                </c:pt>
                <c:pt idx="38">
                  <c:v>44.961530195572735</c:v>
                </c:pt>
                <c:pt idx="39">
                  <c:v>44.961530195572735</c:v>
                </c:pt>
                <c:pt idx="40">
                  <c:v>44.961530195572735</c:v>
                </c:pt>
                <c:pt idx="41">
                  <c:v>44.961530195572735</c:v>
                </c:pt>
                <c:pt idx="42">
                  <c:v>44.961530195572735</c:v>
                </c:pt>
                <c:pt idx="43">
                  <c:v>44.961530195572735</c:v>
                </c:pt>
                <c:pt idx="44">
                  <c:v>44.961530195572735</c:v>
                </c:pt>
                <c:pt idx="45">
                  <c:v>44.961530195572735</c:v>
                </c:pt>
                <c:pt idx="46">
                  <c:v>44.961530195572735</c:v>
                </c:pt>
                <c:pt idx="47">
                  <c:v>44.961530195572735</c:v>
                </c:pt>
              </c:numCache>
            </c:numRef>
          </c:val>
          <c:smooth val="0"/>
        </c:ser>
        <c:dLbls>
          <c:showLegendKey val="0"/>
          <c:showVal val="0"/>
          <c:showCatName val="0"/>
          <c:showSerName val="0"/>
          <c:showPercent val="0"/>
          <c:showBubbleSize val="0"/>
        </c:dLbls>
        <c:marker val="1"/>
        <c:smooth val="0"/>
        <c:axId val="146176000"/>
        <c:axId val="147467648"/>
      </c:lineChart>
      <c:dateAx>
        <c:axId val="14617600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7467648"/>
        <c:crosses val="autoZero"/>
        <c:auto val="1"/>
        <c:lblOffset val="100"/>
        <c:baseTimeUnit val="months"/>
      </c:dateAx>
      <c:valAx>
        <c:axId val="14746764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6176000"/>
        <c:crosses val="autoZero"/>
        <c:crossBetween val="between"/>
      </c:valAx>
    </c:plotArea>
    <c:legend>
      <c:legendPos val="r"/>
      <c:layout>
        <c:manualLayout>
          <c:xMode val="edge"/>
          <c:yMode val="edge"/>
          <c:x val="5.4759279676589487E-2"/>
          <c:y val="0.89594356261022923"/>
          <c:w val="0.91780962881293637"/>
          <c:h val="0.10405643738977068"/>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706"/>
        </c:manualLayout>
      </c:layout>
      <c:lineChart>
        <c:grouping val="standard"/>
        <c:varyColors val="0"/>
        <c:ser>
          <c:idx val="1"/>
          <c:order val="0"/>
          <c:tx>
            <c:strRef>
              <c:f>Stroke!$A$343</c:f>
              <c:strCache>
                <c:ptCount val="1"/>
                <c:pt idx="0">
                  <c:v>Number admitted to Stroke Unit within one day of  admission </c:v>
                </c:pt>
              </c:strCache>
            </c:strRef>
          </c:tx>
          <c:spPr>
            <a:ln w="25400">
              <a:solidFill>
                <a:srgbClr val="0070C0"/>
              </a:solidFill>
            </a:ln>
          </c:spPr>
          <c:marker>
            <c:symbol val="circle"/>
            <c:size val="4"/>
            <c:spPr>
              <a:solidFill>
                <a:srgbClr val="0070C0"/>
              </a:solidFill>
              <a:ln w="25400">
                <a:solidFill>
                  <a:srgbClr val="0070C0"/>
                </a:solidFill>
              </a:ln>
            </c:spPr>
          </c:marker>
          <c:dPt>
            <c:idx val="0"/>
            <c:bubble3D val="0"/>
          </c:dPt>
          <c:dPt>
            <c:idx val="1"/>
            <c:bubble3D val="0"/>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Stroke!$B$343:$AW$343</c:f>
              <c:numCache>
                <c:formatCode>0.0</c:formatCode>
                <c:ptCount val="48"/>
                <c:pt idx="0">
                  <c:v>62</c:v>
                </c:pt>
                <c:pt idx="1">
                  <c:v>69</c:v>
                </c:pt>
                <c:pt idx="2" formatCode="0">
                  <c:v>53</c:v>
                </c:pt>
                <c:pt idx="3" formatCode="0">
                  <c:v>32</c:v>
                </c:pt>
                <c:pt idx="4" formatCode="0">
                  <c:v>44</c:v>
                </c:pt>
                <c:pt idx="5" formatCode="0">
                  <c:v>54</c:v>
                </c:pt>
                <c:pt idx="6" formatCode="0">
                  <c:v>73</c:v>
                </c:pt>
                <c:pt idx="7" formatCode="0">
                  <c:v>72</c:v>
                </c:pt>
                <c:pt idx="8" formatCode="0">
                  <c:v>49</c:v>
                </c:pt>
                <c:pt idx="9" formatCode="0">
                  <c:v>68</c:v>
                </c:pt>
                <c:pt idx="10" formatCode="0">
                  <c:v>52</c:v>
                </c:pt>
                <c:pt idx="11" formatCode="0">
                  <c:v>57</c:v>
                </c:pt>
                <c:pt idx="12" formatCode="0">
                  <c:v>60</c:v>
                </c:pt>
                <c:pt idx="13" formatCode="0">
                  <c:v>59</c:v>
                </c:pt>
                <c:pt idx="14" formatCode="0">
                  <c:v>65</c:v>
                </c:pt>
                <c:pt idx="15" formatCode="0">
                  <c:v>66</c:v>
                </c:pt>
                <c:pt idx="16" formatCode="0">
                  <c:v>61</c:v>
                </c:pt>
                <c:pt idx="17" formatCode="0">
                  <c:v>75</c:v>
                </c:pt>
                <c:pt idx="18" formatCode="0">
                  <c:v>53</c:v>
                </c:pt>
                <c:pt idx="19" formatCode="0">
                  <c:v>65</c:v>
                </c:pt>
                <c:pt idx="20" formatCode="0">
                  <c:v>71</c:v>
                </c:pt>
                <c:pt idx="21" formatCode="0">
                  <c:v>61</c:v>
                </c:pt>
                <c:pt idx="22" formatCode="0">
                  <c:v>54</c:v>
                </c:pt>
                <c:pt idx="23" formatCode="0">
                  <c:v>79</c:v>
                </c:pt>
                <c:pt idx="24" formatCode="0">
                  <c:v>59</c:v>
                </c:pt>
                <c:pt idx="25" formatCode="0">
                  <c:v>80</c:v>
                </c:pt>
                <c:pt idx="26" formatCode="0">
                  <c:v>75</c:v>
                </c:pt>
              </c:numCache>
            </c:numRef>
          </c:val>
          <c:smooth val="0"/>
        </c:ser>
        <c:ser>
          <c:idx val="2"/>
          <c:order val="1"/>
          <c:tx>
            <c:strRef>
              <c:f>Stroke!$A$346</c:f>
              <c:strCache>
                <c:ptCount val="1"/>
                <c:pt idx="0">
                  <c:v>Mean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Stroke!$B$346:$AW$346</c:f>
              <c:numCache>
                <c:formatCode>0.0</c:formatCode>
                <c:ptCount val="48"/>
                <c:pt idx="0">
                  <c:v>61.777777777777779</c:v>
                </c:pt>
                <c:pt idx="1">
                  <c:v>61.777777777777779</c:v>
                </c:pt>
                <c:pt idx="2">
                  <c:v>61.777777777777779</c:v>
                </c:pt>
                <c:pt idx="3">
                  <c:v>61.777777777777779</c:v>
                </c:pt>
                <c:pt idx="4">
                  <c:v>61.777777777777779</c:v>
                </c:pt>
                <c:pt idx="5">
                  <c:v>61.777777777777779</c:v>
                </c:pt>
                <c:pt idx="6">
                  <c:v>61.777777777777779</c:v>
                </c:pt>
                <c:pt idx="7">
                  <c:v>61.777777777777779</c:v>
                </c:pt>
                <c:pt idx="8">
                  <c:v>61.777777777777779</c:v>
                </c:pt>
                <c:pt idx="9">
                  <c:v>61.777777777777779</c:v>
                </c:pt>
                <c:pt idx="10">
                  <c:v>61.777777777777779</c:v>
                </c:pt>
                <c:pt idx="11">
                  <c:v>61.777777777777779</c:v>
                </c:pt>
                <c:pt idx="12">
                  <c:v>61.777777777777779</c:v>
                </c:pt>
                <c:pt idx="13">
                  <c:v>61.777777777777779</c:v>
                </c:pt>
                <c:pt idx="14">
                  <c:v>61.777777777777779</c:v>
                </c:pt>
                <c:pt idx="15">
                  <c:v>61.777777777777779</c:v>
                </c:pt>
                <c:pt idx="16">
                  <c:v>61.777777777777779</c:v>
                </c:pt>
                <c:pt idx="17">
                  <c:v>61.777777777777779</c:v>
                </c:pt>
                <c:pt idx="18">
                  <c:v>61.777777777777779</c:v>
                </c:pt>
                <c:pt idx="19">
                  <c:v>61.777777777777779</c:v>
                </c:pt>
                <c:pt idx="20">
                  <c:v>61.777777777777779</c:v>
                </c:pt>
                <c:pt idx="21">
                  <c:v>61.777777777777779</c:v>
                </c:pt>
                <c:pt idx="22">
                  <c:v>61.777777777777779</c:v>
                </c:pt>
                <c:pt idx="23">
                  <c:v>61.777777777777779</c:v>
                </c:pt>
                <c:pt idx="24">
                  <c:v>61.777777777777779</c:v>
                </c:pt>
                <c:pt idx="25">
                  <c:v>61.777777777777779</c:v>
                </c:pt>
                <c:pt idx="26">
                  <c:v>61.777777777777779</c:v>
                </c:pt>
                <c:pt idx="27">
                  <c:v>61.777777777777779</c:v>
                </c:pt>
                <c:pt idx="28">
                  <c:v>61.777777777777779</c:v>
                </c:pt>
                <c:pt idx="29">
                  <c:v>61.777777777777779</c:v>
                </c:pt>
                <c:pt idx="30">
                  <c:v>61.777777777777779</c:v>
                </c:pt>
                <c:pt idx="31">
                  <c:v>61.777777777777779</c:v>
                </c:pt>
                <c:pt idx="32">
                  <c:v>61.777777777777779</c:v>
                </c:pt>
                <c:pt idx="33">
                  <c:v>61.777777777777779</c:v>
                </c:pt>
                <c:pt idx="34">
                  <c:v>61.777777777777779</c:v>
                </c:pt>
                <c:pt idx="35">
                  <c:v>61.777777777777779</c:v>
                </c:pt>
                <c:pt idx="36">
                  <c:v>61.777777777777779</c:v>
                </c:pt>
                <c:pt idx="37">
                  <c:v>61.777777777777779</c:v>
                </c:pt>
                <c:pt idx="38">
                  <c:v>61.777777777777779</c:v>
                </c:pt>
                <c:pt idx="39">
                  <c:v>61.777777777777779</c:v>
                </c:pt>
                <c:pt idx="40">
                  <c:v>61.777777777777779</c:v>
                </c:pt>
                <c:pt idx="41">
                  <c:v>61.777777777777779</c:v>
                </c:pt>
                <c:pt idx="42">
                  <c:v>61.777777777777779</c:v>
                </c:pt>
                <c:pt idx="43">
                  <c:v>61.777777777777779</c:v>
                </c:pt>
                <c:pt idx="44">
                  <c:v>61.777777777777779</c:v>
                </c:pt>
                <c:pt idx="45">
                  <c:v>61.777777777777779</c:v>
                </c:pt>
                <c:pt idx="46">
                  <c:v>61.777777777777779</c:v>
                </c:pt>
                <c:pt idx="47">
                  <c:v>61.777777777777779</c:v>
                </c:pt>
              </c:numCache>
            </c:numRef>
          </c:val>
          <c:smooth val="0"/>
        </c:ser>
        <c:ser>
          <c:idx val="3"/>
          <c:order val="2"/>
          <c:tx>
            <c:strRef>
              <c:f>Stroke!$A$349</c:f>
              <c:strCache>
                <c:ptCount val="1"/>
                <c:pt idx="0">
                  <c:v>Upper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Stroke!$B$349:$AW$349</c:f>
              <c:numCache>
                <c:formatCode>0.0</c:formatCode>
                <c:ptCount val="48"/>
                <c:pt idx="0">
                  <c:v>98.890930582419941</c:v>
                </c:pt>
                <c:pt idx="1">
                  <c:v>98.890930582419941</c:v>
                </c:pt>
                <c:pt idx="2">
                  <c:v>98.890930582419941</c:v>
                </c:pt>
                <c:pt idx="3">
                  <c:v>98.890930582419941</c:v>
                </c:pt>
                <c:pt idx="4">
                  <c:v>98.890930582419941</c:v>
                </c:pt>
                <c:pt idx="5">
                  <c:v>98.890930582419941</c:v>
                </c:pt>
                <c:pt idx="6">
                  <c:v>98.890930582419941</c:v>
                </c:pt>
                <c:pt idx="7">
                  <c:v>98.890930582419941</c:v>
                </c:pt>
                <c:pt idx="8">
                  <c:v>98.890930582419941</c:v>
                </c:pt>
                <c:pt idx="9">
                  <c:v>98.890930582419941</c:v>
                </c:pt>
                <c:pt idx="10">
                  <c:v>98.890930582419941</c:v>
                </c:pt>
                <c:pt idx="11">
                  <c:v>98.890930582419941</c:v>
                </c:pt>
                <c:pt idx="12">
                  <c:v>98.890930582419941</c:v>
                </c:pt>
                <c:pt idx="13">
                  <c:v>98.890930582419941</c:v>
                </c:pt>
                <c:pt idx="14">
                  <c:v>98.890930582419941</c:v>
                </c:pt>
                <c:pt idx="15">
                  <c:v>98.890930582419941</c:v>
                </c:pt>
                <c:pt idx="16">
                  <c:v>98.890930582419941</c:v>
                </c:pt>
                <c:pt idx="17">
                  <c:v>98.890930582419941</c:v>
                </c:pt>
                <c:pt idx="18">
                  <c:v>98.890930582419941</c:v>
                </c:pt>
                <c:pt idx="19">
                  <c:v>98.890930582419941</c:v>
                </c:pt>
                <c:pt idx="20">
                  <c:v>98.890930582419941</c:v>
                </c:pt>
                <c:pt idx="21">
                  <c:v>98.890930582419941</c:v>
                </c:pt>
                <c:pt idx="22">
                  <c:v>98.890930582419941</c:v>
                </c:pt>
                <c:pt idx="23">
                  <c:v>98.890930582419941</c:v>
                </c:pt>
                <c:pt idx="24">
                  <c:v>98.890930582419941</c:v>
                </c:pt>
                <c:pt idx="25">
                  <c:v>98.890930582419941</c:v>
                </c:pt>
                <c:pt idx="26">
                  <c:v>98.890930582419941</c:v>
                </c:pt>
                <c:pt idx="27">
                  <c:v>98.890930582419941</c:v>
                </c:pt>
                <c:pt idx="28">
                  <c:v>98.890930582419941</c:v>
                </c:pt>
                <c:pt idx="29">
                  <c:v>98.890930582419941</c:v>
                </c:pt>
                <c:pt idx="30">
                  <c:v>98.890930582419941</c:v>
                </c:pt>
                <c:pt idx="31">
                  <c:v>98.890930582419941</c:v>
                </c:pt>
                <c:pt idx="32">
                  <c:v>98.890930582419941</c:v>
                </c:pt>
                <c:pt idx="33">
                  <c:v>98.890930582419941</c:v>
                </c:pt>
                <c:pt idx="34">
                  <c:v>98.890930582419941</c:v>
                </c:pt>
                <c:pt idx="35">
                  <c:v>98.890930582419941</c:v>
                </c:pt>
                <c:pt idx="36">
                  <c:v>98.890930582419941</c:v>
                </c:pt>
                <c:pt idx="37">
                  <c:v>98.890930582419941</c:v>
                </c:pt>
                <c:pt idx="38">
                  <c:v>98.890930582419941</c:v>
                </c:pt>
                <c:pt idx="39">
                  <c:v>98.890930582419941</c:v>
                </c:pt>
                <c:pt idx="40">
                  <c:v>98.890930582419941</c:v>
                </c:pt>
                <c:pt idx="41">
                  <c:v>98.890930582419941</c:v>
                </c:pt>
                <c:pt idx="42">
                  <c:v>98.890930582419941</c:v>
                </c:pt>
                <c:pt idx="43">
                  <c:v>98.890930582419941</c:v>
                </c:pt>
                <c:pt idx="44">
                  <c:v>98.890930582419941</c:v>
                </c:pt>
                <c:pt idx="45">
                  <c:v>98.890930582419941</c:v>
                </c:pt>
                <c:pt idx="46">
                  <c:v>98.890930582419941</c:v>
                </c:pt>
                <c:pt idx="47">
                  <c:v>98.890930582419941</c:v>
                </c:pt>
              </c:numCache>
            </c:numRef>
          </c:val>
          <c:smooth val="0"/>
        </c:ser>
        <c:ser>
          <c:idx val="4"/>
          <c:order val="3"/>
          <c:tx>
            <c:strRef>
              <c:f>Stroke!$A$350</c:f>
              <c:strCache>
                <c:ptCount val="1"/>
                <c:pt idx="0">
                  <c:v>Lower Control Limit</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Stroke!$B$350:$AW$350</c:f>
              <c:numCache>
                <c:formatCode>0.0</c:formatCode>
                <c:ptCount val="48"/>
                <c:pt idx="0">
                  <c:v>24.664624973135609</c:v>
                </c:pt>
                <c:pt idx="1">
                  <c:v>24.664624973135609</c:v>
                </c:pt>
                <c:pt idx="2">
                  <c:v>24.664624973135609</c:v>
                </c:pt>
                <c:pt idx="3">
                  <c:v>24.664624973135609</c:v>
                </c:pt>
                <c:pt idx="4">
                  <c:v>24.664624973135609</c:v>
                </c:pt>
                <c:pt idx="5">
                  <c:v>24.664624973135609</c:v>
                </c:pt>
                <c:pt idx="6">
                  <c:v>24.664624973135609</c:v>
                </c:pt>
                <c:pt idx="7">
                  <c:v>24.664624973135609</c:v>
                </c:pt>
                <c:pt idx="8">
                  <c:v>24.664624973135609</c:v>
                </c:pt>
                <c:pt idx="9">
                  <c:v>24.664624973135609</c:v>
                </c:pt>
                <c:pt idx="10">
                  <c:v>24.664624973135609</c:v>
                </c:pt>
                <c:pt idx="11">
                  <c:v>24.664624973135609</c:v>
                </c:pt>
                <c:pt idx="12">
                  <c:v>24.664624973135609</c:v>
                </c:pt>
                <c:pt idx="13">
                  <c:v>24.664624973135609</c:v>
                </c:pt>
                <c:pt idx="14">
                  <c:v>24.664624973135609</c:v>
                </c:pt>
                <c:pt idx="15">
                  <c:v>24.664624973135609</c:v>
                </c:pt>
                <c:pt idx="16">
                  <c:v>24.664624973135609</c:v>
                </c:pt>
                <c:pt idx="17">
                  <c:v>24.664624973135609</c:v>
                </c:pt>
                <c:pt idx="18">
                  <c:v>24.664624973135609</c:v>
                </c:pt>
                <c:pt idx="19">
                  <c:v>24.664624973135609</c:v>
                </c:pt>
                <c:pt idx="20">
                  <c:v>24.664624973135609</c:v>
                </c:pt>
                <c:pt idx="21">
                  <c:v>24.664624973135609</c:v>
                </c:pt>
                <c:pt idx="22">
                  <c:v>24.664624973135609</c:v>
                </c:pt>
                <c:pt idx="23">
                  <c:v>24.664624973135609</c:v>
                </c:pt>
                <c:pt idx="24">
                  <c:v>24.664624973135609</c:v>
                </c:pt>
                <c:pt idx="25">
                  <c:v>24.664624973135609</c:v>
                </c:pt>
                <c:pt idx="26">
                  <c:v>24.664624973135609</c:v>
                </c:pt>
                <c:pt idx="27">
                  <c:v>24.664624973135609</c:v>
                </c:pt>
                <c:pt idx="28">
                  <c:v>24.664624973135609</c:v>
                </c:pt>
                <c:pt idx="29">
                  <c:v>24.664624973135609</c:v>
                </c:pt>
                <c:pt idx="30">
                  <c:v>24.664624973135609</c:v>
                </c:pt>
                <c:pt idx="31">
                  <c:v>24.664624973135609</c:v>
                </c:pt>
                <c:pt idx="32">
                  <c:v>24.664624973135609</c:v>
                </c:pt>
                <c:pt idx="33">
                  <c:v>24.664624973135609</c:v>
                </c:pt>
                <c:pt idx="34">
                  <c:v>24.664624973135609</c:v>
                </c:pt>
                <c:pt idx="35">
                  <c:v>24.664624973135609</c:v>
                </c:pt>
                <c:pt idx="36">
                  <c:v>24.664624973135609</c:v>
                </c:pt>
                <c:pt idx="37">
                  <c:v>24.664624973135609</c:v>
                </c:pt>
                <c:pt idx="38">
                  <c:v>24.664624973135609</c:v>
                </c:pt>
                <c:pt idx="39">
                  <c:v>24.664624973135609</c:v>
                </c:pt>
                <c:pt idx="40">
                  <c:v>24.664624973135609</c:v>
                </c:pt>
                <c:pt idx="41">
                  <c:v>24.664624973135609</c:v>
                </c:pt>
                <c:pt idx="42">
                  <c:v>24.664624973135609</c:v>
                </c:pt>
                <c:pt idx="43">
                  <c:v>24.664624973135609</c:v>
                </c:pt>
                <c:pt idx="44">
                  <c:v>24.664624973135609</c:v>
                </c:pt>
                <c:pt idx="45">
                  <c:v>24.664624973135609</c:v>
                </c:pt>
                <c:pt idx="46">
                  <c:v>24.664624973135609</c:v>
                </c:pt>
                <c:pt idx="47">
                  <c:v>24.664624973135609</c:v>
                </c:pt>
              </c:numCache>
            </c:numRef>
          </c:val>
          <c:smooth val="0"/>
        </c:ser>
        <c:dLbls>
          <c:showLegendKey val="0"/>
          <c:showVal val="0"/>
          <c:showCatName val="0"/>
          <c:showSerName val="0"/>
          <c:showPercent val="0"/>
          <c:showBubbleSize val="0"/>
        </c:dLbls>
        <c:marker val="1"/>
        <c:smooth val="0"/>
        <c:axId val="146607616"/>
        <c:axId val="147469952"/>
      </c:lineChart>
      <c:dateAx>
        <c:axId val="14660761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7469952"/>
        <c:crosses val="autoZero"/>
        <c:auto val="1"/>
        <c:lblOffset val="100"/>
        <c:baseTimeUnit val="months"/>
      </c:dateAx>
      <c:valAx>
        <c:axId val="14746995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6607616"/>
        <c:crosses val="autoZero"/>
        <c:crossBetween val="between"/>
      </c:valAx>
    </c:plotArea>
    <c:legend>
      <c:legendPos val="r"/>
      <c:layout>
        <c:manualLayout>
          <c:xMode val="edge"/>
          <c:yMode val="edge"/>
          <c:x val="5.4759279676589487E-2"/>
          <c:y val="0.89594356261022923"/>
          <c:w val="0.91780962881293637"/>
          <c:h val="0.10405643738977068"/>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751"/>
        </c:manualLayout>
      </c:layout>
      <c:lineChart>
        <c:grouping val="standard"/>
        <c:varyColors val="0"/>
        <c:ser>
          <c:idx val="1"/>
          <c:order val="0"/>
          <c:tx>
            <c:strRef>
              <c:f>Stroke!$A$386</c:f>
              <c:strCache>
                <c:ptCount val="1"/>
                <c:pt idx="0">
                  <c:v>Number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dPt>
            <c:idx val="0"/>
            <c:bubble3D val="0"/>
          </c:dPt>
          <c:dPt>
            <c:idx val="1"/>
            <c:bubble3D val="0"/>
          </c:dPt>
          <c:dPt>
            <c:idx val="13"/>
            <c:bubble3D val="0"/>
            <c:spPr>
              <a:ln w="25400">
                <a:solidFill>
                  <a:srgbClr val="00B050"/>
                </a:solidFill>
              </a:ln>
            </c:spPr>
          </c:dPt>
          <c:dPt>
            <c:idx val="14"/>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Stroke!$B$386:$AW$386</c:f>
              <c:numCache>
                <c:formatCode>0</c:formatCode>
                <c:ptCount val="48"/>
                <c:pt idx="0">
                  <c:v>104</c:v>
                </c:pt>
                <c:pt idx="1">
                  <c:v>120</c:v>
                </c:pt>
                <c:pt idx="2">
                  <c:v>93</c:v>
                </c:pt>
                <c:pt idx="3">
                  <c:v>95</c:v>
                </c:pt>
                <c:pt idx="4">
                  <c:v>96</c:v>
                </c:pt>
                <c:pt idx="5">
                  <c:v>100</c:v>
                </c:pt>
                <c:pt idx="6">
                  <c:v>116</c:v>
                </c:pt>
                <c:pt idx="7">
                  <c:v>128</c:v>
                </c:pt>
                <c:pt idx="8">
                  <c:v>100</c:v>
                </c:pt>
                <c:pt idx="9">
                  <c:v>125</c:v>
                </c:pt>
                <c:pt idx="10">
                  <c:v>120</c:v>
                </c:pt>
                <c:pt idx="11">
                  <c:v>103</c:v>
                </c:pt>
                <c:pt idx="12">
                  <c:v>128</c:v>
                </c:pt>
                <c:pt idx="13">
                  <c:v>121</c:v>
                </c:pt>
                <c:pt idx="14">
                  <c:v>117</c:v>
                </c:pt>
                <c:pt idx="15">
                  <c:v>121</c:v>
                </c:pt>
                <c:pt idx="16">
                  <c:v>119</c:v>
                </c:pt>
                <c:pt idx="17">
                  <c:v>127</c:v>
                </c:pt>
                <c:pt idx="18">
                  <c:v>119</c:v>
                </c:pt>
                <c:pt idx="19">
                  <c:v>104</c:v>
                </c:pt>
                <c:pt idx="20">
                  <c:v>139</c:v>
                </c:pt>
                <c:pt idx="21">
                  <c:v>109</c:v>
                </c:pt>
                <c:pt idx="22">
                  <c:v>100</c:v>
                </c:pt>
                <c:pt idx="23">
                  <c:v>132</c:v>
                </c:pt>
                <c:pt idx="24">
                  <c:v>123</c:v>
                </c:pt>
                <c:pt idx="25">
                  <c:v>132</c:v>
                </c:pt>
                <c:pt idx="26">
                  <c:v>128</c:v>
                </c:pt>
              </c:numCache>
            </c:numRef>
          </c:val>
          <c:smooth val="0"/>
        </c:ser>
        <c:ser>
          <c:idx val="2"/>
          <c:order val="1"/>
          <c:tx>
            <c:strRef>
              <c:f>Stroke!$A$389</c:f>
              <c:strCache>
                <c:ptCount val="1"/>
                <c:pt idx="0">
                  <c:v>Mean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Stroke!$B$389:$AW$389</c:f>
              <c:numCache>
                <c:formatCode>0</c:formatCode>
                <c:ptCount val="48"/>
                <c:pt idx="0">
                  <c:v>115.51851851851852</c:v>
                </c:pt>
                <c:pt idx="1">
                  <c:v>115.51851851851852</c:v>
                </c:pt>
                <c:pt idx="2">
                  <c:v>115.51851851851852</c:v>
                </c:pt>
                <c:pt idx="3">
                  <c:v>115.51851851851852</c:v>
                </c:pt>
                <c:pt idx="4">
                  <c:v>115.51851851851852</c:v>
                </c:pt>
                <c:pt idx="5">
                  <c:v>115.51851851851852</c:v>
                </c:pt>
                <c:pt idx="6">
                  <c:v>115.51851851851852</c:v>
                </c:pt>
                <c:pt idx="7">
                  <c:v>115.51851851851852</c:v>
                </c:pt>
                <c:pt idx="8">
                  <c:v>115.51851851851852</c:v>
                </c:pt>
                <c:pt idx="9">
                  <c:v>115.51851851851852</c:v>
                </c:pt>
                <c:pt idx="10">
                  <c:v>115.51851851851852</c:v>
                </c:pt>
                <c:pt idx="11">
                  <c:v>115.51851851851852</c:v>
                </c:pt>
                <c:pt idx="12">
                  <c:v>115.51851851851852</c:v>
                </c:pt>
                <c:pt idx="13">
                  <c:v>115.51851851851852</c:v>
                </c:pt>
                <c:pt idx="14">
                  <c:v>115.51851851851852</c:v>
                </c:pt>
                <c:pt idx="15">
                  <c:v>115.51851851851852</c:v>
                </c:pt>
                <c:pt idx="16">
                  <c:v>115.51851851851852</c:v>
                </c:pt>
                <c:pt idx="17">
                  <c:v>115.51851851851852</c:v>
                </c:pt>
                <c:pt idx="18">
                  <c:v>115.51851851851852</c:v>
                </c:pt>
                <c:pt idx="19">
                  <c:v>115.51851851851852</c:v>
                </c:pt>
                <c:pt idx="20">
                  <c:v>115.51851851851852</c:v>
                </c:pt>
                <c:pt idx="21">
                  <c:v>115.51851851851852</c:v>
                </c:pt>
                <c:pt idx="22">
                  <c:v>115.51851851851852</c:v>
                </c:pt>
                <c:pt idx="23">
                  <c:v>115.51851851851852</c:v>
                </c:pt>
                <c:pt idx="24">
                  <c:v>115.51851851851852</c:v>
                </c:pt>
                <c:pt idx="25">
                  <c:v>115.51851851851852</c:v>
                </c:pt>
                <c:pt idx="26">
                  <c:v>115.51851851851852</c:v>
                </c:pt>
                <c:pt idx="27">
                  <c:v>115.51851851851852</c:v>
                </c:pt>
                <c:pt idx="28">
                  <c:v>115.51851851851852</c:v>
                </c:pt>
                <c:pt idx="29">
                  <c:v>115.51851851851852</c:v>
                </c:pt>
                <c:pt idx="30">
                  <c:v>115.51851851851852</c:v>
                </c:pt>
                <c:pt idx="31">
                  <c:v>115.51851851851852</c:v>
                </c:pt>
                <c:pt idx="32">
                  <c:v>115.51851851851852</c:v>
                </c:pt>
                <c:pt idx="33">
                  <c:v>115.51851851851852</c:v>
                </c:pt>
                <c:pt idx="34">
                  <c:v>115.51851851851852</c:v>
                </c:pt>
                <c:pt idx="35">
                  <c:v>115.51851851851852</c:v>
                </c:pt>
                <c:pt idx="36">
                  <c:v>115.51851851851852</c:v>
                </c:pt>
                <c:pt idx="37">
                  <c:v>115.51851851851852</c:v>
                </c:pt>
                <c:pt idx="38">
                  <c:v>115.51851851851852</c:v>
                </c:pt>
                <c:pt idx="39">
                  <c:v>115.51851851851852</c:v>
                </c:pt>
                <c:pt idx="40">
                  <c:v>115.51851851851852</c:v>
                </c:pt>
                <c:pt idx="41">
                  <c:v>115.51851851851852</c:v>
                </c:pt>
                <c:pt idx="42">
                  <c:v>115.51851851851852</c:v>
                </c:pt>
                <c:pt idx="43">
                  <c:v>115.51851851851852</c:v>
                </c:pt>
                <c:pt idx="44">
                  <c:v>115.51851851851852</c:v>
                </c:pt>
                <c:pt idx="45">
                  <c:v>115.51851851851852</c:v>
                </c:pt>
                <c:pt idx="46">
                  <c:v>115.51851851851852</c:v>
                </c:pt>
                <c:pt idx="47">
                  <c:v>115.51851851851852</c:v>
                </c:pt>
              </c:numCache>
            </c:numRef>
          </c:val>
          <c:smooth val="0"/>
        </c:ser>
        <c:ser>
          <c:idx val="3"/>
          <c:order val="2"/>
          <c:tx>
            <c:strRef>
              <c:f>Stroke!$A$392</c:f>
              <c:strCache>
                <c:ptCount val="1"/>
                <c:pt idx="0">
                  <c:v>Upper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Stroke!$B$392:$AW$392</c:f>
              <c:numCache>
                <c:formatCode>0</c:formatCode>
                <c:ptCount val="48"/>
                <c:pt idx="0">
                  <c:v>158.31348950497886</c:v>
                </c:pt>
                <c:pt idx="1">
                  <c:v>158.31348950497886</c:v>
                </c:pt>
                <c:pt idx="2">
                  <c:v>158.31348950497886</c:v>
                </c:pt>
                <c:pt idx="3">
                  <c:v>158.31348950497886</c:v>
                </c:pt>
                <c:pt idx="4">
                  <c:v>158.31348950497886</c:v>
                </c:pt>
                <c:pt idx="5">
                  <c:v>158.31348950497886</c:v>
                </c:pt>
                <c:pt idx="6">
                  <c:v>158.31348950497886</c:v>
                </c:pt>
                <c:pt idx="7">
                  <c:v>158.31348950497886</c:v>
                </c:pt>
                <c:pt idx="8">
                  <c:v>158.31348950497886</c:v>
                </c:pt>
                <c:pt idx="9">
                  <c:v>158.31348950497886</c:v>
                </c:pt>
                <c:pt idx="10">
                  <c:v>158.31348950497886</c:v>
                </c:pt>
                <c:pt idx="11">
                  <c:v>158.31348950497886</c:v>
                </c:pt>
                <c:pt idx="12">
                  <c:v>158.31348950497886</c:v>
                </c:pt>
                <c:pt idx="13">
                  <c:v>158.31348950497886</c:v>
                </c:pt>
                <c:pt idx="14">
                  <c:v>158.31348950497886</c:v>
                </c:pt>
                <c:pt idx="15">
                  <c:v>158.31348950497886</c:v>
                </c:pt>
                <c:pt idx="16">
                  <c:v>158.31348950497886</c:v>
                </c:pt>
                <c:pt idx="17">
                  <c:v>158.31348950497886</c:v>
                </c:pt>
                <c:pt idx="18">
                  <c:v>158.31348950497886</c:v>
                </c:pt>
                <c:pt idx="19">
                  <c:v>158.31348950497886</c:v>
                </c:pt>
                <c:pt idx="20">
                  <c:v>158.31348950497886</c:v>
                </c:pt>
                <c:pt idx="21">
                  <c:v>158.31348950497886</c:v>
                </c:pt>
                <c:pt idx="22">
                  <c:v>158.31348950497886</c:v>
                </c:pt>
                <c:pt idx="23">
                  <c:v>158.31348950497886</c:v>
                </c:pt>
                <c:pt idx="24">
                  <c:v>158.31348950497886</c:v>
                </c:pt>
                <c:pt idx="25">
                  <c:v>158.31348950497886</c:v>
                </c:pt>
                <c:pt idx="26">
                  <c:v>158.31348950497886</c:v>
                </c:pt>
                <c:pt idx="27">
                  <c:v>158.31348950497886</c:v>
                </c:pt>
                <c:pt idx="28">
                  <c:v>158.31348950497886</c:v>
                </c:pt>
                <c:pt idx="29">
                  <c:v>158.31348950497886</c:v>
                </c:pt>
                <c:pt idx="30">
                  <c:v>158.31348950497886</c:v>
                </c:pt>
                <c:pt idx="31">
                  <c:v>158.31348950497886</c:v>
                </c:pt>
                <c:pt idx="32">
                  <c:v>158.31348950497886</c:v>
                </c:pt>
                <c:pt idx="33">
                  <c:v>158.31348950497886</c:v>
                </c:pt>
                <c:pt idx="34">
                  <c:v>158.31348950497886</c:v>
                </c:pt>
                <c:pt idx="35">
                  <c:v>158.31348950497886</c:v>
                </c:pt>
                <c:pt idx="36">
                  <c:v>158.31348950497886</c:v>
                </c:pt>
                <c:pt idx="37">
                  <c:v>158.31348950497886</c:v>
                </c:pt>
                <c:pt idx="38">
                  <c:v>158.31348950497886</c:v>
                </c:pt>
                <c:pt idx="39">
                  <c:v>158.31348950497886</c:v>
                </c:pt>
                <c:pt idx="40">
                  <c:v>158.31348950497886</c:v>
                </c:pt>
                <c:pt idx="41">
                  <c:v>158.31348950497886</c:v>
                </c:pt>
                <c:pt idx="42">
                  <c:v>158.31348950497886</c:v>
                </c:pt>
                <c:pt idx="43">
                  <c:v>158.31348950497886</c:v>
                </c:pt>
                <c:pt idx="44">
                  <c:v>158.31348950497886</c:v>
                </c:pt>
                <c:pt idx="45">
                  <c:v>158.31348950497886</c:v>
                </c:pt>
                <c:pt idx="46">
                  <c:v>158.31348950497886</c:v>
                </c:pt>
                <c:pt idx="47">
                  <c:v>158.31348950497886</c:v>
                </c:pt>
              </c:numCache>
            </c:numRef>
          </c:val>
          <c:smooth val="0"/>
        </c:ser>
        <c:ser>
          <c:idx val="4"/>
          <c:order val="3"/>
          <c:tx>
            <c:strRef>
              <c:f>Stroke!$A$393</c:f>
              <c:strCache>
                <c:ptCount val="1"/>
                <c:pt idx="0">
                  <c:v>Lower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Stroke!$B$393:$AW$393</c:f>
              <c:numCache>
                <c:formatCode>0</c:formatCode>
                <c:ptCount val="48"/>
                <c:pt idx="0">
                  <c:v>72.723547532058177</c:v>
                </c:pt>
                <c:pt idx="1">
                  <c:v>72.723547532058177</c:v>
                </c:pt>
                <c:pt idx="2">
                  <c:v>72.723547532058177</c:v>
                </c:pt>
                <c:pt idx="3">
                  <c:v>72.723547532058177</c:v>
                </c:pt>
                <c:pt idx="4">
                  <c:v>72.723547532058177</c:v>
                </c:pt>
                <c:pt idx="5">
                  <c:v>72.723547532058177</c:v>
                </c:pt>
                <c:pt idx="6">
                  <c:v>72.723547532058177</c:v>
                </c:pt>
                <c:pt idx="7">
                  <c:v>72.723547532058177</c:v>
                </c:pt>
                <c:pt idx="8">
                  <c:v>72.723547532058177</c:v>
                </c:pt>
                <c:pt idx="9">
                  <c:v>72.723547532058177</c:v>
                </c:pt>
                <c:pt idx="10">
                  <c:v>72.723547532058177</c:v>
                </c:pt>
                <c:pt idx="11">
                  <c:v>72.723547532058177</c:v>
                </c:pt>
                <c:pt idx="12">
                  <c:v>72.723547532058177</c:v>
                </c:pt>
                <c:pt idx="13">
                  <c:v>72.723547532058177</c:v>
                </c:pt>
                <c:pt idx="14">
                  <c:v>72.723547532058177</c:v>
                </c:pt>
                <c:pt idx="15">
                  <c:v>72.723547532058177</c:v>
                </c:pt>
                <c:pt idx="16">
                  <c:v>72.723547532058177</c:v>
                </c:pt>
                <c:pt idx="17">
                  <c:v>72.723547532058177</c:v>
                </c:pt>
                <c:pt idx="18">
                  <c:v>72.723547532058177</c:v>
                </c:pt>
                <c:pt idx="19">
                  <c:v>72.723547532058177</c:v>
                </c:pt>
                <c:pt idx="20">
                  <c:v>72.723547532058177</c:v>
                </c:pt>
                <c:pt idx="21">
                  <c:v>72.723547532058177</c:v>
                </c:pt>
                <c:pt idx="22">
                  <c:v>72.723547532058177</c:v>
                </c:pt>
                <c:pt idx="23">
                  <c:v>72.723547532058177</c:v>
                </c:pt>
                <c:pt idx="24">
                  <c:v>72.723547532058177</c:v>
                </c:pt>
                <c:pt idx="25">
                  <c:v>72.723547532058177</c:v>
                </c:pt>
                <c:pt idx="26">
                  <c:v>72.723547532058177</c:v>
                </c:pt>
                <c:pt idx="27">
                  <c:v>72.723547532058177</c:v>
                </c:pt>
                <c:pt idx="28">
                  <c:v>72.723547532058177</c:v>
                </c:pt>
                <c:pt idx="29">
                  <c:v>72.723547532058177</c:v>
                </c:pt>
                <c:pt idx="30">
                  <c:v>72.723547532058177</c:v>
                </c:pt>
                <c:pt idx="31">
                  <c:v>72.723547532058177</c:v>
                </c:pt>
                <c:pt idx="32">
                  <c:v>72.723547532058177</c:v>
                </c:pt>
                <c:pt idx="33">
                  <c:v>72.723547532058177</c:v>
                </c:pt>
                <c:pt idx="34">
                  <c:v>72.723547532058177</c:v>
                </c:pt>
                <c:pt idx="35">
                  <c:v>72.723547532058177</c:v>
                </c:pt>
                <c:pt idx="36">
                  <c:v>72.723547532058177</c:v>
                </c:pt>
                <c:pt idx="37">
                  <c:v>72.723547532058177</c:v>
                </c:pt>
                <c:pt idx="38">
                  <c:v>72.723547532058177</c:v>
                </c:pt>
                <c:pt idx="39">
                  <c:v>72.723547532058177</c:v>
                </c:pt>
                <c:pt idx="40">
                  <c:v>72.723547532058177</c:v>
                </c:pt>
                <c:pt idx="41">
                  <c:v>72.723547532058177</c:v>
                </c:pt>
                <c:pt idx="42">
                  <c:v>72.723547532058177</c:v>
                </c:pt>
                <c:pt idx="43">
                  <c:v>72.723547532058177</c:v>
                </c:pt>
                <c:pt idx="44">
                  <c:v>72.723547532058177</c:v>
                </c:pt>
                <c:pt idx="45">
                  <c:v>72.723547532058177</c:v>
                </c:pt>
                <c:pt idx="46">
                  <c:v>72.723547532058177</c:v>
                </c:pt>
                <c:pt idx="47">
                  <c:v>72.723547532058177</c:v>
                </c:pt>
              </c:numCache>
            </c:numRef>
          </c:val>
          <c:smooth val="0"/>
        </c:ser>
        <c:dLbls>
          <c:showLegendKey val="0"/>
          <c:showVal val="0"/>
          <c:showCatName val="0"/>
          <c:showSerName val="0"/>
          <c:showPercent val="0"/>
          <c:showBubbleSize val="0"/>
        </c:dLbls>
        <c:marker val="1"/>
        <c:smooth val="0"/>
        <c:axId val="147739136"/>
        <c:axId val="147677184"/>
      </c:lineChart>
      <c:dateAx>
        <c:axId val="147739136"/>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7677184"/>
        <c:crosses val="autoZero"/>
        <c:auto val="1"/>
        <c:lblOffset val="100"/>
        <c:baseTimeUnit val="months"/>
      </c:dateAx>
      <c:valAx>
        <c:axId val="147677184"/>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7739136"/>
        <c:crosses val="autoZero"/>
        <c:crossBetween val="between"/>
      </c:valAx>
    </c:plotArea>
    <c:legend>
      <c:legendPos val="r"/>
      <c:layout>
        <c:manualLayout>
          <c:xMode val="edge"/>
          <c:yMode val="edge"/>
          <c:x val="5.4759279676589487E-2"/>
          <c:y val="0.91005291005290956"/>
          <c:w val="0.91780962881293637"/>
          <c:h val="8.9947089947090067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751"/>
        </c:manualLayout>
      </c:layout>
      <c:lineChart>
        <c:grouping val="standard"/>
        <c:varyColors val="0"/>
        <c:ser>
          <c:idx val="1"/>
          <c:order val="0"/>
          <c:tx>
            <c:strRef>
              <c:f>Stroke!$A$407</c:f>
              <c:strCache>
                <c:ptCount val="1"/>
                <c:pt idx="0">
                  <c:v>Number receiving aspirin within one day of admission </c:v>
                </c:pt>
              </c:strCache>
            </c:strRef>
          </c:tx>
          <c:spPr>
            <a:ln w="25400">
              <a:solidFill>
                <a:srgbClr val="0070C0"/>
              </a:solidFill>
            </a:ln>
          </c:spPr>
          <c:marker>
            <c:symbol val="circle"/>
            <c:size val="4"/>
            <c:spPr>
              <a:solidFill>
                <a:srgbClr val="0070C0"/>
              </a:solidFill>
              <a:ln w="25400">
                <a:solidFill>
                  <a:srgbClr val="0070C0"/>
                </a:solidFill>
              </a:ln>
            </c:spPr>
          </c:marker>
          <c:dPt>
            <c:idx val="0"/>
            <c:bubble3D val="0"/>
          </c:dPt>
          <c:dPt>
            <c:idx val="1"/>
            <c:bubble3D val="0"/>
            <c:spPr>
              <a:ln w="25400">
                <a:solidFill>
                  <a:srgbClr val="00B050"/>
                </a:solidFill>
              </a:ln>
            </c:spPr>
          </c:dPt>
          <c:dPt>
            <c:idx val="2"/>
            <c:bubble3D val="0"/>
            <c:spPr>
              <a:ln w="25400">
                <a:solidFill>
                  <a:srgbClr val="00B050"/>
                </a:solidFill>
              </a:ln>
            </c:spPr>
          </c:dPt>
          <c:dPt>
            <c:idx val="3"/>
            <c:bubble3D val="0"/>
            <c:spPr>
              <a:ln w="25400">
                <a:solidFill>
                  <a:srgbClr val="00B050"/>
                </a:solidFill>
              </a:ln>
            </c:spPr>
          </c:dPt>
          <c:dPt>
            <c:idx val="4"/>
            <c:bubble3D val="0"/>
            <c:spPr>
              <a:ln w="25400">
                <a:solidFill>
                  <a:srgbClr val="00B050"/>
                </a:solidFill>
              </a:ln>
            </c:spPr>
          </c:dPt>
          <c:dPt>
            <c:idx val="5"/>
            <c:bubble3D val="0"/>
            <c:spPr>
              <a:ln w="25400">
                <a:solidFill>
                  <a:srgbClr val="00B050"/>
                </a:solidFill>
              </a:ln>
            </c:spPr>
          </c:dPt>
          <c:dPt>
            <c:idx val="6"/>
            <c:bubble3D val="0"/>
            <c:spPr>
              <a:ln w="25400">
                <a:solidFill>
                  <a:srgbClr val="00B050"/>
                </a:solidFill>
              </a:ln>
            </c:spPr>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dPt>
            <c:idx val="19"/>
            <c:bubble3D val="0"/>
            <c:spPr>
              <a:ln w="25400">
                <a:solidFill>
                  <a:srgbClr val="00B050"/>
                </a:solidFill>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Stroke!$B$407:$AW$407</c:f>
              <c:numCache>
                <c:formatCode>0</c:formatCode>
                <c:ptCount val="48"/>
                <c:pt idx="0">
                  <c:v>64</c:v>
                </c:pt>
                <c:pt idx="1">
                  <c:v>70</c:v>
                </c:pt>
                <c:pt idx="2">
                  <c:v>58</c:v>
                </c:pt>
                <c:pt idx="3">
                  <c:v>50</c:v>
                </c:pt>
                <c:pt idx="4">
                  <c:v>56</c:v>
                </c:pt>
                <c:pt idx="5">
                  <c:v>58</c:v>
                </c:pt>
                <c:pt idx="6">
                  <c:v>64</c:v>
                </c:pt>
                <c:pt idx="7">
                  <c:v>76</c:v>
                </c:pt>
                <c:pt idx="8">
                  <c:v>54</c:v>
                </c:pt>
                <c:pt idx="9">
                  <c:v>70</c:v>
                </c:pt>
                <c:pt idx="10">
                  <c:v>60</c:v>
                </c:pt>
                <c:pt idx="11">
                  <c:v>49</c:v>
                </c:pt>
                <c:pt idx="12">
                  <c:v>68</c:v>
                </c:pt>
                <c:pt idx="13">
                  <c:v>71</c:v>
                </c:pt>
                <c:pt idx="14">
                  <c:v>61</c:v>
                </c:pt>
                <c:pt idx="15">
                  <c:v>59</c:v>
                </c:pt>
                <c:pt idx="16">
                  <c:v>52</c:v>
                </c:pt>
                <c:pt idx="17">
                  <c:v>57</c:v>
                </c:pt>
                <c:pt idx="18">
                  <c:v>46</c:v>
                </c:pt>
                <c:pt idx="19">
                  <c:v>50</c:v>
                </c:pt>
                <c:pt idx="20">
                  <c:v>71</c:v>
                </c:pt>
                <c:pt idx="21">
                  <c:v>54</c:v>
                </c:pt>
                <c:pt idx="22">
                  <c:v>51</c:v>
                </c:pt>
                <c:pt idx="23">
                  <c:v>71</c:v>
                </c:pt>
                <c:pt idx="24">
                  <c:v>68</c:v>
                </c:pt>
                <c:pt idx="25">
                  <c:v>75</c:v>
                </c:pt>
                <c:pt idx="26">
                  <c:v>61</c:v>
                </c:pt>
              </c:numCache>
            </c:numRef>
          </c:val>
          <c:smooth val="0"/>
        </c:ser>
        <c:ser>
          <c:idx val="2"/>
          <c:order val="1"/>
          <c:tx>
            <c:strRef>
              <c:f>Stroke!$A$410</c:f>
              <c:strCache>
                <c:ptCount val="1"/>
                <c:pt idx="0">
                  <c:v>Mean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Stroke!$B$410:$AW$410</c:f>
              <c:numCache>
                <c:formatCode>0</c:formatCode>
                <c:ptCount val="48"/>
                <c:pt idx="0">
                  <c:v>71.478260869565219</c:v>
                </c:pt>
                <c:pt idx="1">
                  <c:v>71.478260869565219</c:v>
                </c:pt>
                <c:pt idx="2">
                  <c:v>71.478260869565219</c:v>
                </c:pt>
                <c:pt idx="3">
                  <c:v>71.478260869565219</c:v>
                </c:pt>
                <c:pt idx="4">
                  <c:v>71.478260869565219</c:v>
                </c:pt>
                <c:pt idx="5">
                  <c:v>71.478260869565219</c:v>
                </c:pt>
                <c:pt idx="6">
                  <c:v>71.478260869565219</c:v>
                </c:pt>
                <c:pt idx="7">
                  <c:v>71.478260869565219</c:v>
                </c:pt>
                <c:pt idx="8">
                  <c:v>71.478260869565219</c:v>
                </c:pt>
                <c:pt idx="9">
                  <c:v>71.478260869565219</c:v>
                </c:pt>
                <c:pt idx="10">
                  <c:v>71.478260869565219</c:v>
                </c:pt>
                <c:pt idx="11">
                  <c:v>71.478260869565219</c:v>
                </c:pt>
                <c:pt idx="12">
                  <c:v>71.478260869565219</c:v>
                </c:pt>
                <c:pt idx="13">
                  <c:v>71.478260869565219</c:v>
                </c:pt>
                <c:pt idx="14">
                  <c:v>71.478260869565219</c:v>
                </c:pt>
                <c:pt idx="15">
                  <c:v>71.478260869565219</c:v>
                </c:pt>
                <c:pt idx="16">
                  <c:v>71.478260869565219</c:v>
                </c:pt>
                <c:pt idx="17">
                  <c:v>71.478260869565219</c:v>
                </c:pt>
                <c:pt idx="18">
                  <c:v>71.478260869565219</c:v>
                </c:pt>
                <c:pt idx="19">
                  <c:v>71.478260869565219</c:v>
                </c:pt>
                <c:pt idx="20">
                  <c:v>71.478260869565219</c:v>
                </c:pt>
                <c:pt idx="21">
                  <c:v>71.478260869565219</c:v>
                </c:pt>
                <c:pt idx="22">
                  <c:v>71.478260869565219</c:v>
                </c:pt>
                <c:pt idx="23">
                  <c:v>71.478260869565219</c:v>
                </c:pt>
                <c:pt idx="24">
                  <c:v>71.478260869565219</c:v>
                </c:pt>
                <c:pt idx="25">
                  <c:v>71.478260869565219</c:v>
                </c:pt>
                <c:pt idx="26">
                  <c:v>71.478260869565219</c:v>
                </c:pt>
                <c:pt idx="27">
                  <c:v>71.478260869565219</c:v>
                </c:pt>
                <c:pt idx="28">
                  <c:v>71.478260869565219</c:v>
                </c:pt>
                <c:pt idx="29">
                  <c:v>71.478260869565219</c:v>
                </c:pt>
                <c:pt idx="30">
                  <c:v>71.478260869565219</c:v>
                </c:pt>
                <c:pt idx="31">
                  <c:v>71.478260869565219</c:v>
                </c:pt>
                <c:pt idx="32">
                  <c:v>71.478260869565219</c:v>
                </c:pt>
                <c:pt idx="33">
                  <c:v>71.478260869565219</c:v>
                </c:pt>
                <c:pt idx="34">
                  <c:v>71.478260869565219</c:v>
                </c:pt>
                <c:pt idx="35">
                  <c:v>71.478260869565219</c:v>
                </c:pt>
                <c:pt idx="36">
                  <c:v>71.478260869565219</c:v>
                </c:pt>
                <c:pt idx="37">
                  <c:v>71.478260869565219</c:v>
                </c:pt>
                <c:pt idx="38">
                  <c:v>71.478260869565219</c:v>
                </c:pt>
                <c:pt idx="39">
                  <c:v>71.478260869565219</c:v>
                </c:pt>
                <c:pt idx="40">
                  <c:v>71.478260869565219</c:v>
                </c:pt>
                <c:pt idx="41">
                  <c:v>71.478260869565219</c:v>
                </c:pt>
                <c:pt idx="42">
                  <c:v>71.478260869565219</c:v>
                </c:pt>
                <c:pt idx="43">
                  <c:v>71.478260869565219</c:v>
                </c:pt>
                <c:pt idx="44">
                  <c:v>71.478260869565219</c:v>
                </c:pt>
                <c:pt idx="45">
                  <c:v>71.478260869565219</c:v>
                </c:pt>
                <c:pt idx="46">
                  <c:v>71.478260869565219</c:v>
                </c:pt>
                <c:pt idx="47">
                  <c:v>71.478260869565219</c:v>
                </c:pt>
              </c:numCache>
            </c:numRef>
          </c:val>
          <c:smooth val="0"/>
        </c:ser>
        <c:ser>
          <c:idx val="3"/>
          <c:order val="2"/>
          <c:tx>
            <c:strRef>
              <c:f>Stroke!$A$413</c:f>
              <c:strCache>
                <c:ptCount val="1"/>
                <c:pt idx="0">
                  <c:v>Upper Control Limit</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Stroke!$B$413:$AW$413</c:f>
              <c:numCache>
                <c:formatCode>0</c:formatCode>
                <c:ptCount val="48"/>
                <c:pt idx="0">
                  <c:v>102.54692624674124</c:v>
                </c:pt>
                <c:pt idx="1">
                  <c:v>102.54692624674124</c:v>
                </c:pt>
                <c:pt idx="2">
                  <c:v>102.54692624674124</c:v>
                </c:pt>
                <c:pt idx="3">
                  <c:v>102.54692624674124</c:v>
                </c:pt>
                <c:pt idx="4">
                  <c:v>102.54692624674124</c:v>
                </c:pt>
                <c:pt idx="5">
                  <c:v>102.54692624674124</c:v>
                </c:pt>
                <c:pt idx="6">
                  <c:v>102.54692624674124</c:v>
                </c:pt>
                <c:pt idx="7">
                  <c:v>102.54692624674124</c:v>
                </c:pt>
                <c:pt idx="8">
                  <c:v>102.54692624674124</c:v>
                </c:pt>
                <c:pt idx="9">
                  <c:v>102.54692624674124</c:v>
                </c:pt>
                <c:pt idx="10">
                  <c:v>102.54692624674124</c:v>
                </c:pt>
                <c:pt idx="11">
                  <c:v>102.54692624674124</c:v>
                </c:pt>
                <c:pt idx="12">
                  <c:v>102.54692624674124</c:v>
                </c:pt>
                <c:pt idx="13">
                  <c:v>102.54692624674124</c:v>
                </c:pt>
                <c:pt idx="14">
                  <c:v>102.54692624674124</c:v>
                </c:pt>
                <c:pt idx="15">
                  <c:v>102.54692624674124</c:v>
                </c:pt>
                <c:pt idx="16">
                  <c:v>102.54692624674124</c:v>
                </c:pt>
                <c:pt idx="17">
                  <c:v>102.54692624674124</c:v>
                </c:pt>
                <c:pt idx="18">
                  <c:v>102.54692624674124</c:v>
                </c:pt>
                <c:pt idx="19">
                  <c:v>102.54692624674124</c:v>
                </c:pt>
                <c:pt idx="20">
                  <c:v>102.54692624674124</c:v>
                </c:pt>
                <c:pt idx="21">
                  <c:v>102.54692624674124</c:v>
                </c:pt>
                <c:pt idx="22">
                  <c:v>102.54692624674124</c:v>
                </c:pt>
                <c:pt idx="23">
                  <c:v>102.54692624674124</c:v>
                </c:pt>
                <c:pt idx="24">
                  <c:v>102.54692624674124</c:v>
                </c:pt>
                <c:pt idx="25">
                  <c:v>102.54692624674124</c:v>
                </c:pt>
                <c:pt idx="26">
                  <c:v>102.54692624674124</c:v>
                </c:pt>
                <c:pt idx="27">
                  <c:v>102.54692624674124</c:v>
                </c:pt>
                <c:pt idx="28">
                  <c:v>102.54692624674124</c:v>
                </c:pt>
                <c:pt idx="29">
                  <c:v>102.54692624674124</c:v>
                </c:pt>
                <c:pt idx="30">
                  <c:v>102.54692624674124</c:v>
                </c:pt>
                <c:pt idx="31">
                  <c:v>102.54692624674124</c:v>
                </c:pt>
                <c:pt idx="32">
                  <c:v>102.54692624674124</c:v>
                </c:pt>
                <c:pt idx="33">
                  <c:v>102.54692624674124</c:v>
                </c:pt>
                <c:pt idx="34">
                  <c:v>102.54692624674124</c:v>
                </c:pt>
                <c:pt idx="35">
                  <c:v>102.54692624674124</c:v>
                </c:pt>
                <c:pt idx="36">
                  <c:v>102.54692624674124</c:v>
                </c:pt>
                <c:pt idx="37">
                  <c:v>102.54692624674124</c:v>
                </c:pt>
                <c:pt idx="38">
                  <c:v>102.54692624674124</c:v>
                </c:pt>
                <c:pt idx="39">
                  <c:v>102.54692624674124</c:v>
                </c:pt>
                <c:pt idx="40">
                  <c:v>102.54692624674124</c:v>
                </c:pt>
                <c:pt idx="41">
                  <c:v>102.54692624674124</c:v>
                </c:pt>
                <c:pt idx="42">
                  <c:v>102.54692624674124</c:v>
                </c:pt>
                <c:pt idx="43">
                  <c:v>102.54692624674124</c:v>
                </c:pt>
                <c:pt idx="44">
                  <c:v>102.54692624674124</c:v>
                </c:pt>
                <c:pt idx="45">
                  <c:v>102.54692624674124</c:v>
                </c:pt>
                <c:pt idx="46">
                  <c:v>102.54692624674124</c:v>
                </c:pt>
                <c:pt idx="47">
                  <c:v>102.54692624674124</c:v>
                </c:pt>
              </c:numCache>
            </c:numRef>
          </c:val>
          <c:smooth val="0"/>
        </c:ser>
        <c:ser>
          <c:idx val="4"/>
          <c:order val="3"/>
          <c:tx>
            <c:strRef>
              <c:f>Stroke!$A$414</c:f>
              <c:strCache>
                <c:ptCount val="1"/>
                <c:pt idx="0">
                  <c:v>Lower Control Limit</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Stroke!$B$414:$AW$414</c:f>
              <c:numCache>
                <c:formatCode>0</c:formatCode>
                <c:ptCount val="48"/>
                <c:pt idx="0">
                  <c:v>40.409595492389201</c:v>
                </c:pt>
                <c:pt idx="1">
                  <c:v>40.409595492389201</c:v>
                </c:pt>
                <c:pt idx="2">
                  <c:v>40.409595492389201</c:v>
                </c:pt>
                <c:pt idx="3">
                  <c:v>40.409595492389201</c:v>
                </c:pt>
                <c:pt idx="4">
                  <c:v>40.409595492389201</c:v>
                </c:pt>
                <c:pt idx="5">
                  <c:v>40.409595492389201</c:v>
                </c:pt>
                <c:pt idx="6">
                  <c:v>40.409595492389201</c:v>
                </c:pt>
                <c:pt idx="7">
                  <c:v>40.409595492389201</c:v>
                </c:pt>
                <c:pt idx="8">
                  <c:v>40.409595492389201</c:v>
                </c:pt>
                <c:pt idx="9">
                  <c:v>40.409595492389201</c:v>
                </c:pt>
                <c:pt idx="10">
                  <c:v>40.409595492389201</c:v>
                </c:pt>
                <c:pt idx="11">
                  <c:v>40.409595492389201</c:v>
                </c:pt>
                <c:pt idx="12">
                  <c:v>40.409595492389201</c:v>
                </c:pt>
                <c:pt idx="13">
                  <c:v>40.409595492389201</c:v>
                </c:pt>
                <c:pt idx="14">
                  <c:v>40.409595492389201</c:v>
                </c:pt>
                <c:pt idx="15">
                  <c:v>40.409595492389201</c:v>
                </c:pt>
                <c:pt idx="16">
                  <c:v>40.409595492389201</c:v>
                </c:pt>
                <c:pt idx="17">
                  <c:v>40.409595492389201</c:v>
                </c:pt>
                <c:pt idx="18">
                  <c:v>40.409595492389201</c:v>
                </c:pt>
                <c:pt idx="19">
                  <c:v>40.409595492389201</c:v>
                </c:pt>
                <c:pt idx="20">
                  <c:v>40.409595492389201</c:v>
                </c:pt>
                <c:pt idx="21">
                  <c:v>40.409595492389201</c:v>
                </c:pt>
                <c:pt idx="22">
                  <c:v>40.409595492389201</c:v>
                </c:pt>
                <c:pt idx="23">
                  <c:v>40.409595492389201</c:v>
                </c:pt>
                <c:pt idx="24">
                  <c:v>40.409595492389201</c:v>
                </c:pt>
                <c:pt idx="25">
                  <c:v>40.409595492389201</c:v>
                </c:pt>
                <c:pt idx="26">
                  <c:v>40.409595492389201</c:v>
                </c:pt>
                <c:pt idx="27">
                  <c:v>40.409595492389201</c:v>
                </c:pt>
                <c:pt idx="28">
                  <c:v>40.409595492389201</c:v>
                </c:pt>
                <c:pt idx="29">
                  <c:v>40.409595492389201</c:v>
                </c:pt>
                <c:pt idx="30">
                  <c:v>40.409595492389201</c:v>
                </c:pt>
                <c:pt idx="31">
                  <c:v>40.409595492389201</c:v>
                </c:pt>
                <c:pt idx="32">
                  <c:v>40.409595492389201</c:v>
                </c:pt>
                <c:pt idx="33">
                  <c:v>40.409595492389201</c:v>
                </c:pt>
                <c:pt idx="34">
                  <c:v>40.409595492389201</c:v>
                </c:pt>
                <c:pt idx="35">
                  <c:v>40.409595492389201</c:v>
                </c:pt>
                <c:pt idx="36">
                  <c:v>40.409595492389201</c:v>
                </c:pt>
                <c:pt idx="37">
                  <c:v>40.409595492389201</c:v>
                </c:pt>
                <c:pt idx="38">
                  <c:v>40.409595492389201</c:v>
                </c:pt>
                <c:pt idx="39">
                  <c:v>40.409595492389201</c:v>
                </c:pt>
                <c:pt idx="40">
                  <c:v>40.409595492389201</c:v>
                </c:pt>
                <c:pt idx="41">
                  <c:v>40.409595492389201</c:v>
                </c:pt>
                <c:pt idx="42">
                  <c:v>40.409595492389201</c:v>
                </c:pt>
                <c:pt idx="43">
                  <c:v>40.409595492389201</c:v>
                </c:pt>
                <c:pt idx="44">
                  <c:v>40.409595492389201</c:v>
                </c:pt>
                <c:pt idx="45">
                  <c:v>40.409595492389201</c:v>
                </c:pt>
                <c:pt idx="46">
                  <c:v>40.409595492389201</c:v>
                </c:pt>
                <c:pt idx="47">
                  <c:v>40.409595492389201</c:v>
                </c:pt>
              </c:numCache>
            </c:numRef>
          </c:val>
          <c:smooth val="0"/>
        </c:ser>
        <c:dLbls>
          <c:showLegendKey val="0"/>
          <c:showVal val="0"/>
          <c:showCatName val="0"/>
          <c:showSerName val="0"/>
          <c:showPercent val="0"/>
          <c:showBubbleSize val="0"/>
        </c:dLbls>
        <c:marker val="1"/>
        <c:smooth val="0"/>
        <c:axId val="147740672"/>
        <c:axId val="147679488"/>
      </c:lineChart>
      <c:dateAx>
        <c:axId val="14774067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7679488"/>
        <c:crosses val="autoZero"/>
        <c:auto val="1"/>
        <c:lblOffset val="100"/>
        <c:baseTimeUnit val="months"/>
      </c:dateAx>
      <c:valAx>
        <c:axId val="14767948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7740672"/>
        <c:crosses val="autoZero"/>
        <c:crossBetween val="between"/>
      </c:valAx>
    </c:plotArea>
    <c:legend>
      <c:legendPos val="r"/>
      <c:layout>
        <c:manualLayout>
          <c:xMode val="edge"/>
          <c:yMode val="edge"/>
          <c:x val="5.4759279676589487E-2"/>
          <c:y val="0.90299823633158105"/>
          <c:w val="0.91780962881293637"/>
          <c:h val="9.7001763668430344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751"/>
        </c:manualLayout>
      </c:layout>
      <c:lineChart>
        <c:grouping val="standard"/>
        <c:varyColors val="0"/>
        <c:ser>
          <c:idx val="0"/>
          <c:order val="0"/>
          <c:tx>
            <c:strRef>
              <c:f>Stroke!$A$364</c:f>
              <c:strCache>
                <c:ptCount val="1"/>
                <c:pt idx="0">
                  <c:v>Number swallow screened on day of admission (to Mar 16 inc.)/ within four hours of admission (from Apr 16 incl.)</c:v>
                </c:pt>
              </c:strCache>
            </c:strRef>
          </c:tx>
          <c:spPr>
            <a:ln w="25400">
              <a:solidFill>
                <a:srgbClr val="0070C0"/>
              </a:solidFill>
            </a:ln>
          </c:spPr>
          <c:marker>
            <c:symbol val="circle"/>
            <c:size val="5"/>
          </c:marker>
          <c:dPt>
            <c:idx val="12"/>
            <c:bubble3D val="0"/>
            <c:spPr>
              <a:ln w="25400">
                <a:noFill/>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Stroke!$B$364:$AW$364</c:f>
              <c:numCache>
                <c:formatCode>0</c:formatCode>
                <c:ptCount val="48"/>
                <c:pt idx="0">
                  <c:v>89</c:v>
                </c:pt>
                <c:pt idx="1">
                  <c:v>105</c:v>
                </c:pt>
                <c:pt idx="2">
                  <c:v>80</c:v>
                </c:pt>
                <c:pt idx="3">
                  <c:v>78</c:v>
                </c:pt>
                <c:pt idx="4">
                  <c:v>88</c:v>
                </c:pt>
                <c:pt idx="5">
                  <c:v>94</c:v>
                </c:pt>
                <c:pt idx="6">
                  <c:v>106</c:v>
                </c:pt>
                <c:pt idx="7">
                  <c:v>107</c:v>
                </c:pt>
                <c:pt idx="8">
                  <c:v>86</c:v>
                </c:pt>
                <c:pt idx="9">
                  <c:v>106</c:v>
                </c:pt>
                <c:pt idx="10">
                  <c:v>100</c:v>
                </c:pt>
                <c:pt idx="11">
                  <c:v>87</c:v>
                </c:pt>
                <c:pt idx="12">
                  <c:v>102</c:v>
                </c:pt>
                <c:pt idx="13">
                  <c:v>93</c:v>
                </c:pt>
                <c:pt idx="14">
                  <c:v>103</c:v>
                </c:pt>
                <c:pt idx="15">
                  <c:v>103</c:v>
                </c:pt>
                <c:pt idx="16">
                  <c:v>96</c:v>
                </c:pt>
                <c:pt idx="17">
                  <c:v>102</c:v>
                </c:pt>
                <c:pt idx="18">
                  <c:v>105</c:v>
                </c:pt>
                <c:pt idx="19">
                  <c:v>85</c:v>
                </c:pt>
                <c:pt idx="20">
                  <c:v>117</c:v>
                </c:pt>
                <c:pt idx="21">
                  <c:v>102</c:v>
                </c:pt>
                <c:pt idx="22">
                  <c:v>80</c:v>
                </c:pt>
                <c:pt idx="23">
                  <c:v>123</c:v>
                </c:pt>
                <c:pt idx="24">
                  <c:v>102</c:v>
                </c:pt>
                <c:pt idx="25">
                  <c:v>119</c:v>
                </c:pt>
                <c:pt idx="26">
                  <c:v>117</c:v>
                </c:pt>
              </c:numCache>
            </c:numRef>
          </c:val>
          <c:smooth val="0"/>
        </c:ser>
        <c:ser>
          <c:idx val="2"/>
          <c:order val="1"/>
          <c:tx>
            <c:strRef>
              <c:f>Stroke!$A$369</c:f>
              <c:strCache>
                <c:ptCount val="1"/>
                <c:pt idx="0">
                  <c:v>Mean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Stroke!$B$369:$AW$369</c:f>
              <c:numCache>
                <c:formatCode>0</c:formatCode>
                <c:ptCount val="48"/>
                <c:pt idx="0">
                  <c:v>99.074074074074076</c:v>
                </c:pt>
                <c:pt idx="1">
                  <c:v>99.074074074074076</c:v>
                </c:pt>
                <c:pt idx="2">
                  <c:v>99.074074074074076</c:v>
                </c:pt>
                <c:pt idx="3">
                  <c:v>99.074074074074076</c:v>
                </c:pt>
                <c:pt idx="4">
                  <c:v>99.074074074074076</c:v>
                </c:pt>
                <c:pt idx="5">
                  <c:v>99.074074074074076</c:v>
                </c:pt>
                <c:pt idx="6">
                  <c:v>99.074074074074076</c:v>
                </c:pt>
                <c:pt idx="7">
                  <c:v>99.074074074074076</c:v>
                </c:pt>
                <c:pt idx="8">
                  <c:v>99.074074074074076</c:v>
                </c:pt>
                <c:pt idx="9">
                  <c:v>99.074074074074076</c:v>
                </c:pt>
                <c:pt idx="10">
                  <c:v>99.074074074074076</c:v>
                </c:pt>
                <c:pt idx="11">
                  <c:v>99.074074074074076</c:v>
                </c:pt>
                <c:pt idx="12">
                  <c:v>99.074074074074076</c:v>
                </c:pt>
                <c:pt idx="13">
                  <c:v>99.074074074074076</c:v>
                </c:pt>
                <c:pt idx="14">
                  <c:v>99.074074074074076</c:v>
                </c:pt>
                <c:pt idx="15">
                  <c:v>99.074074074074076</c:v>
                </c:pt>
                <c:pt idx="16">
                  <c:v>99.074074074074076</c:v>
                </c:pt>
                <c:pt idx="17">
                  <c:v>99.074074074074076</c:v>
                </c:pt>
                <c:pt idx="18">
                  <c:v>99.074074074074076</c:v>
                </c:pt>
                <c:pt idx="19">
                  <c:v>99.074074074074076</c:v>
                </c:pt>
                <c:pt idx="20">
                  <c:v>99.074074074074076</c:v>
                </c:pt>
                <c:pt idx="21">
                  <c:v>99.074074074074076</c:v>
                </c:pt>
                <c:pt idx="22">
                  <c:v>99.074074074074076</c:v>
                </c:pt>
                <c:pt idx="23">
                  <c:v>99.074074074074076</c:v>
                </c:pt>
                <c:pt idx="24">
                  <c:v>99.074074074074076</c:v>
                </c:pt>
                <c:pt idx="25">
                  <c:v>99.074074074074076</c:v>
                </c:pt>
                <c:pt idx="26">
                  <c:v>99.074074074074076</c:v>
                </c:pt>
                <c:pt idx="27">
                  <c:v>99.074074074074076</c:v>
                </c:pt>
                <c:pt idx="28">
                  <c:v>99.074074074074076</c:v>
                </c:pt>
                <c:pt idx="29">
                  <c:v>99.074074074074076</c:v>
                </c:pt>
                <c:pt idx="30">
                  <c:v>99.074074074074076</c:v>
                </c:pt>
                <c:pt idx="31">
                  <c:v>99.074074074074076</c:v>
                </c:pt>
                <c:pt idx="32">
                  <c:v>99.074074074074076</c:v>
                </c:pt>
                <c:pt idx="33">
                  <c:v>99.074074074074076</c:v>
                </c:pt>
                <c:pt idx="34">
                  <c:v>99.074074074074076</c:v>
                </c:pt>
                <c:pt idx="35">
                  <c:v>99.074074074074076</c:v>
                </c:pt>
                <c:pt idx="36">
                  <c:v>99.074074074074076</c:v>
                </c:pt>
                <c:pt idx="37">
                  <c:v>99.074074074074076</c:v>
                </c:pt>
                <c:pt idx="38">
                  <c:v>99.074074074074076</c:v>
                </c:pt>
                <c:pt idx="39">
                  <c:v>99.074074074074076</c:v>
                </c:pt>
                <c:pt idx="40">
                  <c:v>99.074074074074076</c:v>
                </c:pt>
                <c:pt idx="41">
                  <c:v>99.074074074074076</c:v>
                </c:pt>
                <c:pt idx="42">
                  <c:v>99.074074074074076</c:v>
                </c:pt>
                <c:pt idx="43">
                  <c:v>99.074074074074076</c:v>
                </c:pt>
                <c:pt idx="44">
                  <c:v>99.074074074074076</c:v>
                </c:pt>
                <c:pt idx="45">
                  <c:v>99.074074074074076</c:v>
                </c:pt>
                <c:pt idx="46">
                  <c:v>99.074074074074076</c:v>
                </c:pt>
                <c:pt idx="47">
                  <c:v>99.074074074074076</c:v>
                </c:pt>
              </c:numCache>
            </c:numRef>
          </c:val>
          <c:smooth val="0"/>
        </c:ser>
        <c:ser>
          <c:idx val="3"/>
          <c:order val="2"/>
          <c:tx>
            <c:strRef>
              <c:f>Stroke!$A$372</c:f>
              <c:strCache>
                <c:ptCount val="1"/>
                <c:pt idx="0">
                  <c:v>Upper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Stroke!$B$372:$AW$372</c:f>
              <c:numCache>
                <c:formatCode>0</c:formatCode>
                <c:ptCount val="48"/>
                <c:pt idx="0">
                  <c:v>141.86904506053443</c:v>
                </c:pt>
                <c:pt idx="1">
                  <c:v>141.86904506053443</c:v>
                </c:pt>
                <c:pt idx="2">
                  <c:v>141.86904506053443</c:v>
                </c:pt>
                <c:pt idx="3">
                  <c:v>141.86904506053443</c:v>
                </c:pt>
                <c:pt idx="4">
                  <c:v>141.86904506053443</c:v>
                </c:pt>
                <c:pt idx="5">
                  <c:v>141.86904506053443</c:v>
                </c:pt>
                <c:pt idx="6">
                  <c:v>141.86904506053443</c:v>
                </c:pt>
                <c:pt idx="7">
                  <c:v>141.86904506053443</c:v>
                </c:pt>
                <c:pt idx="8">
                  <c:v>141.86904506053443</c:v>
                </c:pt>
                <c:pt idx="9">
                  <c:v>141.86904506053443</c:v>
                </c:pt>
                <c:pt idx="10">
                  <c:v>141.86904506053443</c:v>
                </c:pt>
                <c:pt idx="11">
                  <c:v>141.86904506053443</c:v>
                </c:pt>
                <c:pt idx="12">
                  <c:v>141.86904506053443</c:v>
                </c:pt>
                <c:pt idx="13">
                  <c:v>141.86904506053443</c:v>
                </c:pt>
                <c:pt idx="14">
                  <c:v>141.86904506053443</c:v>
                </c:pt>
                <c:pt idx="15">
                  <c:v>141.86904506053443</c:v>
                </c:pt>
                <c:pt idx="16">
                  <c:v>141.86904506053443</c:v>
                </c:pt>
                <c:pt idx="17">
                  <c:v>141.86904506053443</c:v>
                </c:pt>
                <c:pt idx="18">
                  <c:v>141.86904506053443</c:v>
                </c:pt>
                <c:pt idx="19">
                  <c:v>141.86904506053443</c:v>
                </c:pt>
                <c:pt idx="20">
                  <c:v>141.86904506053443</c:v>
                </c:pt>
                <c:pt idx="21">
                  <c:v>141.86904506053443</c:v>
                </c:pt>
                <c:pt idx="22">
                  <c:v>141.86904506053443</c:v>
                </c:pt>
                <c:pt idx="23">
                  <c:v>141.86904506053443</c:v>
                </c:pt>
                <c:pt idx="24">
                  <c:v>141.86904506053443</c:v>
                </c:pt>
                <c:pt idx="25">
                  <c:v>141.86904506053443</c:v>
                </c:pt>
                <c:pt idx="26">
                  <c:v>141.86904506053443</c:v>
                </c:pt>
                <c:pt idx="27">
                  <c:v>141.86904506053443</c:v>
                </c:pt>
                <c:pt idx="28">
                  <c:v>141.86904506053443</c:v>
                </c:pt>
                <c:pt idx="29">
                  <c:v>141.86904506053443</c:v>
                </c:pt>
                <c:pt idx="30">
                  <c:v>141.86904506053443</c:v>
                </c:pt>
                <c:pt idx="31">
                  <c:v>141.86904506053443</c:v>
                </c:pt>
                <c:pt idx="32">
                  <c:v>141.86904506053443</c:v>
                </c:pt>
                <c:pt idx="33">
                  <c:v>141.86904506053443</c:v>
                </c:pt>
                <c:pt idx="34">
                  <c:v>141.86904506053443</c:v>
                </c:pt>
                <c:pt idx="35">
                  <c:v>141.86904506053443</c:v>
                </c:pt>
                <c:pt idx="36">
                  <c:v>141.86904506053443</c:v>
                </c:pt>
                <c:pt idx="37">
                  <c:v>141.86904506053443</c:v>
                </c:pt>
                <c:pt idx="38">
                  <c:v>141.86904506053443</c:v>
                </c:pt>
                <c:pt idx="39">
                  <c:v>141.86904506053443</c:v>
                </c:pt>
                <c:pt idx="40">
                  <c:v>141.86904506053443</c:v>
                </c:pt>
                <c:pt idx="41">
                  <c:v>141.86904506053443</c:v>
                </c:pt>
                <c:pt idx="42">
                  <c:v>141.86904506053443</c:v>
                </c:pt>
                <c:pt idx="43">
                  <c:v>141.86904506053443</c:v>
                </c:pt>
                <c:pt idx="44">
                  <c:v>141.86904506053443</c:v>
                </c:pt>
                <c:pt idx="45">
                  <c:v>141.86904506053443</c:v>
                </c:pt>
                <c:pt idx="46">
                  <c:v>141.86904506053443</c:v>
                </c:pt>
                <c:pt idx="47">
                  <c:v>141.86904506053443</c:v>
                </c:pt>
              </c:numCache>
            </c:numRef>
          </c:val>
          <c:smooth val="0"/>
        </c:ser>
        <c:ser>
          <c:idx val="4"/>
          <c:order val="3"/>
          <c:tx>
            <c:strRef>
              <c:f>Stroke!$A$373</c:f>
              <c:strCache>
                <c:ptCount val="1"/>
                <c:pt idx="0">
                  <c:v>Lower Control Limit</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Stroke!$B$373:$AW$373</c:f>
              <c:numCache>
                <c:formatCode>0</c:formatCode>
                <c:ptCount val="48"/>
                <c:pt idx="0">
                  <c:v>56.279103087613727</c:v>
                </c:pt>
                <c:pt idx="1">
                  <c:v>56.279103087613727</c:v>
                </c:pt>
                <c:pt idx="2">
                  <c:v>56.279103087613727</c:v>
                </c:pt>
                <c:pt idx="3">
                  <c:v>56.279103087613727</c:v>
                </c:pt>
                <c:pt idx="4">
                  <c:v>56.279103087613727</c:v>
                </c:pt>
                <c:pt idx="5">
                  <c:v>56.279103087613727</c:v>
                </c:pt>
                <c:pt idx="6">
                  <c:v>56.279103087613727</c:v>
                </c:pt>
                <c:pt idx="7">
                  <c:v>56.279103087613727</c:v>
                </c:pt>
                <c:pt idx="8">
                  <c:v>56.279103087613727</c:v>
                </c:pt>
                <c:pt idx="9">
                  <c:v>56.279103087613727</c:v>
                </c:pt>
                <c:pt idx="10">
                  <c:v>56.279103087613727</c:v>
                </c:pt>
                <c:pt idx="11">
                  <c:v>56.279103087613727</c:v>
                </c:pt>
                <c:pt idx="12">
                  <c:v>56.279103087613727</c:v>
                </c:pt>
                <c:pt idx="13">
                  <c:v>56.279103087613727</c:v>
                </c:pt>
                <c:pt idx="14">
                  <c:v>56.279103087613727</c:v>
                </c:pt>
                <c:pt idx="15">
                  <c:v>56.279103087613727</c:v>
                </c:pt>
                <c:pt idx="16">
                  <c:v>56.279103087613727</c:v>
                </c:pt>
                <c:pt idx="17">
                  <c:v>56.279103087613727</c:v>
                </c:pt>
                <c:pt idx="18">
                  <c:v>56.279103087613727</c:v>
                </c:pt>
                <c:pt idx="19">
                  <c:v>56.279103087613727</c:v>
                </c:pt>
                <c:pt idx="20">
                  <c:v>56.279103087613727</c:v>
                </c:pt>
                <c:pt idx="21">
                  <c:v>56.279103087613727</c:v>
                </c:pt>
                <c:pt idx="22">
                  <c:v>56.279103087613727</c:v>
                </c:pt>
                <c:pt idx="23">
                  <c:v>56.279103087613727</c:v>
                </c:pt>
                <c:pt idx="24">
                  <c:v>56.279103087613727</c:v>
                </c:pt>
                <c:pt idx="25">
                  <c:v>56.279103087613727</c:v>
                </c:pt>
                <c:pt idx="26">
                  <c:v>56.279103087613727</c:v>
                </c:pt>
                <c:pt idx="27">
                  <c:v>56.279103087613727</c:v>
                </c:pt>
                <c:pt idx="28">
                  <c:v>56.279103087613727</c:v>
                </c:pt>
                <c:pt idx="29">
                  <c:v>56.279103087613727</c:v>
                </c:pt>
                <c:pt idx="30">
                  <c:v>56.279103087613727</c:v>
                </c:pt>
                <c:pt idx="31">
                  <c:v>56.279103087613727</c:v>
                </c:pt>
                <c:pt idx="32">
                  <c:v>56.279103087613727</c:v>
                </c:pt>
                <c:pt idx="33">
                  <c:v>56.279103087613727</c:v>
                </c:pt>
                <c:pt idx="34">
                  <c:v>56.279103087613727</c:v>
                </c:pt>
                <c:pt idx="35">
                  <c:v>56.279103087613727</c:v>
                </c:pt>
                <c:pt idx="36">
                  <c:v>56.279103087613727</c:v>
                </c:pt>
                <c:pt idx="37">
                  <c:v>56.279103087613727</c:v>
                </c:pt>
                <c:pt idx="38">
                  <c:v>56.279103087613727</c:v>
                </c:pt>
                <c:pt idx="39">
                  <c:v>56.279103087613727</c:v>
                </c:pt>
                <c:pt idx="40">
                  <c:v>56.279103087613727</c:v>
                </c:pt>
                <c:pt idx="41">
                  <c:v>56.279103087613727</c:v>
                </c:pt>
                <c:pt idx="42">
                  <c:v>56.279103087613727</c:v>
                </c:pt>
                <c:pt idx="43">
                  <c:v>56.279103087613727</c:v>
                </c:pt>
                <c:pt idx="44">
                  <c:v>56.279103087613727</c:v>
                </c:pt>
                <c:pt idx="45">
                  <c:v>56.279103087613727</c:v>
                </c:pt>
                <c:pt idx="46">
                  <c:v>56.279103087613727</c:v>
                </c:pt>
                <c:pt idx="47">
                  <c:v>56.279103087613727</c:v>
                </c:pt>
              </c:numCache>
            </c:numRef>
          </c:val>
          <c:smooth val="0"/>
        </c:ser>
        <c:dLbls>
          <c:showLegendKey val="0"/>
          <c:showVal val="0"/>
          <c:showCatName val="0"/>
          <c:showSerName val="0"/>
          <c:showPercent val="0"/>
          <c:showBubbleSize val="0"/>
        </c:dLbls>
        <c:marker val="1"/>
        <c:smooth val="0"/>
        <c:axId val="147741184"/>
        <c:axId val="147681792"/>
      </c:lineChart>
      <c:dateAx>
        <c:axId val="14774118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7681792"/>
        <c:crosses val="autoZero"/>
        <c:auto val="1"/>
        <c:lblOffset val="100"/>
        <c:baseTimeUnit val="months"/>
      </c:dateAx>
      <c:valAx>
        <c:axId val="147681792"/>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7741184"/>
        <c:crosses val="autoZero"/>
        <c:crossBetween val="between"/>
      </c:valAx>
    </c:plotArea>
    <c:legend>
      <c:legendPos val="r"/>
      <c:layout>
        <c:manualLayout>
          <c:xMode val="edge"/>
          <c:yMode val="edge"/>
          <c:x val="5.4759279676589487E-2"/>
          <c:y val="0.92063492063492069"/>
          <c:w val="0.9112900247998218"/>
          <c:h val="7.9365079365079361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706"/>
        </c:manualLayout>
      </c:layout>
      <c:lineChart>
        <c:grouping val="standard"/>
        <c:varyColors val="0"/>
        <c:ser>
          <c:idx val="1"/>
          <c:order val="0"/>
          <c:tx>
            <c:strRef>
              <c:f>Stroke!$A$312</c:f>
              <c:strCache>
                <c:ptCount val="1"/>
                <c:pt idx="0">
                  <c:v>Stroke Bundle Performance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Stroke!$B$312:$AW$312</c:f>
              <c:numCache>
                <c:formatCode>0.0%</c:formatCode>
                <c:ptCount val="48"/>
                <c:pt idx="0">
                  <c:v>0.66972477064220182</c:v>
                </c:pt>
                <c:pt idx="1">
                  <c:v>0.58730158730158732</c:v>
                </c:pt>
                <c:pt idx="2">
                  <c:v>0.57731958762886593</c:v>
                </c:pt>
                <c:pt idx="3">
                  <c:v>0.51546391752577314</c:v>
                </c:pt>
                <c:pt idx="4">
                  <c:v>0.64705882352941169</c:v>
                </c:pt>
                <c:pt idx="5">
                  <c:v>0.66346153846153844</c:v>
                </c:pt>
                <c:pt idx="6">
                  <c:v>0.7899159663865547</c:v>
                </c:pt>
                <c:pt idx="7">
                  <c:v>0.65116279069767447</c:v>
                </c:pt>
                <c:pt idx="8">
                  <c:v>0.65048543689320393</c:v>
                </c:pt>
                <c:pt idx="9">
                  <c:v>0.71311475409836067</c:v>
                </c:pt>
                <c:pt idx="10">
                  <c:v>0.66101694915254239</c:v>
                </c:pt>
                <c:pt idx="11">
                  <c:v>0.6767676767676768</c:v>
                </c:pt>
                <c:pt idx="12">
                  <c:v>0.57099999999999995</c:v>
                </c:pt>
                <c:pt idx="13">
                  <c:v>0.54400000000000004</c:v>
                </c:pt>
                <c:pt idx="14">
                  <c:v>0.72</c:v>
                </c:pt>
                <c:pt idx="15">
                  <c:v>0.69299999999999995</c:v>
                </c:pt>
                <c:pt idx="16">
                  <c:v>0.72727272727272729</c:v>
                </c:pt>
                <c:pt idx="17">
                  <c:v>0.6717557251908397</c:v>
                </c:pt>
                <c:pt idx="18">
                  <c:v>0.6428571428571429</c:v>
                </c:pt>
                <c:pt idx="19">
                  <c:v>0.7289719626168224</c:v>
                </c:pt>
                <c:pt idx="20">
                  <c:v>0.61702127659574468</c:v>
                </c:pt>
                <c:pt idx="21">
                  <c:v>0.71186440677966101</c:v>
                </c:pt>
                <c:pt idx="22">
                  <c:v>0.72549019607843135</c:v>
                </c:pt>
                <c:pt idx="23">
                  <c:v>0.77372262773722644</c:v>
                </c:pt>
                <c:pt idx="24">
                  <c:v>0.6328125</c:v>
                </c:pt>
                <c:pt idx="25">
                  <c:v>0.73722627737226276</c:v>
                </c:pt>
                <c:pt idx="26">
                  <c:v>0.74436090225563911</c:v>
                </c:pt>
              </c:numCache>
            </c:numRef>
          </c:val>
          <c:smooth val="0"/>
        </c:ser>
        <c:ser>
          <c:idx val="2"/>
          <c:order val="1"/>
          <c:tx>
            <c:strRef>
              <c:f>Stroke!$A$316</c:f>
              <c:strCache>
                <c:ptCount val="1"/>
                <c:pt idx="0">
                  <c:v>Mean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Stroke!$B$316:$AW$316</c:f>
              <c:numCache>
                <c:formatCode>0.0%</c:formatCode>
                <c:ptCount val="48"/>
                <c:pt idx="0">
                  <c:v>0.66830183495710704</c:v>
                </c:pt>
                <c:pt idx="1">
                  <c:v>0.66830183495710704</c:v>
                </c:pt>
                <c:pt idx="2">
                  <c:v>0.66830183495710704</c:v>
                </c:pt>
                <c:pt idx="3">
                  <c:v>0.66830183495710704</c:v>
                </c:pt>
                <c:pt idx="4">
                  <c:v>0.66830183495710704</c:v>
                </c:pt>
                <c:pt idx="5">
                  <c:v>0.66830183495710704</c:v>
                </c:pt>
                <c:pt idx="6">
                  <c:v>0.66830183495710704</c:v>
                </c:pt>
                <c:pt idx="7">
                  <c:v>0.66830183495710704</c:v>
                </c:pt>
                <c:pt idx="8">
                  <c:v>0.66830183495710704</c:v>
                </c:pt>
                <c:pt idx="9">
                  <c:v>0.66830183495710704</c:v>
                </c:pt>
                <c:pt idx="10">
                  <c:v>0.66830183495710704</c:v>
                </c:pt>
                <c:pt idx="11">
                  <c:v>0.66830183495710704</c:v>
                </c:pt>
                <c:pt idx="12">
                  <c:v>0.66830183495710704</c:v>
                </c:pt>
                <c:pt idx="13">
                  <c:v>0.66830183495710704</c:v>
                </c:pt>
                <c:pt idx="14">
                  <c:v>0.66830183495710704</c:v>
                </c:pt>
                <c:pt idx="15">
                  <c:v>0.66830183495710704</c:v>
                </c:pt>
                <c:pt idx="16">
                  <c:v>0.66830183495710704</c:v>
                </c:pt>
                <c:pt idx="17">
                  <c:v>0.66830183495710704</c:v>
                </c:pt>
                <c:pt idx="18">
                  <c:v>0.66830183495710704</c:v>
                </c:pt>
                <c:pt idx="19">
                  <c:v>0.66830183495710704</c:v>
                </c:pt>
                <c:pt idx="20">
                  <c:v>0.66830183495710704</c:v>
                </c:pt>
                <c:pt idx="21">
                  <c:v>0.66830183495710704</c:v>
                </c:pt>
                <c:pt idx="22">
                  <c:v>0.66830183495710704</c:v>
                </c:pt>
                <c:pt idx="23">
                  <c:v>0.66830183495710704</c:v>
                </c:pt>
                <c:pt idx="24">
                  <c:v>0.66830183495710704</c:v>
                </c:pt>
                <c:pt idx="25">
                  <c:v>0.66830183495710704</c:v>
                </c:pt>
                <c:pt idx="26">
                  <c:v>0.66830183495710704</c:v>
                </c:pt>
                <c:pt idx="27">
                  <c:v>0.66830183495710704</c:v>
                </c:pt>
                <c:pt idx="28">
                  <c:v>0.66830183495710704</c:v>
                </c:pt>
                <c:pt idx="29">
                  <c:v>0.66830183495710704</c:v>
                </c:pt>
                <c:pt idx="30">
                  <c:v>0.66830183495710704</c:v>
                </c:pt>
                <c:pt idx="31">
                  <c:v>0.66830183495710704</c:v>
                </c:pt>
                <c:pt idx="32">
                  <c:v>0.66830183495710704</c:v>
                </c:pt>
                <c:pt idx="33">
                  <c:v>0.66830183495710704</c:v>
                </c:pt>
                <c:pt idx="34">
                  <c:v>0.66830183495710704</c:v>
                </c:pt>
                <c:pt idx="35">
                  <c:v>0.66830183495710704</c:v>
                </c:pt>
                <c:pt idx="36">
                  <c:v>0.66830183495710704</c:v>
                </c:pt>
                <c:pt idx="37">
                  <c:v>0.66830183495710704</c:v>
                </c:pt>
                <c:pt idx="38">
                  <c:v>0.66830183495710704</c:v>
                </c:pt>
                <c:pt idx="39">
                  <c:v>0.66830183495710704</c:v>
                </c:pt>
                <c:pt idx="40">
                  <c:v>0.66830183495710704</c:v>
                </c:pt>
                <c:pt idx="41">
                  <c:v>0.66830183495710704</c:v>
                </c:pt>
                <c:pt idx="42">
                  <c:v>0.66830183495710704</c:v>
                </c:pt>
                <c:pt idx="43">
                  <c:v>0.66830183495710704</c:v>
                </c:pt>
                <c:pt idx="44">
                  <c:v>0.66830183495710704</c:v>
                </c:pt>
                <c:pt idx="45">
                  <c:v>0.66830183495710704</c:v>
                </c:pt>
                <c:pt idx="46">
                  <c:v>0.66830183495710704</c:v>
                </c:pt>
                <c:pt idx="47">
                  <c:v>0.66830183495710704</c:v>
                </c:pt>
              </c:numCache>
            </c:numRef>
          </c:val>
          <c:smooth val="0"/>
        </c:ser>
        <c:ser>
          <c:idx val="3"/>
          <c:order val="2"/>
          <c:tx>
            <c:strRef>
              <c:f>Stroke!$A$319</c:f>
              <c:strCache>
                <c:ptCount val="1"/>
                <c:pt idx="0">
                  <c:v>Upper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Stroke!$B$319:$AW$319</c:f>
              <c:numCache>
                <c:formatCode>0.0%</c:formatCode>
                <c:ptCount val="48"/>
                <c:pt idx="0">
                  <c:v>0.88110438048512485</c:v>
                </c:pt>
                <c:pt idx="1">
                  <c:v>0.88110438048512485</c:v>
                </c:pt>
                <c:pt idx="2">
                  <c:v>0.88110438048512485</c:v>
                </c:pt>
                <c:pt idx="3">
                  <c:v>0.88110438048512485</c:v>
                </c:pt>
                <c:pt idx="4">
                  <c:v>0.88110438048512485</c:v>
                </c:pt>
                <c:pt idx="5">
                  <c:v>0.88110438048512485</c:v>
                </c:pt>
                <c:pt idx="6">
                  <c:v>0.88110438048512485</c:v>
                </c:pt>
                <c:pt idx="7">
                  <c:v>0.88110438048512485</c:v>
                </c:pt>
                <c:pt idx="8">
                  <c:v>0.88110438048512485</c:v>
                </c:pt>
                <c:pt idx="9">
                  <c:v>0.88110438048512485</c:v>
                </c:pt>
                <c:pt idx="10">
                  <c:v>0.88110438048512485</c:v>
                </c:pt>
                <c:pt idx="11">
                  <c:v>0.88110438048512485</c:v>
                </c:pt>
                <c:pt idx="12">
                  <c:v>0.88110438048512485</c:v>
                </c:pt>
                <c:pt idx="13">
                  <c:v>0.88110438048512485</c:v>
                </c:pt>
                <c:pt idx="14">
                  <c:v>0.88110438048512485</c:v>
                </c:pt>
                <c:pt idx="15">
                  <c:v>0.88110438048512485</c:v>
                </c:pt>
                <c:pt idx="16">
                  <c:v>0.88110438048512485</c:v>
                </c:pt>
                <c:pt idx="17">
                  <c:v>0.88110438048512485</c:v>
                </c:pt>
                <c:pt idx="18">
                  <c:v>0.88110438048512485</c:v>
                </c:pt>
                <c:pt idx="19">
                  <c:v>0.88110438048512485</c:v>
                </c:pt>
                <c:pt idx="20">
                  <c:v>0.88110438048512485</c:v>
                </c:pt>
                <c:pt idx="21">
                  <c:v>0.88110438048512485</c:v>
                </c:pt>
                <c:pt idx="22">
                  <c:v>0.88110438048512485</c:v>
                </c:pt>
                <c:pt idx="23">
                  <c:v>0.88110438048512485</c:v>
                </c:pt>
                <c:pt idx="24">
                  <c:v>0.88110438048512485</c:v>
                </c:pt>
                <c:pt idx="25">
                  <c:v>0.88110438048512485</c:v>
                </c:pt>
                <c:pt idx="26">
                  <c:v>0.88110438048512485</c:v>
                </c:pt>
                <c:pt idx="27">
                  <c:v>0.88110438048512485</c:v>
                </c:pt>
                <c:pt idx="28">
                  <c:v>0.88110438048512485</c:v>
                </c:pt>
                <c:pt idx="29">
                  <c:v>0.88110438048512485</c:v>
                </c:pt>
                <c:pt idx="30">
                  <c:v>0.88110438048512485</c:v>
                </c:pt>
                <c:pt idx="31">
                  <c:v>0.88110438048512485</c:v>
                </c:pt>
                <c:pt idx="32">
                  <c:v>0.88110438048512485</c:v>
                </c:pt>
                <c:pt idx="33">
                  <c:v>0.88110438048512485</c:v>
                </c:pt>
                <c:pt idx="34">
                  <c:v>0.88110438048512485</c:v>
                </c:pt>
                <c:pt idx="35">
                  <c:v>0.88110438048512485</c:v>
                </c:pt>
                <c:pt idx="36">
                  <c:v>0.88110438048512485</c:v>
                </c:pt>
                <c:pt idx="37">
                  <c:v>0.88110438048512485</c:v>
                </c:pt>
                <c:pt idx="38">
                  <c:v>0.88110438048512485</c:v>
                </c:pt>
                <c:pt idx="39">
                  <c:v>0.88110438048512485</c:v>
                </c:pt>
                <c:pt idx="40">
                  <c:v>0.88110438048512485</c:v>
                </c:pt>
                <c:pt idx="41">
                  <c:v>0.88110438048512485</c:v>
                </c:pt>
                <c:pt idx="42">
                  <c:v>0.88110438048512485</c:v>
                </c:pt>
                <c:pt idx="43">
                  <c:v>0.88110438048512485</c:v>
                </c:pt>
                <c:pt idx="44">
                  <c:v>0.88110438048512485</c:v>
                </c:pt>
                <c:pt idx="45">
                  <c:v>0.88110438048512485</c:v>
                </c:pt>
                <c:pt idx="46">
                  <c:v>0.88110438048512485</c:v>
                </c:pt>
                <c:pt idx="47">
                  <c:v>0.88110438048512485</c:v>
                </c:pt>
              </c:numCache>
            </c:numRef>
          </c:val>
          <c:smooth val="0"/>
        </c:ser>
        <c:ser>
          <c:idx val="4"/>
          <c:order val="3"/>
          <c:tx>
            <c:strRef>
              <c:f>Stroke!$A$320</c:f>
              <c:strCache>
                <c:ptCount val="1"/>
                <c:pt idx="0">
                  <c:v>Lower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Stroke!$B$320:$AW$320</c:f>
              <c:numCache>
                <c:formatCode>0.0%</c:formatCode>
                <c:ptCount val="48"/>
                <c:pt idx="0">
                  <c:v>0.45549928942908924</c:v>
                </c:pt>
                <c:pt idx="1">
                  <c:v>0.45549928942908924</c:v>
                </c:pt>
                <c:pt idx="2">
                  <c:v>0.45549928942908924</c:v>
                </c:pt>
                <c:pt idx="3">
                  <c:v>0.45549928942908924</c:v>
                </c:pt>
                <c:pt idx="4">
                  <c:v>0.45549928942908924</c:v>
                </c:pt>
                <c:pt idx="5">
                  <c:v>0.45549928942908924</c:v>
                </c:pt>
                <c:pt idx="6">
                  <c:v>0.45549928942908924</c:v>
                </c:pt>
                <c:pt idx="7">
                  <c:v>0.45549928942908924</c:v>
                </c:pt>
                <c:pt idx="8">
                  <c:v>0.45549928942908924</c:v>
                </c:pt>
                <c:pt idx="9">
                  <c:v>0.45549928942908924</c:v>
                </c:pt>
                <c:pt idx="10">
                  <c:v>0.45549928942908924</c:v>
                </c:pt>
                <c:pt idx="11">
                  <c:v>0.45549928942908924</c:v>
                </c:pt>
                <c:pt idx="12">
                  <c:v>0.45549928942908924</c:v>
                </c:pt>
                <c:pt idx="13">
                  <c:v>0.45549928942908924</c:v>
                </c:pt>
                <c:pt idx="14">
                  <c:v>0.45549928942908924</c:v>
                </c:pt>
                <c:pt idx="15">
                  <c:v>0.45549928942908924</c:v>
                </c:pt>
                <c:pt idx="16">
                  <c:v>0.45549928942908924</c:v>
                </c:pt>
                <c:pt idx="17">
                  <c:v>0.45549928942908924</c:v>
                </c:pt>
                <c:pt idx="18">
                  <c:v>0.45549928942908924</c:v>
                </c:pt>
                <c:pt idx="19">
                  <c:v>0.45549928942908924</c:v>
                </c:pt>
                <c:pt idx="20">
                  <c:v>0.45549928942908924</c:v>
                </c:pt>
                <c:pt idx="21">
                  <c:v>0.45549928942908924</c:v>
                </c:pt>
                <c:pt idx="22">
                  <c:v>0.45549928942908924</c:v>
                </c:pt>
                <c:pt idx="23">
                  <c:v>0.45549928942908924</c:v>
                </c:pt>
                <c:pt idx="24">
                  <c:v>0.45549928942908924</c:v>
                </c:pt>
                <c:pt idx="25">
                  <c:v>0.45549928942908924</c:v>
                </c:pt>
                <c:pt idx="26">
                  <c:v>0.45549928942908924</c:v>
                </c:pt>
                <c:pt idx="27">
                  <c:v>0.45549928942908924</c:v>
                </c:pt>
                <c:pt idx="28">
                  <c:v>0.45549928942908924</c:v>
                </c:pt>
                <c:pt idx="29">
                  <c:v>0.45549928942908924</c:v>
                </c:pt>
                <c:pt idx="30">
                  <c:v>0.45549928942908924</c:v>
                </c:pt>
                <c:pt idx="31">
                  <c:v>0.45549928942908924</c:v>
                </c:pt>
                <c:pt idx="32">
                  <c:v>0.45549928942908924</c:v>
                </c:pt>
                <c:pt idx="33">
                  <c:v>0.45549928942908924</c:v>
                </c:pt>
                <c:pt idx="34">
                  <c:v>0.45549928942908924</c:v>
                </c:pt>
                <c:pt idx="35">
                  <c:v>0.45549928942908924</c:v>
                </c:pt>
                <c:pt idx="36">
                  <c:v>0.45549928942908924</c:v>
                </c:pt>
                <c:pt idx="37">
                  <c:v>0.45549928942908924</c:v>
                </c:pt>
                <c:pt idx="38">
                  <c:v>0.45549928942908924</c:v>
                </c:pt>
                <c:pt idx="39">
                  <c:v>0.45549928942908924</c:v>
                </c:pt>
                <c:pt idx="40">
                  <c:v>0.45549928942908924</c:v>
                </c:pt>
                <c:pt idx="41">
                  <c:v>0.45549928942908924</c:v>
                </c:pt>
                <c:pt idx="42">
                  <c:v>0.45549928942908924</c:v>
                </c:pt>
                <c:pt idx="43">
                  <c:v>0.45549928942908924</c:v>
                </c:pt>
                <c:pt idx="44">
                  <c:v>0.45549928942908924</c:v>
                </c:pt>
                <c:pt idx="45">
                  <c:v>0.45549928942908924</c:v>
                </c:pt>
                <c:pt idx="46">
                  <c:v>0.45549928942908924</c:v>
                </c:pt>
                <c:pt idx="47">
                  <c:v>0.45549928942908924</c:v>
                </c:pt>
              </c:numCache>
            </c:numRef>
          </c:val>
          <c:smooth val="0"/>
        </c:ser>
        <c:ser>
          <c:idx val="0"/>
          <c:order val="4"/>
          <c:tx>
            <c:strRef>
              <c:f>Stroke!$A$22</c:f>
              <c:strCache>
                <c:ptCount val="1"/>
                <c:pt idx="0">
                  <c:v>Bundle Target (min)</c:v>
                </c:pt>
              </c:strCache>
            </c:strRef>
          </c:tx>
          <c:spPr>
            <a:ln w="25400">
              <a:solidFill>
                <a:srgbClr val="FF0000"/>
              </a:solidFill>
              <a:prstDash val="dash"/>
            </a:ln>
          </c:spPr>
          <c:marker>
            <c:symbol val="none"/>
          </c:marker>
          <c:dPt>
            <c:idx val="12"/>
            <c:bubble3D val="0"/>
            <c:spPr>
              <a:ln w="25400">
                <a:noFill/>
                <a:prstDash val="dash"/>
              </a:ln>
            </c:spPr>
          </c:dPt>
          <c:dPt>
            <c:idx val="21"/>
            <c:bubble3D val="0"/>
            <c:spPr>
              <a:ln w="25400">
                <a:noFill/>
                <a:prstDash val="dash"/>
              </a:ln>
            </c:spPr>
          </c:dPt>
          <c:dPt>
            <c:idx val="24"/>
            <c:bubble3D val="0"/>
            <c:spPr>
              <a:ln w="25400">
                <a:noFill/>
                <a:prstDash val="dash"/>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Stroke!$B$22:$AW$22</c:f>
              <c:numCache>
                <c:formatCode>0.0%</c:formatCode>
                <c:ptCount val="48"/>
                <c:pt idx="0">
                  <c:v>0.7</c:v>
                </c:pt>
                <c:pt idx="1">
                  <c:v>0.7</c:v>
                </c:pt>
                <c:pt idx="2">
                  <c:v>0.7</c:v>
                </c:pt>
                <c:pt idx="3">
                  <c:v>0.7</c:v>
                </c:pt>
                <c:pt idx="4">
                  <c:v>0.7</c:v>
                </c:pt>
                <c:pt idx="5">
                  <c:v>0.7</c:v>
                </c:pt>
                <c:pt idx="6">
                  <c:v>0.7</c:v>
                </c:pt>
                <c:pt idx="7">
                  <c:v>0.7</c:v>
                </c:pt>
                <c:pt idx="8">
                  <c:v>0.7</c:v>
                </c:pt>
                <c:pt idx="9">
                  <c:v>0.7</c:v>
                </c:pt>
                <c:pt idx="10">
                  <c:v>0.7</c:v>
                </c:pt>
                <c:pt idx="11">
                  <c:v>0.7</c:v>
                </c:pt>
                <c:pt idx="12">
                  <c:v>0.8</c:v>
                </c:pt>
                <c:pt idx="13">
                  <c:v>0.8</c:v>
                </c:pt>
                <c:pt idx="14">
                  <c:v>0.8</c:v>
                </c:pt>
                <c:pt idx="15">
                  <c:v>0.8</c:v>
                </c:pt>
                <c:pt idx="16">
                  <c:v>0.8</c:v>
                </c:pt>
                <c:pt idx="17">
                  <c:v>0.8</c:v>
                </c:pt>
                <c:pt idx="18">
                  <c:v>0.8</c:v>
                </c:pt>
                <c:pt idx="19">
                  <c:v>0.8</c:v>
                </c:pt>
                <c:pt idx="20">
                  <c:v>0.8</c:v>
                </c:pt>
                <c:pt idx="21">
                  <c:v>0.75</c:v>
                </c:pt>
                <c:pt idx="22">
                  <c:v>0.75</c:v>
                </c:pt>
                <c:pt idx="23">
                  <c:v>0.75</c:v>
                </c:pt>
                <c:pt idx="24">
                  <c:v>0.8</c:v>
                </c:pt>
                <c:pt idx="25">
                  <c:v>0.8</c:v>
                </c:pt>
                <c:pt idx="26">
                  <c:v>0.8</c:v>
                </c:pt>
                <c:pt idx="27">
                  <c:v>0.8</c:v>
                </c:pt>
                <c:pt idx="28">
                  <c:v>0.8</c:v>
                </c:pt>
                <c:pt idx="29">
                  <c:v>0.8</c:v>
                </c:pt>
                <c:pt idx="30">
                  <c:v>0.8</c:v>
                </c:pt>
                <c:pt idx="31">
                  <c:v>0.8</c:v>
                </c:pt>
                <c:pt idx="32">
                  <c:v>0.8</c:v>
                </c:pt>
                <c:pt idx="33">
                  <c:v>0.8</c:v>
                </c:pt>
                <c:pt idx="34">
                  <c:v>0.8</c:v>
                </c:pt>
                <c:pt idx="35">
                  <c:v>0.8</c:v>
                </c:pt>
                <c:pt idx="36">
                  <c:v>0.8</c:v>
                </c:pt>
                <c:pt idx="37">
                  <c:v>0.8</c:v>
                </c:pt>
                <c:pt idx="38">
                  <c:v>0.8</c:v>
                </c:pt>
                <c:pt idx="39">
                  <c:v>0.8</c:v>
                </c:pt>
                <c:pt idx="40">
                  <c:v>0.8</c:v>
                </c:pt>
                <c:pt idx="41">
                  <c:v>0.8</c:v>
                </c:pt>
                <c:pt idx="42">
                  <c:v>0.8</c:v>
                </c:pt>
                <c:pt idx="43">
                  <c:v>0.8</c:v>
                </c:pt>
                <c:pt idx="44">
                  <c:v>0.8</c:v>
                </c:pt>
                <c:pt idx="45">
                  <c:v>0.8</c:v>
                </c:pt>
                <c:pt idx="46">
                  <c:v>0.8</c:v>
                </c:pt>
                <c:pt idx="47">
                  <c:v>0.8</c:v>
                </c:pt>
              </c:numCache>
            </c:numRef>
          </c:val>
          <c:smooth val="0"/>
        </c:ser>
        <c:dLbls>
          <c:showLegendKey val="0"/>
          <c:showVal val="0"/>
          <c:showCatName val="0"/>
          <c:showSerName val="0"/>
          <c:showPercent val="0"/>
          <c:showBubbleSize val="0"/>
        </c:dLbls>
        <c:marker val="1"/>
        <c:smooth val="0"/>
        <c:axId val="147739648"/>
        <c:axId val="147684096"/>
      </c:lineChart>
      <c:dateAx>
        <c:axId val="14773964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7684096"/>
        <c:crosses val="autoZero"/>
        <c:auto val="1"/>
        <c:lblOffset val="100"/>
        <c:baseTimeUnit val="months"/>
      </c:dateAx>
      <c:valAx>
        <c:axId val="147684096"/>
        <c:scaling>
          <c:orientation val="minMax"/>
          <c:max val="1"/>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7739648"/>
        <c:crosses val="autoZero"/>
        <c:crossBetween val="between"/>
      </c:valAx>
    </c:plotArea>
    <c:legend>
      <c:legendPos val="r"/>
      <c:layout>
        <c:manualLayout>
          <c:xMode val="edge"/>
          <c:yMode val="edge"/>
          <c:x val="5.4759279676589487E-2"/>
          <c:y val="0.91358024691358064"/>
          <c:w val="0.90791144777788868"/>
          <c:h val="8.641975308641967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CAMHS!$A$29</c:f>
              <c:strCache>
                <c:ptCount val="1"/>
                <c:pt idx="0">
                  <c:v>Number Waiting Within 18 Weeks</c:v>
                </c:pt>
              </c:strCache>
            </c:strRef>
          </c:tx>
          <c:spPr>
            <a:solidFill>
              <a:srgbClr val="92D050"/>
            </a:solidFill>
            <a:ln>
              <a:solidFill>
                <a:srgbClr val="0070C0"/>
              </a:solidFill>
            </a:ln>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CAMHS!$B$29:$AW$29</c:f>
              <c:numCache>
                <c:formatCode>#,##0</c:formatCode>
                <c:ptCount val="48"/>
                <c:pt idx="0">
                  <c:v>1206</c:v>
                </c:pt>
                <c:pt idx="1">
                  <c:v>1222</c:v>
                </c:pt>
                <c:pt idx="2">
                  <c:v>1192</c:v>
                </c:pt>
                <c:pt idx="3">
                  <c:v>1098</c:v>
                </c:pt>
                <c:pt idx="4">
                  <c:v>1043</c:v>
                </c:pt>
                <c:pt idx="5">
                  <c:v>988</c:v>
                </c:pt>
                <c:pt idx="6">
                  <c:v>947</c:v>
                </c:pt>
                <c:pt idx="7">
                  <c:v>1139</c:v>
                </c:pt>
                <c:pt idx="8">
                  <c:v>1191</c:v>
                </c:pt>
                <c:pt idx="9">
                  <c:v>1182</c:v>
                </c:pt>
                <c:pt idx="10">
                  <c:v>1245</c:v>
                </c:pt>
                <c:pt idx="11">
                  <c:v>1190</c:v>
                </c:pt>
                <c:pt idx="12">
                  <c:v>1154</c:v>
                </c:pt>
                <c:pt idx="13">
                  <c:v>1132</c:v>
                </c:pt>
                <c:pt idx="14">
                  <c:v>1040</c:v>
                </c:pt>
                <c:pt idx="15">
                  <c:v>956</c:v>
                </c:pt>
                <c:pt idx="16">
                  <c:v>838</c:v>
                </c:pt>
                <c:pt idx="17">
                  <c:v>819</c:v>
                </c:pt>
                <c:pt idx="18">
                  <c:v>805</c:v>
                </c:pt>
                <c:pt idx="19">
                  <c:v>886</c:v>
                </c:pt>
                <c:pt idx="20">
                  <c:v>925</c:v>
                </c:pt>
                <c:pt idx="21">
                  <c:v>992</c:v>
                </c:pt>
                <c:pt idx="22">
                  <c:v>992</c:v>
                </c:pt>
                <c:pt idx="23">
                  <c:v>1006</c:v>
                </c:pt>
                <c:pt idx="24">
                  <c:v>964</c:v>
                </c:pt>
                <c:pt idx="25">
                  <c:v>1006</c:v>
                </c:pt>
                <c:pt idx="26">
                  <c:v>1024</c:v>
                </c:pt>
                <c:pt idx="27">
                  <c:v>962</c:v>
                </c:pt>
                <c:pt idx="28">
                  <c:v>949</c:v>
                </c:pt>
              </c:numCache>
            </c:numRef>
          </c:val>
        </c:ser>
        <c:ser>
          <c:idx val="2"/>
          <c:order val="2"/>
          <c:tx>
            <c:strRef>
              <c:f>CAMHS!$A$30</c:f>
              <c:strCache>
                <c:ptCount val="1"/>
                <c:pt idx="0">
                  <c:v>Number Waiting Over 18 Weeks</c:v>
                </c:pt>
              </c:strCache>
            </c:strRef>
          </c:tx>
          <c:spPr>
            <a:solidFill>
              <a:srgbClr val="FF0000"/>
            </a:solidFill>
          </c:spPr>
          <c:invertIfNegative val="0"/>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CAMHS!$B$30:$AW$30</c:f>
              <c:numCache>
                <c:formatCode>#,##0</c:formatCode>
                <c:ptCount val="48"/>
                <c:pt idx="0">
                  <c:v>481</c:v>
                </c:pt>
                <c:pt idx="1">
                  <c:v>487</c:v>
                </c:pt>
                <c:pt idx="2">
                  <c:v>516</c:v>
                </c:pt>
                <c:pt idx="3">
                  <c:v>639</c:v>
                </c:pt>
                <c:pt idx="4">
                  <c:v>694</c:v>
                </c:pt>
                <c:pt idx="5">
                  <c:v>680</c:v>
                </c:pt>
                <c:pt idx="6">
                  <c:v>730</c:v>
                </c:pt>
                <c:pt idx="7">
                  <c:v>687</c:v>
                </c:pt>
                <c:pt idx="8">
                  <c:v>709</c:v>
                </c:pt>
                <c:pt idx="9">
                  <c:v>747</c:v>
                </c:pt>
                <c:pt idx="10">
                  <c:v>815</c:v>
                </c:pt>
                <c:pt idx="11">
                  <c:v>888</c:v>
                </c:pt>
                <c:pt idx="12">
                  <c:v>931</c:v>
                </c:pt>
                <c:pt idx="13">
                  <c:v>864</c:v>
                </c:pt>
                <c:pt idx="14">
                  <c:v>817</c:v>
                </c:pt>
                <c:pt idx="15">
                  <c:v>861</c:v>
                </c:pt>
                <c:pt idx="16">
                  <c:v>853</c:v>
                </c:pt>
                <c:pt idx="17">
                  <c:v>810</c:v>
                </c:pt>
                <c:pt idx="18">
                  <c:v>783</c:v>
                </c:pt>
                <c:pt idx="19">
                  <c:v>684</c:v>
                </c:pt>
                <c:pt idx="20">
                  <c:v>626</c:v>
                </c:pt>
                <c:pt idx="21">
                  <c:v>572</c:v>
                </c:pt>
                <c:pt idx="22">
                  <c:v>478</c:v>
                </c:pt>
                <c:pt idx="23">
                  <c:v>466</c:v>
                </c:pt>
                <c:pt idx="24">
                  <c:v>493</c:v>
                </c:pt>
                <c:pt idx="25">
                  <c:v>419</c:v>
                </c:pt>
                <c:pt idx="26">
                  <c:v>477</c:v>
                </c:pt>
                <c:pt idx="27">
                  <c:v>537</c:v>
                </c:pt>
                <c:pt idx="28">
                  <c:v>507</c:v>
                </c:pt>
              </c:numCache>
            </c:numRef>
          </c:val>
        </c:ser>
        <c:dLbls>
          <c:showLegendKey val="0"/>
          <c:showVal val="0"/>
          <c:showCatName val="0"/>
          <c:showSerName val="0"/>
          <c:showPercent val="0"/>
          <c:showBubbleSize val="0"/>
        </c:dLbls>
        <c:gapWidth val="100"/>
        <c:overlap val="100"/>
        <c:axId val="124948992"/>
        <c:axId val="125959488"/>
      </c:barChart>
      <c:lineChart>
        <c:grouping val="standard"/>
        <c:varyColors val="0"/>
        <c:ser>
          <c:idx val="0"/>
          <c:order val="0"/>
          <c:tx>
            <c:strRef>
              <c:f>CAMHS!$A$28</c:f>
              <c:strCache>
                <c:ptCount val="1"/>
                <c:pt idx="0">
                  <c:v>Total Number Waiting</c:v>
                </c:pt>
              </c:strCache>
            </c:strRef>
          </c:tx>
          <c:spPr>
            <a:ln w="25400">
              <a:solidFill>
                <a:schemeClr val="tx1"/>
              </a:solidFill>
            </a:ln>
          </c:spPr>
          <c:marker>
            <c:symbol val="circle"/>
            <c:size val="4"/>
            <c:spPr>
              <a:solidFill>
                <a:schemeClr val="tx1"/>
              </a:solidFill>
              <a:ln w="25400">
                <a:solidFill>
                  <a:schemeClr val="tx1"/>
                </a:solidFill>
              </a:ln>
            </c:spPr>
          </c:marker>
          <c:cat>
            <c:numRef>
              <c:f>CAMHS!$B$9:$AW$9</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pt idx="27">
                  <c:v>42917</c:v>
                </c:pt>
                <c:pt idx="28">
                  <c:v>42948</c:v>
                </c:pt>
              </c:numCache>
            </c:numRef>
          </c:cat>
          <c:val>
            <c:numRef>
              <c:f>CAMHS!$B$28:$AW$28</c:f>
              <c:numCache>
                <c:formatCode>#,##0</c:formatCode>
                <c:ptCount val="48"/>
                <c:pt idx="0">
                  <c:v>1687</c:v>
                </c:pt>
                <c:pt idx="1">
                  <c:v>1709</c:v>
                </c:pt>
                <c:pt idx="2">
                  <c:v>1708</c:v>
                </c:pt>
                <c:pt idx="3">
                  <c:v>1737</c:v>
                </c:pt>
                <c:pt idx="4">
                  <c:v>1737</c:v>
                </c:pt>
                <c:pt idx="5">
                  <c:v>1668</c:v>
                </c:pt>
                <c:pt idx="6">
                  <c:v>1677</c:v>
                </c:pt>
                <c:pt idx="7">
                  <c:v>1826</c:v>
                </c:pt>
                <c:pt idx="8">
                  <c:v>1900</c:v>
                </c:pt>
                <c:pt idx="9">
                  <c:v>1929</c:v>
                </c:pt>
                <c:pt idx="10">
                  <c:v>2060</c:v>
                </c:pt>
                <c:pt idx="11">
                  <c:v>2078</c:v>
                </c:pt>
                <c:pt idx="12">
                  <c:v>2085</c:v>
                </c:pt>
                <c:pt idx="13">
                  <c:v>1996</c:v>
                </c:pt>
                <c:pt idx="14">
                  <c:v>1857</c:v>
                </c:pt>
                <c:pt idx="15">
                  <c:v>1817</c:v>
                </c:pt>
                <c:pt idx="16">
                  <c:v>1691</c:v>
                </c:pt>
                <c:pt idx="17">
                  <c:v>1629</c:v>
                </c:pt>
                <c:pt idx="18">
                  <c:v>1588</c:v>
                </c:pt>
                <c:pt idx="19">
                  <c:v>1570</c:v>
                </c:pt>
                <c:pt idx="20">
                  <c:v>1551</c:v>
                </c:pt>
                <c:pt idx="21">
                  <c:v>1564</c:v>
                </c:pt>
                <c:pt idx="22">
                  <c:v>1470</c:v>
                </c:pt>
                <c:pt idx="23">
                  <c:v>1472</c:v>
                </c:pt>
                <c:pt idx="24">
                  <c:v>1457</c:v>
                </c:pt>
                <c:pt idx="25">
                  <c:v>1425</c:v>
                </c:pt>
                <c:pt idx="26">
                  <c:v>1501</c:v>
                </c:pt>
                <c:pt idx="27">
                  <c:v>1499</c:v>
                </c:pt>
                <c:pt idx="28">
                  <c:v>1456</c:v>
                </c:pt>
              </c:numCache>
            </c:numRef>
          </c:val>
          <c:smooth val="0"/>
        </c:ser>
        <c:dLbls>
          <c:showLegendKey val="0"/>
          <c:showVal val="0"/>
          <c:showCatName val="0"/>
          <c:showSerName val="0"/>
          <c:showPercent val="0"/>
          <c:showBubbleSize val="0"/>
        </c:dLbls>
        <c:marker val="1"/>
        <c:smooth val="0"/>
        <c:axId val="124948992"/>
        <c:axId val="125959488"/>
      </c:lineChart>
      <c:dateAx>
        <c:axId val="12494899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25959488"/>
        <c:crosses val="autoZero"/>
        <c:auto val="1"/>
        <c:lblOffset val="100"/>
        <c:baseTimeUnit val="months"/>
      </c:dateAx>
      <c:valAx>
        <c:axId val="12595948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24948992"/>
        <c:crosses val="autoZero"/>
        <c:crossBetween val="between"/>
        <c:majorUnit val="250"/>
      </c:valAx>
    </c:plotArea>
    <c:legend>
      <c:legendPos val="b"/>
      <c:layout>
        <c:manualLayout>
          <c:xMode val="edge"/>
          <c:yMode val="edge"/>
          <c:x val="0.17089305402425578"/>
          <c:y val="0.93650793650793651"/>
          <c:w val="0.65600882028666263"/>
          <c:h val="4.4973544973544999E-2"/>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751"/>
        </c:manualLayout>
      </c:layout>
      <c:lineChart>
        <c:grouping val="standard"/>
        <c:varyColors val="0"/>
        <c:ser>
          <c:idx val="1"/>
          <c:order val="0"/>
          <c:tx>
            <c:strRef>
              <c:f>Stroke!$A$331</c:f>
              <c:strCache>
                <c:ptCount val="1"/>
                <c:pt idx="0">
                  <c:v>Bundle Component 1 - Access to stroke unit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0"/>
            <c:bubble3D val="0"/>
          </c:dPt>
          <c:dPt>
            <c:idx val="1"/>
            <c:marker>
              <c:symbol val="none"/>
            </c:marker>
            <c:bubble3D val="0"/>
          </c:dPt>
          <c:dPt>
            <c:idx val="5"/>
            <c:bubble3D val="0"/>
            <c:spPr>
              <a:ln w="25400">
                <a:solidFill>
                  <a:srgbClr val="00B050"/>
                </a:solidFill>
              </a:ln>
            </c:spPr>
          </c:dPt>
          <c:dPt>
            <c:idx val="6"/>
            <c:bubble3D val="0"/>
            <c:spPr>
              <a:ln w="25400">
                <a:solidFill>
                  <a:srgbClr val="00B050"/>
                </a:solidFill>
              </a:ln>
            </c:spPr>
          </c:dPt>
          <c:dPt>
            <c:idx val="7"/>
            <c:bubble3D val="0"/>
            <c:spPr>
              <a:ln w="25400">
                <a:solidFill>
                  <a:srgbClr val="00B050"/>
                </a:solidFill>
              </a:ln>
            </c:spPr>
          </c:dPt>
          <c:dPt>
            <c:idx val="8"/>
            <c:bubble3D val="0"/>
            <c:spPr>
              <a:ln w="25400">
                <a:solidFill>
                  <a:srgbClr val="00B050"/>
                </a:solidFill>
              </a:ln>
            </c:spPr>
          </c:dPt>
          <c:dPt>
            <c:idx val="9"/>
            <c:bubble3D val="0"/>
            <c:spPr>
              <a:ln w="25400">
                <a:solidFill>
                  <a:srgbClr val="00B050"/>
                </a:solidFill>
              </a:ln>
            </c:spPr>
          </c:dPt>
          <c:dPt>
            <c:idx val="14"/>
            <c:bubble3D val="0"/>
          </c:dPt>
          <c:dPt>
            <c:idx val="15"/>
            <c:bubble3D val="0"/>
            <c:spPr>
              <a:ln w="25400">
                <a:solidFill>
                  <a:srgbClr val="00B050"/>
                </a:solidFill>
              </a:ln>
            </c:spPr>
          </c:dPt>
          <c:dPt>
            <c:idx val="16"/>
            <c:bubble3D val="0"/>
            <c:spPr>
              <a:ln w="25400">
                <a:solidFill>
                  <a:srgbClr val="00B050"/>
                </a:solidFill>
              </a:ln>
            </c:spPr>
          </c:dPt>
          <c:dPt>
            <c:idx val="17"/>
            <c:bubble3D val="0"/>
            <c:spPr>
              <a:ln w="25400">
                <a:solidFill>
                  <a:srgbClr val="00B050"/>
                </a:solidFill>
              </a:ln>
            </c:spPr>
          </c:dPt>
          <c:dPt>
            <c:idx val="18"/>
            <c:bubble3D val="0"/>
            <c:spPr>
              <a:ln w="25400">
                <a:solidFill>
                  <a:srgbClr val="00B050"/>
                </a:solidFill>
              </a:ln>
            </c:spPr>
          </c:dPt>
          <c:dPt>
            <c:idx val="19"/>
            <c:bubble3D val="0"/>
            <c:spPr>
              <a:ln w="25400">
                <a:solidFill>
                  <a:srgbClr val="00B050"/>
                </a:solidFill>
              </a:ln>
            </c:spPr>
          </c:dPt>
          <c:dPt>
            <c:idx val="20"/>
            <c:bubble3D val="0"/>
            <c:spPr>
              <a:ln w="25400">
                <a:solidFill>
                  <a:srgbClr val="00B050"/>
                </a:solidFill>
              </a:ln>
            </c:spPr>
          </c:dPt>
          <c:dPt>
            <c:idx val="21"/>
            <c:bubble3D val="0"/>
            <c:spPr>
              <a:ln w="25400">
                <a:solidFill>
                  <a:srgbClr val="00B050"/>
                </a:solidFill>
              </a:ln>
            </c:spPr>
          </c:dPt>
          <c:dPt>
            <c:idx val="22"/>
            <c:bubble3D val="0"/>
            <c:spPr>
              <a:ln w="25400">
                <a:solidFill>
                  <a:srgbClr val="00B050"/>
                </a:solidFill>
              </a:ln>
            </c:spPr>
          </c:dPt>
          <c:dPt>
            <c:idx val="23"/>
            <c:bubble3D val="0"/>
            <c:spPr>
              <a:ln w="25400">
                <a:solidFill>
                  <a:srgbClr val="00B050"/>
                </a:solidFill>
              </a:ln>
            </c:spPr>
          </c:dPt>
          <c:dPt>
            <c:idx val="24"/>
            <c:bubble3D val="0"/>
            <c:spPr>
              <a:ln w="25400">
                <a:solidFill>
                  <a:srgbClr val="00B050"/>
                </a:solidFill>
              </a:ln>
            </c:spPr>
          </c:dPt>
          <c:dPt>
            <c:idx val="25"/>
            <c:bubble3D val="0"/>
            <c:spPr>
              <a:ln w="25400">
                <a:solidFill>
                  <a:srgbClr val="00B050"/>
                </a:solidFill>
              </a:ln>
            </c:spPr>
          </c:dPt>
          <c:dPt>
            <c:idx val="26"/>
            <c:bubble3D val="0"/>
            <c:spPr>
              <a:ln w="25400">
                <a:solidFill>
                  <a:srgbClr val="00B050"/>
                </a:solidFill>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Stroke!$B$331:$AW$331</c:f>
              <c:numCache>
                <c:formatCode>0.0%</c:formatCode>
                <c:ptCount val="48"/>
                <c:pt idx="0">
                  <c:v>0.74698795180722888</c:v>
                </c:pt>
                <c:pt idx="1">
                  <c:v>0.66346153846153844</c:v>
                </c:pt>
                <c:pt idx="2">
                  <c:v>0.66249999999999998</c:v>
                </c:pt>
                <c:pt idx="3">
                  <c:v>0.48484848484848486</c:v>
                </c:pt>
                <c:pt idx="4">
                  <c:v>0.6875</c:v>
                </c:pt>
                <c:pt idx="5">
                  <c:v>0.71052631578947367</c:v>
                </c:pt>
                <c:pt idx="6">
                  <c:v>0.82954545454545459</c:v>
                </c:pt>
                <c:pt idx="7">
                  <c:v>0.7578947368421054</c:v>
                </c:pt>
                <c:pt idx="8">
                  <c:v>0.67100000000000004</c:v>
                </c:pt>
                <c:pt idx="9">
                  <c:v>0.77272727272727271</c:v>
                </c:pt>
                <c:pt idx="10">
                  <c:v>0.65</c:v>
                </c:pt>
                <c:pt idx="11">
                  <c:v>0.71250000000000002</c:v>
                </c:pt>
                <c:pt idx="12">
                  <c:v>0.72289156626506024</c:v>
                </c:pt>
                <c:pt idx="13">
                  <c:v>0.64130434782608692</c:v>
                </c:pt>
                <c:pt idx="14">
                  <c:v>0.83333333333333348</c:v>
                </c:pt>
                <c:pt idx="15">
                  <c:v>0.7857142857142857</c:v>
                </c:pt>
                <c:pt idx="16">
                  <c:v>0.83561643835616439</c:v>
                </c:pt>
                <c:pt idx="17">
                  <c:v>0.82417582417582413</c:v>
                </c:pt>
                <c:pt idx="18">
                  <c:v>0.68831168831168843</c:v>
                </c:pt>
                <c:pt idx="19">
                  <c:v>0.85526315789473684</c:v>
                </c:pt>
                <c:pt idx="20">
                  <c:v>0.68932038834951459</c:v>
                </c:pt>
                <c:pt idx="21">
                  <c:v>0.77215189873417733</c:v>
                </c:pt>
                <c:pt idx="22">
                  <c:v>0.80597014925373134</c:v>
                </c:pt>
                <c:pt idx="23">
                  <c:v>0.85869565217391308</c:v>
                </c:pt>
                <c:pt idx="24">
                  <c:v>0.67816091954022983</c:v>
                </c:pt>
                <c:pt idx="25">
                  <c:v>0.8</c:v>
                </c:pt>
                <c:pt idx="26">
                  <c:v>0.80645161290322576</c:v>
                </c:pt>
              </c:numCache>
            </c:numRef>
          </c:val>
          <c:smooth val="0"/>
        </c:ser>
        <c:ser>
          <c:idx val="2"/>
          <c:order val="1"/>
          <c:tx>
            <c:strRef>
              <c:f>Stroke!$A$316</c:f>
              <c:strCache>
                <c:ptCount val="1"/>
                <c:pt idx="0">
                  <c:v>Mean</c:v>
                </c:pt>
              </c:strCache>
            </c:strRef>
          </c:tx>
          <c:spPr>
            <a:ln w="25400">
              <a:solidFill>
                <a:prstClr val="black"/>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Stroke!$B$316:$AW$316</c:f>
              <c:numCache>
                <c:formatCode>0.0%</c:formatCode>
                <c:ptCount val="48"/>
                <c:pt idx="0">
                  <c:v>0.66830183495710704</c:v>
                </c:pt>
                <c:pt idx="1">
                  <c:v>0.66830183495710704</c:v>
                </c:pt>
                <c:pt idx="2">
                  <c:v>0.66830183495710704</c:v>
                </c:pt>
                <c:pt idx="3">
                  <c:v>0.66830183495710704</c:v>
                </c:pt>
                <c:pt idx="4">
                  <c:v>0.66830183495710704</c:v>
                </c:pt>
                <c:pt idx="5">
                  <c:v>0.66830183495710704</c:v>
                </c:pt>
                <c:pt idx="6">
                  <c:v>0.66830183495710704</c:v>
                </c:pt>
                <c:pt idx="7">
                  <c:v>0.66830183495710704</c:v>
                </c:pt>
                <c:pt idx="8">
                  <c:v>0.66830183495710704</c:v>
                </c:pt>
                <c:pt idx="9">
                  <c:v>0.66830183495710704</c:v>
                </c:pt>
                <c:pt idx="10">
                  <c:v>0.66830183495710704</c:v>
                </c:pt>
                <c:pt idx="11">
                  <c:v>0.66830183495710704</c:v>
                </c:pt>
                <c:pt idx="12">
                  <c:v>0.66830183495710704</c:v>
                </c:pt>
                <c:pt idx="13">
                  <c:v>0.66830183495710704</c:v>
                </c:pt>
                <c:pt idx="14">
                  <c:v>0.66830183495710704</c:v>
                </c:pt>
                <c:pt idx="15">
                  <c:v>0.66830183495710704</c:v>
                </c:pt>
                <c:pt idx="16">
                  <c:v>0.66830183495710704</c:v>
                </c:pt>
                <c:pt idx="17">
                  <c:v>0.66830183495710704</c:v>
                </c:pt>
                <c:pt idx="18">
                  <c:v>0.66830183495710704</c:v>
                </c:pt>
                <c:pt idx="19">
                  <c:v>0.66830183495710704</c:v>
                </c:pt>
                <c:pt idx="20">
                  <c:v>0.66830183495710704</c:v>
                </c:pt>
                <c:pt idx="21">
                  <c:v>0.66830183495710704</c:v>
                </c:pt>
                <c:pt idx="22">
                  <c:v>0.66830183495710704</c:v>
                </c:pt>
                <c:pt idx="23">
                  <c:v>0.66830183495710704</c:v>
                </c:pt>
                <c:pt idx="24">
                  <c:v>0.66830183495710704</c:v>
                </c:pt>
                <c:pt idx="25">
                  <c:v>0.66830183495710704</c:v>
                </c:pt>
                <c:pt idx="26">
                  <c:v>0.66830183495710704</c:v>
                </c:pt>
                <c:pt idx="27">
                  <c:v>0.66830183495710704</c:v>
                </c:pt>
                <c:pt idx="28">
                  <c:v>0.66830183495710704</c:v>
                </c:pt>
                <c:pt idx="29">
                  <c:v>0.66830183495710704</c:v>
                </c:pt>
                <c:pt idx="30">
                  <c:v>0.66830183495710704</c:v>
                </c:pt>
                <c:pt idx="31">
                  <c:v>0.66830183495710704</c:v>
                </c:pt>
                <c:pt idx="32">
                  <c:v>0.66830183495710704</c:v>
                </c:pt>
                <c:pt idx="33">
                  <c:v>0.66830183495710704</c:v>
                </c:pt>
                <c:pt idx="34">
                  <c:v>0.66830183495710704</c:v>
                </c:pt>
                <c:pt idx="35">
                  <c:v>0.66830183495710704</c:v>
                </c:pt>
                <c:pt idx="36">
                  <c:v>0.66830183495710704</c:v>
                </c:pt>
                <c:pt idx="37">
                  <c:v>0.66830183495710704</c:v>
                </c:pt>
                <c:pt idx="38">
                  <c:v>0.66830183495710704</c:v>
                </c:pt>
                <c:pt idx="39">
                  <c:v>0.66830183495710704</c:v>
                </c:pt>
                <c:pt idx="40">
                  <c:v>0.66830183495710704</c:v>
                </c:pt>
                <c:pt idx="41">
                  <c:v>0.66830183495710704</c:v>
                </c:pt>
                <c:pt idx="42">
                  <c:v>0.66830183495710704</c:v>
                </c:pt>
                <c:pt idx="43">
                  <c:v>0.66830183495710704</c:v>
                </c:pt>
                <c:pt idx="44">
                  <c:v>0.66830183495710704</c:v>
                </c:pt>
                <c:pt idx="45">
                  <c:v>0.66830183495710704</c:v>
                </c:pt>
                <c:pt idx="46">
                  <c:v>0.66830183495710704</c:v>
                </c:pt>
                <c:pt idx="47">
                  <c:v>0.66830183495710704</c:v>
                </c:pt>
              </c:numCache>
            </c:numRef>
          </c:val>
          <c:smooth val="0"/>
        </c:ser>
        <c:ser>
          <c:idx val="3"/>
          <c:order val="2"/>
          <c:tx>
            <c:strRef>
              <c:f>Stroke!$A$319</c:f>
              <c:strCache>
                <c:ptCount val="1"/>
                <c:pt idx="0">
                  <c:v>Upper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Stroke!$B$319:$AW$319</c:f>
              <c:numCache>
                <c:formatCode>0.0%</c:formatCode>
                <c:ptCount val="48"/>
                <c:pt idx="0">
                  <c:v>0.88110438048512485</c:v>
                </c:pt>
                <c:pt idx="1">
                  <c:v>0.88110438048512485</c:v>
                </c:pt>
                <c:pt idx="2">
                  <c:v>0.88110438048512485</c:v>
                </c:pt>
                <c:pt idx="3">
                  <c:v>0.88110438048512485</c:v>
                </c:pt>
                <c:pt idx="4">
                  <c:v>0.88110438048512485</c:v>
                </c:pt>
                <c:pt idx="5">
                  <c:v>0.88110438048512485</c:v>
                </c:pt>
                <c:pt idx="6">
                  <c:v>0.88110438048512485</c:v>
                </c:pt>
                <c:pt idx="7">
                  <c:v>0.88110438048512485</c:v>
                </c:pt>
                <c:pt idx="8">
                  <c:v>0.88110438048512485</c:v>
                </c:pt>
                <c:pt idx="9">
                  <c:v>0.88110438048512485</c:v>
                </c:pt>
                <c:pt idx="10">
                  <c:v>0.88110438048512485</c:v>
                </c:pt>
                <c:pt idx="11">
                  <c:v>0.88110438048512485</c:v>
                </c:pt>
                <c:pt idx="12">
                  <c:v>0.88110438048512485</c:v>
                </c:pt>
                <c:pt idx="13">
                  <c:v>0.88110438048512485</c:v>
                </c:pt>
                <c:pt idx="14">
                  <c:v>0.88110438048512485</c:v>
                </c:pt>
                <c:pt idx="15">
                  <c:v>0.88110438048512485</c:v>
                </c:pt>
                <c:pt idx="16">
                  <c:v>0.88110438048512485</c:v>
                </c:pt>
                <c:pt idx="17">
                  <c:v>0.88110438048512485</c:v>
                </c:pt>
                <c:pt idx="18">
                  <c:v>0.88110438048512485</c:v>
                </c:pt>
                <c:pt idx="19">
                  <c:v>0.88110438048512485</c:v>
                </c:pt>
                <c:pt idx="20">
                  <c:v>0.88110438048512485</c:v>
                </c:pt>
                <c:pt idx="21">
                  <c:v>0.88110438048512485</c:v>
                </c:pt>
                <c:pt idx="22">
                  <c:v>0.88110438048512485</c:v>
                </c:pt>
                <c:pt idx="23">
                  <c:v>0.88110438048512485</c:v>
                </c:pt>
                <c:pt idx="24">
                  <c:v>0.88110438048512485</c:v>
                </c:pt>
                <c:pt idx="25">
                  <c:v>0.88110438048512485</c:v>
                </c:pt>
                <c:pt idx="26">
                  <c:v>0.88110438048512485</c:v>
                </c:pt>
                <c:pt idx="27">
                  <c:v>0.88110438048512485</c:v>
                </c:pt>
                <c:pt idx="28">
                  <c:v>0.88110438048512485</c:v>
                </c:pt>
                <c:pt idx="29">
                  <c:v>0.88110438048512485</c:v>
                </c:pt>
                <c:pt idx="30">
                  <c:v>0.88110438048512485</c:v>
                </c:pt>
                <c:pt idx="31">
                  <c:v>0.88110438048512485</c:v>
                </c:pt>
                <c:pt idx="32">
                  <c:v>0.88110438048512485</c:v>
                </c:pt>
                <c:pt idx="33">
                  <c:v>0.88110438048512485</c:v>
                </c:pt>
                <c:pt idx="34">
                  <c:v>0.88110438048512485</c:v>
                </c:pt>
                <c:pt idx="35">
                  <c:v>0.88110438048512485</c:v>
                </c:pt>
                <c:pt idx="36">
                  <c:v>0.88110438048512485</c:v>
                </c:pt>
                <c:pt idx="37">
                  <c:v>0.88110438048512485</c:v>
                </c:pt>
                <c:pt idx="38">
                  <c:v>0.88110438048512485</c:v>
                </c:pt>
                <c:pt idx="39">
                  <c:v>0.88110438048512485</c:v>
                </c:pt>
                <c:pt idx="40">
                  <c:v>0.88110438048512485</c:v>
                </c:pt>
                <c:pt idx="41">
                  <c:v>0.88110438048512485</c:v>
                </c:pt>
                <c:pt idx="42">
                  <c:v>0.88110438048512485</c:v>
                </c:pt>
                <c:pt idx="43">
                  <c:v>0.88110438048512485</c:v>
                </c:pt>
                <c:pt idx="44">
                  <c:v>0.88110438048512485</c:v>
                </c:pt>
                <c:pt idx="45">
                  <c:v>0.88110438048512485</c:v>
                </c:pt>
                <c:pt idx="46">
                  <c:v>0.88110438048512485</c:v>
                </c:pt>
                <c:pt idx="47">
                  <c:v>0.88110438048512485</c:v>
                </c:pt>
              </c:numCache>
            </c:numRef>
          </c:val>
          <c:smooth val="0"/>
        </c:ser>
        <c:ser>
          <c:idx val="4"/>
          <c:order val="3"/>
          <c:tx>
            <c:strRef>
              <c:f>Stroke!$A$320</c:f>
              <c:strCache>
                <c:ptCount val="1"/>
                <c:pt idx="0">
                  <c:v>Lower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Stroke!$B$320:$AW$320</c:f>
              <c:numCache>
                <c:formatCode>0.0%</c:formatCode>
                <c:ptCount val="48"/>
                <c:pt idx="0">
                  <c:v>0.45549928942908924</c:v>
                </c:pt>
                <c:pt idx="1">
                  <c:v>0.45549928942908924</c:v>
                </c:pt>
                <c:pt idx="2">
                  <c:v>0.45549928942908924</c:v>
                </c:pt>
                <c:pt idx="3">
                  <c:v>0.45549928942908924</c:v>
                </c:pt>
                <c:pt idx="4">
                  <c:v>0.45549928942908924</c:v>
                </c:pt>
                <c:pt idx="5">
                  <c:v>0.45549928942908924</c:v>
                </c:pt>
                <c:pt idx="6">
                  <c:v>0.45549928942908924</c:v>
                </c:pt>
                <c:pt idx="7">
                  <c:v>0.45549928942908924</c:v>
                </c:pt>
                <c:pt idx="8">
                  <c:v>0.45549928942908924</c:v>
                </c:pt>
                <c:pt idx="9">
                  <c:v>0.45549928942908924</c:v>
                </c:pt>
                <c:pt idx="10">
                  <c:v>0.45549928942908924</c:v>
                </c:pt>
                <c:pt idx="11">
                  <c:v>0.45549928942908924</c:v>
                </c:pt>
                <c:pt idx="12">
                  <c:v>0.45549928942908924</c:v>
                </c:pt>
                <c:pt idx="13">
                  <c:v>0.45549928942908924</c:v>
                </c:pt>
                <c:pt idx="14">
                  <c:v>0.45549928942908924</c:v>
                </c:pt>
                <c:pt idx="15">
                  <c:v>0.45549928942908924</c:v>
                </c:pt>
                <c:pt idx="16">
                  <c:v>0.45549928942908924</c:v>
                </c:pt>
                <c:pt idx="17">
                  <c:v>0.45549928942908924</c:v>
                </c:pt>
                <c:pt idx="18">
                  <c:v>0.45549928942908924</c:v>
                </c:pt>
                <c:pt idx="19">
                  <c:v>0.45549928942908924</c:v>
                </c:pt>
                <c:pt idx="20">
                  <c:v>0.45549928942908924</c:v>
                </c:pt>
                <c:pt idx="21">
                  <c:v>0.45549928942908924</c:v>
                </c:pt>
                <c:pt idx="22">
                  <c:v>0.45549928942908924</c:v>
                </c:pt>
                <c:pt idx="23">
                  <c:v>0.45549928942908924</c:v>
                </c:pt>
                <c:pt idx="24">
                  <c:v>0.45549928942908924</c:v>
                </c:pt>
                <c:pt idx="25">
                  <c:v>0.45549928942908924</c:v>
                </c:pt>
                <c:pt idx="26">
                  <c:v>0.45549928942908924</c:v>
                </c:pt>
                <c:pt idx="27">
                  <c:v>0.45549928942908924</c:v>
                </c:pt>
                <c:pt idx="28">
                  <c:v>0.45549928942908924</c:v>
                </c:pt>
                <c:pt idx="29">
                  <c:v>0.45549928942908924</c:v>
                </c:pt>
                <c:pt idx="30">
                  <c:v>0.45549928942908924</c:v>
                </c:pt>
                <c:pt idx="31">
                  <c:v>0.45549928942908924</c:v>
                </c:pt>
                <c:pt idx="32">
                  <c:v>0.45549928942908924</c:v>
                </c:pt>
                <c:pt idx="33">
                  <c:v>0.45549928942908924</c:v>
                </c:pt>
                <c:pt idx="34">
                  <c:v>0.45549928942908924</c:v>
                </c:pt>
                <c:pt idx="35">
                  <c:v>0.45549928942908924</c:v>
                </c:pt>
                <c:pt idx="36">
                  <c:v>0.45549928942908924</c:v>
                </c:pt>
                <c:pt idx="37">
                  <c:v>0.45549928942908924</c:v>
                </c:pt>
                <c:pt idx="38">
                  <c:v>0.45549928942908924</c:v>
                </c:pt>
                <c:pt idx="39">
                  <c:v>0.45549928942908924</c:v>
                </c:pt>
                <c:pt idx="40">
                  <c:v>0.45549928942908924</c:v>
                </c:pt>
                <c:pt idx="41">
                  <c:v>0.45549928942908924</c:v>
                </c:pt>
                <c:pt idx="42">
                  <c:v>0.45549928942908924</c:v>
                </c:pt>
                <c:pt idx="43">
                  <c:v>0.45549928942908924</c:v>
                </c:pt>
                <c:pt idx="44">
                  <c:v>0.45549928942908924</c:v>
                </c:pt>
                <c:pt idx="45">
                  <c:v>0.45549928942908924</c:v>
                </c:pt>
                <c:pt idx="46">
                  <c:v>0.45549928942908924</c:v>
                </c:pt>
                <c:pt idx="47">
                  <c:v>0.45549928942908924</c:v>
                </c:pt>
              </c:numCache>
            </c:numRef>
          </c:val>
          <c:smooth val="0"/>
        </c:ser>
        <c:ser>
          <c:idx val="0"/>
          <c:order val="4"/>
          <c:tx>
            <c:strRef>
              <c:f>Stroke!$A$332</c:f>
              <c:strCache>
                <c:ptCount val="1"/>
                <c:pt idx="0">
                  <c:v>Component Target (min)</c:v>
                </c:pt>
              </c:strCache>
            </c:strRef>
          </c:tx>
          <c:spPr>
            <a:ln w="25400">
              <a:solidFill>
                <a:srgbClr val="FF0000"/>
              </a:solidFill>
              <a:prstDash val="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Stroke!$B$332:$AW$332</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c:v>
                </c:pt>
                <c:pt idx="13">
                  <c:v>0.9</c:v>
                </c:pt>
                <c:pt idx="14">
                  <c:v>0.9</c:v>
                </c:pt>
                <c:pt idx="15">
                  <c:v>0.9</c:v>
                </c:pt>
                <c:pt idx="16">
                  <c:v>0.9</c:v>
                </c:pt>
                <c:pt idx="17">
                  <c:v>0.9</c:v>
                </c:pt>
                <c:pt idx="18">
                  <c:v>0.9</c:v>
                </c:pt>
                <c:pt idx="19">
                  <c:v>0.9</c:v>
                </c:pt>
                <c:pt idx="20">
                  <c:v>0.9</c:v>
                </c:pt>
                <c:pt idx="21">
                  <c:v>0.9</c:v>
                </c:pt>
                <c:pt idx="22">
                  <c:v>0.9</c:v>
                </c:pt>
                <c:pt idx="23">
                  <c:v>0.9</c:v>
                </c:pt>
                <c:pt idx="24">
                  <c:v>0.9</c:v>
                </c:pt>
                <c:pt idx="25">
                  <c:v>0.9</c:v>
                </c:pt>
                <c:pt idx="26">
                  <c:v>0.9</c:v>
                </c:pt>
                <c:pt idx="27">
                  <c:v>0.9</c:v>
                </c:pt>
                <c:pt idx="28">
                  <c:v>0.9</c:v>
                </c:pt>
                <c:pt idx="29">
                  <c:v>0.9</c:v>
                </c:pt>
                <c:pt idx="30">
                  <c:v>0.9</c:v>
                </c:pt>
                <c:pt idx="31">
                  <c:v>0.9</c:v>
                </c:pt>
                <c:pt idx="32">
                  <c:v>0.9</c:v>
                </c:pt>
                <c:pt idx="33">
                  <c:v>0.9</c:v>
                </c:pt>
                <c:pt idx="34">
                  <c:v>0.9</c:v>
                </c:pt>
                <c:pt idx="35">
                  <c:v>0.9</c:v>
                </c:pt>
                <c:pt idx="36">
                  <c:v>0.9</c:v>
                </c:pt>
                <c:pt idx="37">
                  <c:v>0.9</c:v>
                </c:pt>
                <c:pt idx="38">
                  <c:v>0.9</c:v>
                </c:pt>
                <c:pt idx="39">
                  <c:v>0.9</c:v>
                </c:pt>
                <c:pt idx="40">
                  <c:v>0.9</c:v>
                </c:pt>
                <c:pt idx="41">
                  <c:v>0.9</c:v>
                </c:pt>
                <c:pt idx="42">
                  <c:v>0.9</c:v>
                </c:pt>
                <c:pt idx="43">
                  <c:v>0.9</c:v>
                </c:pt>
                <c:pt idx="44">
                  <c:v>0.9</c:v>
                </c:pt>
                <c:pt idx="45">
                  <c:v>0.9</c:v>
                </c:pt>
                <c:pt idx="46">
                  <c:v>0.9</c:v>
                </c:pt>
                <c:pt idx="47">
                  <c:v>0.9</c:v>
                </c:pt>
              </c:numCache>
            </c:numRef>
          </c:val>
          <c:smooth val="0"/>
        </c:ser>
        <c:dLbls>
          <c:showLegendKey val="0"/>
          <c:showVal val="0"/>
          <c:showCatName val="0"/>
          <c:showSerName val="0"/>
          <c:showPercent val="0"/>
          <c:showBubbleSize val="0"/>
        </c:dLbls>
        <c:marker val="1"/>
        <c:smooth val="0"/>
        <c:axId val="148015104"/>
        <c:axId val="148128896"/>
      </c:lineChart>
      <c:dateAx>
        <c:axId val="148015104"/>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8128896"/>
        <c:crosses val="autoZero"/>
        <c:auto val="1"/>
        <c:lblOffset val="100"/>
        <c:baseTimeUnit val="months"/>
      </c:dateAx>
      <c:valAx>
        <c:axId val="14812889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8015104"/>
        <c:crosses val="autoZero"/>
        <c:crossBetween val="between"/>
      </c:valAx>
    </c:plotArea>
    <c:legend>
      <c:legendPos val="r"/>
      <c:layout>
        <c:manualLayout>
          <c:xMode val="edge"/>
          <c:yMode val="edge"/>
          <c:x val="6.8462315996908136E-4"/>
          <c:y val="0.91005291005290956"/>
          <c:w val="0.99834512595310698"/>
          <c:h val="8.9947089947090067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95108668161762E-2"/>
          <c:y val="4.6647296725948563E-2"/>
          <c:w val="0.88080291355443563"/>
          <c:h val="0.6667986111111226"/>
        </c:manualLayout>
      </c:layout>
      <c:lineChart>
        <c:grouping val="standard"/>
        <c:varyColors val="0"/>
        <c:ser>
          <c:idx val="0"/>
          <c:order val="0"/>
          <c:tx>
            <c:strRef>
              <c:f>Stroke!$A$352</c:f>
              <c:strCache>
                <c:ptCount val="1"/>
                <c:pt idx="0">
                  <c:v>Bundle Component 2 - Swallow screen within standard (on day of admission to Mar 16 incl./ within four hours of admission from Apr 16 incl.)</c:v>
                </c:pt>
              </c:strCache>
            </c:strRef>
          </c:tx>
          <c:spPr>
            <a:ln w="25400">
              <a:solidFill>
                <a:srgbClr val="0070C0"/>
              </a:solidFill>
            </a:ln>
          </c:spPr>
          <c:marker>
            <c:symbol val="circle"/>
            <c:size val="5"/>
          </c:marker>
          <c:dPt>
            <c:idx val="12"/>
            <c:bubble3D val="0"/>
            <c:spPr>
              <a:ln w="25400">
                <a:noFill/>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Stroke!$B$352:$AW$352</c:f>
              <c:numCache>
                <c:formatCode>0.0%</c:formatCode>
                <c:ptCount val="48"/>
                <c:pt idx="0">
                  <c:v>0.8165137614678899</c:v>
                </c:pt>
                <c:pt idx="1">
                  <c:v>0.83333333333333348</c:v>
                </c:pt>
                <c:pt idx="2">
                  <c:v>0.82474226804123707</c:v>
                </c:pt>
                <c:pt idx="3">
                  <c:v>0.80412371134020622</c:v>
                </c:pt>
                <c:pt idx="4">
                  <c:v>0.86274509803921573</c:v>
                </c:pt>
                <c:pt idx="5">
                  <c:v>0.90384615384615385</c:v>
                </c:pt>
                <c:pt idx="6">
                  <c:v>0.89075630252100846</c:v>
                </c:pt>
                <c:pt idx="7">
                  <c:v>0.8294573643410853</c:v>
                </c:pt>
                <c:pt idx="8">
                  <c:v>0.83495145631067957</c:v>
                </c:pt>
                <c:pt idx="9">
                  <c:v>0.86885245901639341</c:v>
                </c:pt>
                <c:pt idx="10">
                  <c:v>0.84745762711864403</c:v>
                </c:pt>
                <c:pt idx="11">
                  <c:v>0.87878787878787878</c:v>
                </c:pt>
                <c:pt idx="12">
                  <c:v>0.77900000000000003</c:v>
                </c:pt>
                <c:pt idx="13">
                  <c:v>0.75</c:v>
                </c:pt>
                <c:pt idx="14">
                  <c:v>0.84399999999999997</c:v>
                </c:pt>
                <c:pt idx="15">
                  <c:v>0.82399999999999995</c:v>
                </c:pt>
                <c:pt idx="16">
                  <c:v>0.82758620689655171</c:v>
                </c:pt>
                <c:pt idx="17">
                  <c:v>0.78461538461538471</c:v>
                </c:pt>
                <c:pt idx="18">
                  <c:v>0.83333333333333348</c:v>
                </c:pt>
                <c:pt idx="19">
                  <c:v>0.80188679245283023</c:v>
                </c:pt>
                <c:pt idx="20">
                  <c:v>0.82978723404255317</c:v>
                </c:pt>
                <c:pt idx="21">
                  <c:v>0.87179487179487181</c:v>
                </c:pt>
                <c:pt idx="22">
                  <c:v>0.8</c:v>
                </c:pt>
                <c:pt idx="23">
                  <c:v>0.90441176470588236</c:v>
                </c:pt>
                <c:pt idx="24">
                  <c:v>0.796875</c:v>
                </c:pt>
                <c:pt idx="25">
                  <c:v>0.875</c:v>
                </c:pt>
                <c:pt idx="26">
                  <c:v>0.87969924812030076</c:v>
                </c:pt>
              </c:numCache>
            </c:numRef>
          </c:val>
          <c:smooth val="0"/>
        </c:ser>
        <c:ser>
          <c:idx val="2"/>
          <c:order val="1"/>
          <c:tx>
            <c:strRef>
              <c:f>Stroke!$A$359</c:f>
              <c:strCache>
                <c:ptCount val="1"/>
                <c:pt idx="0">
                  <c:v>Mean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Stroke!$B$359:$AW$359</c:f>
              <c:numCache>
                <c:formatCode>0.0%</c:formatCode>
                <c:ptCount val="48"/>
                <c:pt idx="0">
                  <c:v>0.83694656481946061</c:v>
                </c:pt>
                <c:pt idx="1">
                  <c:v>0.83694656481946061</c:v>
                </c:pt>
                <c:pt idx="2">
                  <c:v>0.83694656481946061</c:v>
                </c:pt>
                <c:pt idx="3">
                  <c:v>0.83694656481946061</c:v>
                </c:pt>
                <c:pt idx="4">
                  <c:v>0.83694656481946061</c:v>
                </c:pt>
                <c:pt idx="5">
                  <c:v>0.83694656481946061</c:v>
                </c:pt>
                <c:pt idx="6">
                  <c:v>0.83694656481946061</c:v>
                </c:pt>
                <c:pt idx="7">
                  <c:v>0.83694656481946061</c:v>
                </c:pt>
                <c:pt idx="8">
                  <c:v>0.83694656481946061</c:v>
                </c:pt>
                <c:pt idx="9">
                  <c:v>0.83694656481946061</c:v>
                </c:pt>
                <c:pt idx="10">
                  <c:v>0.83694656481946061</c:v>
                </c:pt>
                <c:pt idx="11">
                  <c:v>0.83694656481946061</c:v>
                </c:pt>
                <c:pt idx="12">
                  <c:v>0.83694656481946061</c:v>
                </c:pt>
                <c:pt idx="13">
                  <c:v>0.83694656481946061</c:v>
                </c:pt>
                <c:pt idx="14">
                  <c:v>0.83694656481946061</c:v>
                </c:pt>
                <c:pt idx="15">
                  <c:v>0.83694656481946061</c:v>
                </c:pt>
                <c:pt idx="16">
                  <c:v>0.83694656481946061</c:v>
                </c:pt>
                <c:pt idx="17">
                  <c:v>0.83694656481946061</c:v>
                </c:pt>
                <c:pt idx="18">
                  <c:v>0.83694656481946061</c:v>
                </c:pt>
                <c:pt idx="19">
                  <c:v>0.83694656481946061</c:v>
                </c:pt>
                <c:pt idx="20">
                  <c:v>0.83694656481946061</c:v>
                </c:pt>
                <c:pt idx="21">
                  <c:v>0.83694656481946061</c:v>
                </c:pt>
                <c:pt idx="22">
                  <c:v>0.83694656481946061</c:v>
                </c:pt>
                <c:pt idx="23">
                  <c:v>0.83694656481946061</c:v>
                </c:pt>
                <c:pt idx="24">
                  <c:v>0.83694656481946061</c:v>
                </c:pt>
                <c:pt idx="25">
                  <c:v>0.83694656481946061</c:v>
                </c:pt>
                <c:pt idx="26">
                  <c:v>0.83694656481946061</c:v>
                </c:pt>
                <c:pt idx="27">
                  <c:v>0.83694656481946061</c:v>
                </c:pt>
                <c:pt idx="28">
                  <c:v>0.83694656481946061</c:v>
                </c:pt>
                <c:pt idx="29">
                  <c:v>0.83694656481946061</c:v>
                </c:pt>
                <c:pt idx="30">
                  <c:v>0.83694656481946061</c:v>
                </c:pt>
                <c:pt idx="31">
                  <c:v>0.83694656481946061</c:v>
                </c:pt>
                <c:pt idx="32">
                  <c:v>0.83694656481946061</c:v>
                </c:pt>
                <c:pt idx="33">
                  <c:v>0.83694656481946061</c:v>
                </c:pt>
                <c:pt idx="34">
                  <c:v>0.83694656481946061</c:v>
                </c:pt>
                <c:pt idx="35">
                  <c:v>0.83694656481946061</c:v>
                </c:pt>
                <c:pt idx="36">
                  <c:v>0.83694656481946061</c:v>
                </c:pt>
                <c:pt idx="37">
                  <c:v>0.83694656481946061</c:v>
                </c:pt>
                <c:pt idx="38">
                  <c:v>0.83694656481946061</c:v>
                </c:pt>
                <c:pt idx="39">
                  <c:v>0.83694656481946061</c:v>
                </c:pt>
                <c:pt idx="40">
                  <c:v>0.83694656481946061</c:v>
                </c:pt>
                <c:pt idx="41">
                  <c:v>0.83694656481946061</c:v>
                </c:pt>
                <c:pt idx="42">
                  <c:v>0.83694656481946061</c:v>
                </c:pt>
                <c:pt idx="43">
                  <c:v>0.83694656481946061</c:v>
                </c:pt>
                <c:pt idx="44">
                  <c:v>0.83694656481946061</c:v>
                </c:pt>
                <c:pt idx="45">
                  <c:v>0.83694656481946061</c:v>
                </c:pt>
                <c:pt idx="46">
                  <c:v>0.83694656481946061</c:v>
                </c:pt>
                <c:pt idx="47">
                  <c:v>0.83694656481946061</c:v>
                </c:pt>
              </c:numCache>
            </c:numRef>
          </c:val>
          <c:smooth val="0"/>
        </c:ser>
        <c:ser>
          <c:idx val="3"/>
          <c:order val="2"/>
          <c:tx>
            <c:strRef>
              <c:f>Stroke!$A$362</c:f>
              <c:strCache>
                <c:ptCount val="1"/>
                <c:pt idx="0">
                  <c:v>Upper Control Limit </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Stroke!$B$362:$AW$362</c:f>
              <c:numCache>
                <c:formatCode>0.0%</c:formatCode>
                <c:ptCount val="48"/>
                <c:pt idx="0">
                  <c:v>0.97213100997721058</c:v>
                </c:pt>
                <c:pt idx="1">
                  <c:v>0.97213100997721058</c:v>
                </c:pt>
                <c:pt idx="2">
                  <c:v>0.97213100997721058</c:v>
                </c:pt>
                <c:pt idx="3">
                  <c:v>0.97213100997721058</c:v>
                </c:pt>
                <c:pt idx="4">
                  <c:v>0.97213100997721058</c:v>
                </c:pt>
                <c:pt idx="5">
                  <c:v>0.97213100997721058</c:v>
                </c:pt>
                <c:pt idx="6">
                  <c:v>0.97213100997721058</c:v>
                </c:pt>
                <c:pt idx="7">
                  <c:v>0.97213100997721058</c:v>
                </c:pt>
                <c:pt idx="8">
                  <c:v>0.97213100997721058</c:v>
                </c:pt>
                <c:pt idx="9">
                  <c:v>0.97213100997721058</c:v>
                </c:pt>
                <c:pt idx="10">
                  <c:v>0.97213100997721058</c:v>
                </c:pt>
                <c:pt idx="11">
                  <c:v>0.97213100997721058</c:v>
                </c:pt>
                <c:pt idx="12">
                  <c:v>0.97213100997721058</c:v>
                </c:pt>
                <c:pt idx="13">
                  <c:v>0.97213100997721058</c:v>
                </c:pt>
                <c:pt idx="14">
                  <c:v>0.97213100997721058</c:v>
                </c:pt>
                <c:pt idx="15">
                  <c:v>0.97213100997721058</c:v>
                </c:pt>
                <c:pt idx="16">
                  <c:v>0.97213100997721058</c:v>
                </c:pt>
                <c:pt idx="17">
                  <c:v>0.97213100997721058</c:v>
                </c:pt>
                <c:pt idx="18">
                  <c:v>0.97213100997721058</c:v>
                </c:pt>
                <c:pt idx="19">
                  <c:v>0.97213100997721058</c:v>
                </c:pt>
                <c:pt idx="20">
                  <c:v>0.97213100997721058</c:v>
                </c:pt>
                <c:pt idx="21">
                  <c:v>0.97213100997721058</c:v>
                </c:pt>
                <c:pt idx="22">
                  <c:v>0.97213100997721058</c:v>
                </c:pt>
                <c:pt idx="23">
                  <c:v>0.97213100997721058</c:v>
                </c:pt>
                <c:pt idx="24">
                  <c:v>0.97213100997721058</c:v>
                </c:pt>
                <c:pt idx="25">
                  <c:v>0.97213100997721058</c:v>
                </c:pt>
                <c:pt idx="26">
                  <c:v>0.97213100997721058</c:v>
                </c:pt>
                <c:pt idx="27">
                  <c:v>0.97213100997721058</c:v>
                </c:pt>
                <c:pt idx="28">
                  <c:v>0.97213100997721058</c:v>
                </c:pt>
                <c:pt idx="29">
                  <c:v>0.97213100997721058</c:v>
                </c:pt>
                <c:pt idx="30">
                  <c:v>0.97213100997721058</c:v>
                </c:pt>
                <c:pt idx="31">
                  <c:v>0.97213100997721058</c:v>
                </c:pt>
                <c:pt idx="32">
                  <c:v>0.97213100997721058</c:v>
                </c:pt>
                <c:pt idx="33">
                  <c:v>0.97213100997721058</c:v>
                </c:pt>
                <c:pt idx="34">
                  <c:v>0.97213100997721058</c:v>
                </c:pt>
                <c:pt idx="35">
                  <c:v>0.97213100997721058</c:v>
                </c:pt>
                <c:pt idx="36">
                  <c:v>0.97213100997721058</c:v>
                </c:pt>
                <c:pt idx="37">
                  <c:v>0.97213100997721058</c:v>
                </c:pt>
                <c:pt idx="38">
                  <c:v>0.97213100997721058</c:v>
                </c:pt>
                <c:pt idx="39">
                  <c:v>0.97213100997721058</c:v>
                </c:pt>
                <c:pt idx="40">
                  <c:v>0.97213100997721058</c:v>
                </c:pt>
                <c:pt idx="41">
                  <c:v>0.97213100997721058</c:v>
                </c:pt>
                <c:pt idx="42">
                  <c:v>0.97213100997721058</c:v>
                </c:pt>
                <c:pt idx="43">
                  <c:v>0.97213100997721058</c:v>
                </c:pt>
                <c:pt idx="44">
                  <c:v>0.97213100997721058</c:v>
                </c:pt>
                <c:pt idx="45">
                  <c:v>0.97213100997721058</c:v>
                </c:pt>
                <c:pt idx="46">
                  <c:v>0.97213100997721058</c:v>
                </c:pt>
                <c:pt idx="47">
                  <c:v>0.97213100997721058</c:v>
                </c:pt>
              </c:numCache>
            </c:numRef>
          </c:val>
          <c:smooth val="0"/>
        </c:ser>
        <c:ser>
          <c:idx val="4"/>
          <c:order val="3"/>
          <c:tx>
            <c:strRef>
              <c:f>Stroke!$A$363</c:f>
              <c:strCache>
                <c:ptCount val="1"/>
                <c:pt idx="0">
                  <c:v>Lower Control Limit</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Stroke!$B$363:$AW$363</c:f>
              <c:numCache>
                <c:formatCode>0.0%</c:formatCode>
                <c:ptCount val="48"/>
                <c:pt idx="0">
                  <c:v>0.70176211966171065</c:v>
                </c:pt>
                <c:pt idx="1">
                  <c:v>0.70176211966171065</c:v>
                </c:pt>
                <c:pt idx="2">
                  <c:v>0.70176211966171065</c:v>
                </c:pt>
                <c:pt idx="3">
                  <c:v>0.70176211966171065</c:v>
                </c:pt>
                <c:pt idx="4">
                  <c:v>0.70176211966171065</c:v>
                </c:pt>
                <c:pt idx="5">
                  <c:v>0.70176211966171065</c:v>
                </c:pt>
                <c:pt idx="6">
                  <c:v>0.70176211966171065</c:v>
                </c:pt>
                <c:pt idx="7">
                  <c:v>0.70176211966171065</c:v>
                </c:pt>
                <c:pt idx="8">
                  <c:v>0.70176211966171065</c:v>
                </c:pt>
                <c:pt idx="9">
                  <c:v>0.70176211966171065</c:v>
                </c:pt>
                <c:pt idx="10">
                  <c:v>0.70176211966171065</c:v>
                </c:pt>
                <c:pt idx="11">
                  <c:v>0.70176211966171065</c:v>
                </c:pt>
                <c:pt idx="12">
                  <c:v>0.70176211966171065</c:v>
                </c:pt>
                <c:pt idx="13">
                  <c:v>0.70176211966171065</c:v>
                </c:pt>
                <c:pt idx="14">
                  <c:v>0.70176211966171065</c:v>
                </c:pt>
                <c:pt idx="15">
                  <c:v>0.70176211966171065</c:v>
                </c:pt>
                <c:pt idx="16">
                  <c:v>0.70176211966171065</c:v>
                </c:pt>
                <c:pt idx="17">
                  <c:v>0.70176211966171065</c:v>
                </c:pt>
                <c:pt idx="18">
                  <c:v>0.70176211966171065</c:v>
                </c:pt>
                <c:pt idx="19">
                  <c:v>0.70176211966171065</c:v>
                </c:pt>
                <c:pt idx="20">
                  <c:v>0.70176211966171065</c:v>
                </c:pt>
                <c:pt idx="21">
                  <c:v>0.70176211966171065</c:v>
                </c:pt>
                <c:pt idx="22">
                  <c:v>0.70176211966171065</c:v>
                </c:pt>
                <c:pt idx="23">
                  <c:v>0.70176211966171065</c:v>
                </c:pt>
                <c:pt idx="24">
                  <c:v>0.70176211966171065</c:v>
                </c:pt>
                <c:pt idx="25">
                  <c:v>0.70176211966171065</c:v>
                </c:pt>
                <c:pt idx="26">
                  <c:v>0.70176211966171065</c:v>
                </c:pt>
                <c:pt idx="27">
                  <c:v>0.70176211966171065</c:v>
                </c:pt>
                <c:pt idx="28">
                  <c:v>0.70176211966171065</c:v>
                </c:pt>
                <c:pt idx="29">
                  <c:v>0.70176211966171065</c:v>
                </c:pt>
                <c:pt idx="30">
                  <c:v>0.70176211966171065</c:v>
                </c:pt>
                <c:pt idx="31">
                  <c:v>0.70176211966171065</c:v>
                </c:pt>
                <c:pt idx="32">
                  <c:v>0.70176211966171065</c:v>
                </c:pt>
                <c:pt idx="33">
                  <c:v>0.70176211966171065</c:v>
                </c:pt>
                <c:pt idx="34">
                  <c:v>0.70176211966171065</c:v>
                </c:pt>
                <c:pt idx="35">
                  <c:v>0.70176211966171065</c:v>
                </c:pt>
                <c:pt idx="36">
                  <c:v>0.70176211966171065</c:v>
                </c:pt>
                <c:pt idx="37">
                  <c:v>0.70176211966171065</c:v>
                </c:pt>
                <c:pt idx="38">
                  <c:v>0.70176211966171065</c:v>
                </c:pt>
                <c:pt idx="39">
                  <c:v>0.70176211966171065</c:v>
                </c:pt>
                <c:pt idx="40">
                  <c:v>0.70176211966171065</c:v>
                </c:pt>
                <c:pt idx="41">
                  <c:v>0.70176211966171065</c:v>
                </c:pt>
                <c:pt idx="42">
                  <c:v>0.70176211966171065</c:v>
                </c:pt>
                <c:pt idx="43">
                  <c:v>0.70176211966171065</c:v>
                </c:pt>
                <c:pt idx="44">
                  <c:v>0.70176211966171065</c:v>
                </c:pt>
                <c:pt idx="45">
                  <c:v>0.70176211966171065</c:v>
                </c:pt>
                <c:pt idx="46">
                  <c:v>0.70176211966171065</c:v>
                </c:pt>
                <c:pt idx="47">
                  <c:v>0.70176211966171065</c:v>
                </c:pt>
              </c:numCache>
            </c:numRef>
          </c:val>
          <c:smooth val="0"/>
        </c:ser>
        <c:ser>
          <c:idx val="1"/>
          <c:order val="4"/>
          <c:tx>
            <c:strRef>
              <c:f>Stroke!$A$353</c:f>
              <c:strCache>
                <c:ptCount val="1"/>
                <c:pt idx="0">
                  <c:v>Component Target - 90% on day of admission (min)</c:v>
                </c:pt>
              </c:strCache>
            </c:strRef>
          </c:tx>
          <c:spPr>
            <a:ln w="25400">
              <a:solidFill>
                <a:srgbClr val="FF0000"/>
              </a:solidFill>
              <a:prstDash val="sysDot"/>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Stroke!$B$353:$M$353</c:f>
              <c:numCache>
                <c:formatCode>0.0%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ser>
        <c:ser>
          <c:idx val="5"/>
          <c:order val="5"/>
          <c:tx>
            <c:strRef>
              <c:f>Stroke!$A$354</c:f>
              <c:strCache>
                <c:ptCount val="1"/>
                <c:pt idx="0">
                  <c:v>Component Target - 100% within four hours of admission</c:v>
                </c:pt>
              </c:strCache>
            </c:strRef>
          </c:tx>
          <c:spPr>
            <a:ln w="25400">
              <a:solidFill>
                <a:srgbClr val="FF0000"/>
              </a:solidFill>
              <a:prstDash val="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Stroke!$B$354:$AW$354</c:f>
              <c:numCache>
                <c:formatCode>0.0%</c:formatCode>
                <c:ptCount val="48"/>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numCache>
            </c:numRef>
          </c:val>
          <c:smooth val="0"/>
        </c:ser>
        <c:dLbls>
          <c:showLegendKey val="0"/>
          <c:showVal val="0"/>
          <c:showCatName val="0"/>
          <c:showSerName val="0"/>
          <c:showPercent val="0"/>
          <c:showBubbleSize val="0"/>
        </c:dLbls>
        <c:marker val="1"/>
        <c:smooth val="0"/>
        <c:axId val="148016640"/>
        <c:axId val="148131200"/>
      </c:lineChart>
      <c:dateAx>
        <c:axId val="14801664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8131200"/>
        <c:crosses val="autoZero"/>
        <c:auto val="1"/>
        <c:lblOffset val="100"/>
        <c:baseTimeUnit val="months"/>
      </c:dateAx>
      <c:valAx>
        <c:axId val="148131200"/>
        <c:scaling>
          <c:orientation val="minMax"/>
          <c:max val="1"/>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8016640"/>
        <c:crosses val="autoZero"/>
        <c:crossBetween val="between"/>
      </c:valAx>
    </c:plotArea>
    <c:legend>
      <c:legendPos val="b"/>
      <c:layout>
        <c:manualLayout>
          <c:xMode val="edge"/>
          <c:yMode val="edge"/>
          <c:x val="4.7190057125212834E-3"/>
          <c:y val="0.8372222222222222"/>
          <c:w val="0.97353944727497665"/>
          <c:h val="0.15208500000000041"/>
        </c:manualLayout>
      </c:layout>
      <c:overlay val="1"/>
      <c:txPr>
        <a:bodyPr/>
        <a:lstStyle/>
        <a:p>
          <a:pPr>
            <a:defRPr sz="570">
              <a:latin typeface="Arial" pitchFamily="34" charset="0"/>
              <a:cs typeface="Arial"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784"/>
        </c:manualLayout>
      </c:layout>
      <c:lineChart>
        <c:grouping val="standard"/>
        <c:varyColors val="0"/>
        <c:ser>
          <c:idx val="1"/>
          <c:order val="0"/>
          <c:tx>
            <c:strRef>
              <c:f>Stroke!$A$375</c:f>
              <c:strCache>
                <c:ptCount val="1"/>
                <c:pt idx="0">
                  <c:v>Bundle Component 3 - Scanned within 24 hours of admission</c:v>
                </c:pt>
              </c:strCache>
            </c:strRef>
          </c:tx>
          <c:spPr>
            <a:ln w="25400">
              <a:solidFill>
                <a:srgbClr val="0070C0"/>
              </a:solidFill>
            </a:ln>
          </c:spPr>
          <c:marker>
            <c:symbol val="circle"/>
            <c:size val="4"/>
            <c:spPr>
              <a:solidFill>
                <a:srgbClr val="0070C0"/>
              </a:solidFill>
              <a:ln w="25400">
                <a:solidFill>
                  <a:srgbClr val="0070C0"/>
                </a:solidFill>
              </a:ln>
            </c:spPr>
          </c:marker>
          <c:dPt>
            <c:idx val="0"/>
            <c:bubble3D val="0"/>
          </c:dPt>
          <c:dPt>
            <c:idx val="1"/>
            <c:bubble3D val="0"/>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Stroke!$B$375:$AW$375</c:f>
              <c:numCache>
                <c:formatCode>0.0%</c:formatCode>
                <c:ptCount val="48"/>
                <c:pt idx="0">
                  <c:v>0.95412844036697253</c:v>
                </c:pt>
                <c:pt idx="1">
                  <c:v>0.95238095238095222</c:v>
                </c:pt>
                <c:pt idx="2">
                  <c:v>0.95876288659793818</c:v>
                </c:pt>
                <c:pt idx="3">
                  <c:v>0.97938144329896903</c:v>
                </c:pt>
                <c:pt idx="4">
                  <c:v>0.94117647058823517</c:v>
                </c:pt>
                <c:pt idx="5">
                  <c:v>0.96153846153846156</c:v>
                </c:pt>
                <c:pt idx="6">
                  <c:v>0.97478991596638653</c:v>
                </c:pt>
                <c:pt idx="7">
                  <c:v>0.98461538461538467</c:v>
                </c:pt>
                <c:pt idx="8">
                  <c:v>0.95199999999999996</c:v>
                </c:pt>
                <c:pt idx="9">
                  <c:v>0.97699999999999998</c:v>
                </c:pt>
                <c:pt idx="10">
                  <c:v>0.97599999999999998</c:v>
                </c:pt>
                <c:pt idx="11">
                  <c:v>0.94495412844036697</c:v>
                </c:pt>
                <c:pt idx="12">
                  <c:v>0.96212121212121215</c:v>
                </c:pt>
                <c:pt idx="13">
                  <c:v>0.96799999999999997</c:v>
                </c:pt>
                <c:pt idx="14">
                  <c:v>0.93600000000000005</c:v>
                </c:pt>
                <c:pt idx="15">
                  <c:v>0.95299999999999996</c:v>
                </c:pt>
                <c:pt idx="16">
                  <c:v>0.98347107438016534</c:v>
                </c:pt>
                <c:pt idx="17">
                  <c:v>0.96946564885496178</c:v>
                </c:pt>
                <c:pt idx="18">
                  <c:v>0.94444444444444442</c:v>
                </c:pt>
                <c:pt idx="19">
                  <c:v>0.9719626168224299</c:v>
                </c:pt>
                <c:pt idx="20">
                  <c:v>0.9858156028368793</c:v>
                </c:pt>
                <c:pt idx="21">
                  <c:v>0.92372881355932213</c:v>
                </c:pt>
                <c:pt idx="22">
                  <c:v>0.98039215686274506</c:v>
                </c:pt>
                <c:pt idx="23">
                  <c:v>0.96350364963503654</c:v>
                </c:pt>
                <c:pt idx="24">
                  <c:v>0.9609375</c:v>
                </c:pt>
                <c:pt idx="25">
                  <c:v>0.96350364963503654</c:v>
                </c:pt>
                <c:pt idx="26">
                  <c:v>0.96240601503759393</c:v>
                </c:pt>
              </c:numCache>
            </c:numRef>
          </c:val>
          <c:smooth val="0"/>
        </c:ser>
        <c:ser>
          <c:idx val="2"/>
          <c:order val="1"/>
          <c:tx>
            <c:strRef>
              <c:f>Stroke!$A$381</c:f>
              <c:strCache>
                <c:ptCount val="1"/>
                <c:pt idx="0">
                  <c:v>Mean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Stroke!$B$381:$AW$381</c:f>
              <c:numCache>
                <c:formatCode>0.0%</c:formatCode>
                <c:ptCount val="48"/>
                <c:pt idx="0">
                  <c:v>0.96242520251790709</c:v>
                </c:pt>
                <c:pt idx="1">
                  <c:v>0.96242520251790709</c:v>
                </c:pt>
                <c:pt idx="2">
                  <c:v>0.96242520251790709</c:v>
                </c:pt>
                <c:pt idx="3">
                  <c:v>0.96242520251790709</c:v>
                </c:pt>
                <c:pt idx="4">
                  <c:v>0.96242520251790709</c:v>
                </c:pt>
                <c:pt idx="5">
                  <c:v>0.96242520251790709</c:v>
                </c:pt>
                <c:pt idx="6">
                  <c:v>0.96242520251790709</c:v>
                </c:pt>
                <c:pt idx="7">
                  <c:v>0.96242520251790709</c:v>
                </c:pt>
                <c:pt idx="8">
                  <c:v>0.96242520251790709</c:v>
                </c:pt>
                <c:pt idx="9">
                  <c:v>0.96242520251790709</c:v>
                </c:pt>
                <c:pt idx="10">
                  <c:v>0.96242520251790709</c:v>
                </c:pt>
                <c:pt idx="11">
                  <c:v>0.96242520251790709</c:v>
                </c:pt>
                <c:pt idx="12">
                  <c:v>0.96242520251790709</c:v>
                </c:pt>
                <c:pt idx="13">
                  <c:v>0.96242520251790709</c:v>
                </c:pt>
                <c:pt idx="14">
                  <c:v>0.96242520251790709</c:v>
                </c:pt>
                <c:pt idx="15">
                  <c:v>0.96242520251790709</c:v>
                </c:pt>
                <c:pt idx="16">
                  <c:v>0.96242520251790709</c:v>
                </c:pt>
                <c:pt idx="17">
                  <c:v>0.96242520251790709</c:v>
                </c:pt>
                <c:pt idx="18">
                  <c:v>0.96242520251790709</c:v>
                </c:pt>
                <c:pt idx="19">
                  <c:v>0.96242520251790709</c:v>
                </c:pt>
                <c:pt idx="20">
                  <c:v>0.96242520251790709</c:v>
                </c:pt>
                <c:pt idx="21">
                  <c:v>0.96242520251790709</c:v>
                </c:pt>
                <c:pt idx="22">
                  <c:v>0.96242520251790709</c:v>
                </c:pt>
                <c:pt idx="23">
                  <c:v>0.96242520251790709</c:v>
                </c:pt>
                <c:pt idx="24">
                  <c:v>0.96242520251790709</c:v>
                </c:pt>
                <c:pt idx="25">
                  <c:v>0.96242520251790709</c:v>
                </c:pt>
                <c:pt idx="26">
                  <c:v>0.96242520251790709</c:v>
                </c:pt>
                <c:pt idx="27">
                  <c:v>0.96242520251790709</c:v>
                </c:pt>
                <c:pt idx="28">
                  <c:v>0.96242520251790709</c:v>
                </c:pt>
                <c:pt idx="29">
                  <c:v>0.96242520251790709</c:v>
                </c:pt>
                <c:pt idx="30">
                  <c:v>0.96242520251790709</c:v>
                </c:pt>
                <c:pt idx="31">
                  <c:v>0.96242520251790709</c:v>
                </c:pt>
                <c:pt idx="32">
                  <c:v>0.96242520251790709</c:v>
                </c:pt>
                <c:pt idx="33">
                  <c:v>0.96242520251790709</c:v>
                </c:pt>
                <c:pt idx="34">
                  <c:v>0.96242520251790709</c:v>
                </c:pt>
                <c:pt idx="35">
                  <c:v>0.96242520251790709</c:v>
                </c:pt>
                <c:pt idx="36">
                  <c:v>0.96242520251790709</c:v>
                </c:pt>
                <c:pt idx="37">
                  <c:v>0.96242520251790709</c:v>
                </c:pt>
                <c:pt idx="38">
                  <c:v>0.96242520251790709</c:v>
                </c:pt>
                <c:pt idx="39">
                  <c:v>0.96242520251790709</c:v>
                </c:pt>
                <c:pt idx="40">
                  <c:v>0.96242520251790709</c:v>
                </c:pt>
                <c:pt idx="41">
                  <c:v>0.96242520251790709</c:v>
                </c:pt>
                <c:pt idx="42">
                  <c:v>0.96242520251790709</c:v>
                </c:pt>
                <c:pt idx="43">
                  <c:v>0.96242520251790709</c:v>
                </c:pt>
                <c:pt idx="44">
                  <c:v>0.96242520251790709</c:v>
                </c:pt>
                <c:pt idx="45">
                  <c:v>0.96242520251790709</c:v>
                </c:pt>
                <c:pt idx="46">
                  <c:v>0.96242520251790709</c:v>
                </c:pt>
                <c:pt idx="47">
                  <c:v>0.96242520251790709</c:v>
                </c:pt>
              </c:numCache>
            </c:numRef>
          </c:val>
          <c:smooth val="0"/>
        </c:ser>
        <c:ser>
          <c:idx val="4"/>
          <c:order val="2"/>
          <c:tx>
            <c:strRef>
              <c:f>Stroke!$A$385</c:f>
              <c:strCache>
                <c:ptCount val="1"/>
                <c:pt idx="0">
                  <c:v>Lower Control Limit</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Stroke!$B$385:$AW$385</c:f>
              <c:numCache>
                <c:formatCode>0.0%</c:formatCode>
                <c:ptCount val="48"/>
                <c:pt idx="0">
                  <c:v>0.89897785849456369</c:v>
                </c:pt>
                <c:pt idx="1">
                  <c:v>0.89897785849456369</c:v>
                </c:pt>
                <c:pt idx="2">
                  <c:v>0.89897785849456369</c:v>
                </c:pt>
                <c:pt idx="3">
                  <c:v>0.89897785849456369</c:v>
                </c:pt>
                <c:pt idx="4">
                  <c:v>0.89897785849456369</c:v>
                </c:pt>
                <c:pt idx="5">
                  <c:v>0.89897785849456369</c:v>
                </c:pt>
                <c:pt idx="6">
                  <c:v>0.89897785849456369</c:v>
                </c:pt>
                <c:pt idx="7">
                  <c:v>0.89897785849456369</c:v>
                </c:pt>
                <c:pt idx="8">
                  <c:v>0.89897785849456369</c:v>
                </c:pt>
                <c:pt idx="9">
                  <c:v>0.89897785849456369</c:v>
                </c:pt>
                <c:pt idx="10">
                  <c:v>0.89897785849456369</c:v>
                </c:pt>
                <c:pt idx="11">
                  <c:v>0.89897785849456369</c:v>
                </c:pt>
                <c:pt idx="12">
                  <c:v>0.89897785849456369</c:v>
                </c:pt>
                <c:pt idx="13">
                  <c:v>0.89897785849456369</c:v>
                </c:pt>
                <c:pt idx="14">
                  <c:v>0.89897785849456369</c:v>
                </c:pt>
                <c:pt idx="15">
                  <c:v>0.89897785849456369</c:v>
                </c:pt>
                <c:pt idx="16">
                  <c:v>0.89897785849456369</c:v>
                </c:pt>
                <c:pt idx="17">
                  <c:v>0.89897785849456369</c:v>
                </c:pt>
                <c:pt idx="18">
                  <c:v>0.89897785849456369</c:v>
                </c:pt>
                <c:pt idx="19">
                  <c:v>0.89897785849456369</c:v>
                </c:pt>
                <c:pt idx="20">
                  <c:v>0.89897785849456369</c:v>
                </c:pt>
                <c:pt idx="21">
                  <c:v>0.89897785849456369</c:v>
                </c:pt>
                <c:pt idx="22">
                  <c:v>0.89897785849456369</c:v>
                </c:pt>
                <c:pt idx="23">
                  <c:v>0.89897785849456369</c:v>
                </c:pt>
                <c:pt idx="24">
                  <c:v>0.89897785849456369</c:v>
                </c:pt>
                <c:pt idx="25">
                  <c:v>0.89897785849456369</c:v>
                </c:pt>
                <c:pt idx="26">
                  <c:v>0.89897785849456369</c:v>
                </c:pt>
                <c:pt idx="27">
                  <c:v>0.89897785849456369</c:v>
                </c:pt>
                <c:pt idx="28">
                  <c:v>0.89897785849456369</c:v>
                </c:pt>
                <c:pt idx="29">
                  <c:v>0.89897785849456369</c:v>
                </c:pt>
                <c:pt idx="30">
                  <c:v>0.89897785849456369</c:v>
                </c:pt>
                <c:pt idx="31">
                  <c:v>0.89897785849456369</c:v>
                </c:pt>
                <c:pt idx="32">
                  <c:v>0.89897785849456369</c:v>
                </c:pt>
                <c:pt idx="33">
                  <c:v>0.89897785849456369</c:v>
                </c:pt>
                <c:pt idx="34">
                  <c:v>0.89897785849456369</c:v>
                </c:pt>
                <c:pt idx="35">
                  <c:v>0.89897785849456369</c:v>
                </c:pt>
                <c:pt idx="36">
                  <c:v>0.89897785849456369</c:v>
                </c:pt>
                <c:pt idx="37">
                  <c:v>0.89897785849456369</c:v>
                </c:pt>
                <c:pt idx="38">
                  <c:v>0.89897785849456369</c:v>
                </c:pt>
                <c:pt idx="39">
                  <c:v>0.89897785849456369</c:v>
                </c:pt>
                <c:pt idx="40">
                  <c:v>0.89897785849456369</c:v>
                </c:pt>
                <c:pt idx="41">
                  <c:v>0.89897785849456369</c:v>
                </c:pt>
                <c:pt idx="42">
                  <c:v>0.89897785849456369</c:v>
                </c:pt>
                <c:pt idx="43">
                  <c:v>0.89897785849456369</c:v>
                </c:pt>
                <c:pt idx="44">
                  <c:v>0.89897785849456369</c:v>
                </c:pt>
                <c:pt idx="45">
                  <c:v>0.89897785849456369</c:v>
                </c:pt>
                <c:pt idx="46">
                  <c:v>0.89897785849456369</c:v>
                </c:pt>
                <c:pt idx="47">
                  <c:v>0.89897785849456369</c:v>
                </c:pt>
              </c:numCache>
            </c:numRef>
          </c:val>
          <c:smooth val="0"/>
        </c:ser>
        <c:ser>
          <c:idx val="0"/>
          <c:order val="3"/>
          <c:tx>
            <c:strRef>
              <c:f>Stroke!$A$376</c:f>
              <c:strCache>
                <c:ptCount val="1"/>
                <c:pt idx="0">
                  <c:v>Component Target (min)</c:v>
                </c:pt>
              </c:strCache>
            </c:strRef>
          </c:tx>
          <c:spPr>
            <a:ln w="25400">
              <a:solidFill>
                <a:srgbClr val="FF0000"/>
              </a:solidFill>
              <a:prstDash val="dash"/>
            </a:ln>
          </c:spPr>
          <c:marker>
            <c:symbol val="none"/>
          </c:marker>
          <c:dPt>
            <c:idx val="12"/>
            <c:bubble3D val="0"/>
            <c:spPr>
              <a:ln w="25400">
                <a:noFill/>
                <a:prstDash val="dash"/>
              </a:ln>
            </c:spPr>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Stroke!$B$376:$AW$376</c:f>
              <c:numCache>
                <c:formatCode>0.0%</c:formatCode>
                <c:ptCount val="48"/>
                <c:pt idx="0">
                  <c:v>0.9</c:v>
                </c:pt>
                <c:pt idx="1">
                  <c:v>0.9</c:v>
                </c:pt>
                <c:pt idx="2">
                  <c:v>0.9</c:v>
                </c:pt>
                <c:pt idx="3">
                  <c:v>0.9</c:v>
                </c:pt>
                <c:pt idx="4">
                  <c:v>0.9</c:v>
                </c:pt>
                <c:pt idx="5">
                  <c:v>0.9</c:v>
                </c:pt>
                <c:pt idx="6">
                  <c:v>0.9</c:v>
                </c:pt>
                <c:pt idx="7">
                  <c:v>0.9</c:v>
                </c:pt>
                <c:pt idx="8">
                  <c:v>0.9</c:v>
                </c:pt>
                <c:pt idx="9">
                  <c:v>0.9</c:v>
                </c:pt>
                <c:pt idx="10">
                  <c:v>0.9</c:v>
                </c:pt>
                <c:pt idx="11">
                  <c:v>0.9</c:v>
                </c:pt>
                <c:pt idx="12">
                  <c:v>0.95</c:v>
                </c:pt>
                <c:pt idx="13">
                  <c:v>0.95</c:v>
                </c:pt>
                <c:pt idx="14">
                  <c:v>0.95</c:v>
                </c:pt>
                <c:pt idx="15">
                  <c:v>0.95</c:v>
                </c:pt>
                <c:pt idx="16">
                  <c:v>0.95</c:v>
                </c:pt>
                <c:pt idx="17">
                  <c:v>0.95</c:v>
                </c:pt>
                <c:pt idx="18">
                  <c:v>0.95</c:v>
                </c:pt>
                <c:pt idx="19">
                  <c:v>0.95</c:v>
                </c:pt>
                <c:pt idx="20">
                  <c:v>0.95</c:v>
                </c:pt>
                <c:pt idx="21">
                  <c:v>0.95</c:v>
                </c:pt>
                <c:pt idx="22">
                  <c:v>0.95</c:v>
                </c:pt>
                <c:pt idx="23">
                  <c:v>0.95</c:v>
                </c:pt>
                <c:pt idx="24">
                  <c:v>0.95</c:v>
                </c:pt>
                <c:pt idx="25">
                  <c:v>0.95</c:v>
                </c:pt>
                <c:pt idx="26">
                  <c:v>0.95</c:v>
                </c:pt>
                <c:pt idx="27">
                  <c:v>0.95</c:v>
                </c:pt>
                <c:pt idx="28">
                  <c:v>0.95</c:v>
                </c:pt>
                <c:pt idx="29">
                  <c:v>0.95</c:v>
                </c:pt>
                <c:pt idx="30">
                  <c:v>0.95</c:v>
                </c:pt>
                <c:pt idx="31">
                  <c:v>0.95</c:v>
                </c:pt>
                <c:pt idx="32">
                  <c:v>0.95</c:v>
                </c:pt>
                <c:pt idx="33">
                  <c:v>0.95</c:v>
                </c:pt>
                <c:pt idx="34">
                  <c:v>0.95</c:v>
                </c:pt>
                <c:pt idx="35">
                  <c:v>0.95</c:v>
                </c:pt>
                <c:pt idx="36">
                  <c:v>0.95</c:v>
                </c:pt>
                <c:pt idx="37">
                  <c:v>0.95</c:v>
                </c:pt>
                <c:pt idx="38">
                  <c:v>0.95</c:v>
                </c:pt>
                <c:pt idx="39">
                  <c:v>0.95</c:v>
                </c:pt>
                <c:pt idx="40">
                  <c:v>0.95</c:v>
                </c:pt>
                <c:pt idx="41">
                  <c:v>0.95</c:v>
                </c:pt>
                <c:pt idx="42">
                  <c:v>0.95</c:v>
                </c:pt>
                <c:pt idx="43">
                  <c:v>0.95</c:v>
                </c:pt>
                <c:pt idx="44">
                  <c:v>0.95</c:v>
                </c:pt>
                <c:pt idx="45">
                  <c:v>0.95</c:v>
                </c:pt>
                <c:pt idx="46">
                  <c:v>0.95</c:v>
                </c:pt>
                <c:pt idx="47">
                  <c:v>0.95</c:v>
                </c:pt>
              </c:numCache>
            </c:numRef>
          </c:val>
          <c:smooth val="0"/>
        </c:ser>
        <c:dLbls>
          <c:showLegendKey val="0"/>
          <c:showVal val="0"/>
          <c:showCatName val="0"/>
          <c:showSerName val="0"/>
          <c:showPercent val="0"/>
          <c:showBubbleSize val="0"/>
        </c:dLbls>
        <c:marker val="1"/>
        <c:smooth val="0"/>
        <c:axId val="148016128"/>
        <c:axId val="148133504"/>
      </c:lineChart>
      <c:dateAx>
        <c:axId val="14801612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8133504"/>
        <c:crosses val="autoZero"/>
        <c:auto val="1"/>
        <c:lblOffset val="100"/>
        <c:baseTimeUnit val="months"/>
      </c:dateAx>
      <c:valAx>
        <c:axId val="148133504"/>
        <c:scaling>
          <c:orientation val="minMax"/>
          <c:max val="1"/>
          <c:min val="0.70000000000000062"/>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8016128"/>
        <c:crosses val="autoZero"/>
        <c:crossBetween val="between"/>
      </c:valAx>
    </c:plotArea>
    <c:legend>
      <c:legendPos val="r"/>
      <c:layout>
        <c:manualLayout>
          <c:xMode val="edge"/>
          <c:yMode val="edge"/>
          <c:x val="5.4759279676589487E-2"/>
          <c:y val="0.89241622574955148"/>
          <c:w val="0.89823600054403341"/>
          <c:h val="0.10758377425044183"/>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784"/>
        </c:manualLayout>
      </c:layout>
      <c:lineChart>
        <c:grouping val="standard"/>
        <c:varyColors val="0"/>
        <c:ser>
          <c:idx val="1"/>
          <c:order val="0"/>
          <c:tx>
            <c:strRef>
              <c:f>Stroke!$A$395</c:f>
              <c:strCache>
                <c:ptCount val="1"/>
                <c:pt idx="0">
                  <c:v>Bundle Component 4 - Aspirin within one day of admission</c:v>
                </c:pt>
              </c:strCache>
            </c:strRef>
          </c:tx>
          <c:spPr>
            <a:ln w="25400">
              <a:solidFill>
                <a:srgbClr val="0070C0"/>
              </a:solidFill>
            </a:ln>
          </c:spPr>
          <c:marker>
            <c:symbol val="circle"/>
            <c:size val="4"/>
            <c:spPr>
              <a:solidFill>
                <a:srgbClr val="0070C0"/>
              </a:solidFill>
              <a:ln w="25400">
                <a:solidFill>
                  <a:srgbClr val="0070C0"/>
                </a:solidFill>
              </a:ln>
            </c:spPr>
          </c:marker>
          <c:dPt>
            <c:idx val="0"/>
            <c:bubble3D val="0"/>
          </c:dPt>
          <c:dPt>
            <c:idx val="1"/>
            <c:bubble3D val="0"/>
          </c:dPt>
          <c:dPt>
            <c:idx val="11"/>
            <c:marker>
              <c:spPr>
                <a:solidFill>
                  <a:schemeClr val="bg1"/>
                </a:solidFill>
                <a:ln w="25400">
                  <a:solidFill>
                    <a:srgbClr val="0070C0"/>
                  </a:solidFill>
                </a:ln>
              </c:spPr>
            </c:marker>
            <c:bubble3D val="0"/>
          </c:dPt>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Stroke!$B$395:$AW$395</c:f>
              <c:numCache>
                <c:formatCode>0.0%</c:formatCode>
                <c:ptCount val="48"/>
                <c:pt idx="0">
                  <c:v>0.92753623188405798</c:v>
                </c:pt>
                <c:pt idx="1">
                  <c:v>0.90909090909090906</c:v>
                </c:pt>
                <c:pt idx="2">
                  <c:v>0.95081967213114749</c:v>
                </c:pt>
                <c:pt idx="3">
                  <c:v>0.8771929824561403</c:v>
                </c:pt>
                <c:pt idx="4">
                  <c:v>0.94915254237288138</c:v>
                </c:pt>
                <c:pt idx="5">
                  <c:v>0.92063492063492058</c:v>
                </c:pt>
                <c:pt idx="6">
                  <c:v>0.9552238805970148</c:v>
                </c:pt>
                <c:pt idx="7">
                  <c:v>0.93827160493827155</c:v>
                </c:pt>
                <c:pt idx="8">
                  <c:v>0.9</c:v>
                </c:pt>
                <c:pt idx="9">
                  <c:v>0.93333333333333324</c:v>
                </c:pt>
                <c:pt idx="10">
                  <c:v>0.92300000000000004</c:v>
                </c:pt>
                <c:pt idx="11">
                  <c:v>0.81666666666666676</c:v>
                </c:pt>
                <c:pt idx="12">
                  <c:v>0.90700000000000003</c:v>
                </c:pt>
                <c:pt idx="13">
                  <c:v>0.93421052631578949</c:v>
                </c:pt>
                <c:pt idx="14">
                  <c:v>0.92400000000000004</c:v>
                </c:pt>
                <c:pt idx="15">
                  <c:v>0.92200000000000004</c:v>
                </c:pt>
                <c:pt idx="16">
                  <c:v>0.9285714285714286</c:v>
                </c:pt>
                <c:pt idx="17">
                  <c:v>0.90476190476190477</c:v>
                </c:pt>
                <c:pt idx="18">
                  <c:v>0.88461538461538458</c:v>
                </c:pt>
                <c:pt idx="19">
                  <c:v>0.8771929824561403</c:v>
                </c:pt>
                <c:pt idx="20">
                  <c:v>0.88749999999999996</c:v>
                </c:pt>
                <c:pt idx="21">
                  <c:v>0.9152542372881356</c:v>
                </c:pt>
                <c:pt idx="22">
                  <c:v>0.96226415094339623</c:v>
                </c:pt>
                <c:pt idx="23">
                  <c:v>0.92207792207792205</c:v>
                </c:pt>
                <c:pt idx="24">
                  <c:v>0.91891891891891897</c:v>
                </c:pt>
                <c:pt idx="25">
                  <c:v>0.90361445783132543</c:v>
                </c:pt>
                <c:pt idx="26">
                  <c:v>0.953125</c:v>
                </c:pt>
              </c:numCache>
            </c:numRef>
          </c:val>
          <c:smooth val="0"/>
        </c:ser>
        <c:ser>
          <c:idx val="2"/>
          <c:order val="1"/>
          <c:tx>
            <c:strRef>
              <c:f>Stroke!$A$401</c:f>
              <c:strCache>
                <c:ptCount val="1"/>
                <c:pt idx="0">
                  <c:v>Mean</c:v>
                </c:pt>
              </c:strCache>
            </c:strRef>
          </c:tx>
          <c:spPr>
            <a:ln w="25400">
              <a:solidFill>
                <a:schemeClr val="tx1"/>
              </a:solidFill>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Stroke!$B$401:$AW$401</c:f>
              <c:numCache>
                <c:formatCode>0.0%</c:formatCode>
                <c:ptCount val="48"/>
                <c:pt idx="0">
                  <c:v>0.91651961695872908</c:v>
                </c:pt>
                <c:pt idx="1">
                  <c:v>0.91651961695872908</c:v>
                </c:pt>
                <c:pt idx="2">
                  <c:v>0.91651961695872908</c:v>
                </c:pt>
                <c:pt idx="3">
                  <c:v>0.91651961695872908</c:v>
                </c:pt>
                <c:pt idx="4">
                  <c:v>0.91651961695872908</c:v>
                </c:pt>
                <c:pt idx="5">
                  <c:v>0.91651961695872908</c:v>
                </c:pt>
                <c:pt idx="6">
                  <c:v>0.91651961695872908</c:v>
                </c:pt>
                <c:pt idx="7">
                  <c:v>0.91651961695872908</c:v>
                </c:pt>
                <c:pt idx="8">
                  <c:v>0.91651961695872908</c:v>
                </c:pt>
                <c:pt idx="9">
                  <c:v>0.91651961695872908</c:v>
                </c:pt>
                <c:pt idx="10">
                  <c:v>0.91651961695872908</c:v>
                </c:pt>
                <c:pt idx="11">
                  <c:v>0.91651961695872908</c:v>
                </c:pt>
                <c:pt idx="12">
                  <c:v>0.91651961695872908</c:v>
                </c:pt>
                <c:pt idx="13">
                  <c:v>0.91651961695872908</c:v>
                </c:pt>
                <c:pt idx="14">
                  <c:v>0.91651961695872908</c:v>
                </c:pt>
                <c:pt idx="15">
                  <c:v>0.91651961695872908</c:v>
                </c:pt>
                <c:pt idx="16">
                  <c:v>0.91651961695872908</c:v>
                </c:pt>
                <c:pt idx="17">
                  <c:v>0.91651961695872908</c:v>
                </c:pt>
                <c:pt idx="18">
                  <c:v>0.91651961695872908</c:v>
                </c:pt>
                <c:pt idx="19">
                  <c:v>0.91651961695872908</c:v>
                </c:pt>
                <c:pt idx="20">
                  <c:v>0.91651961695872908</c:v>
                </c:pt>
                <c:pt idx="21">
                  <c:v>0.91651961695872908</c:v>
                </c:pt>
                <c:pt idx="22">
                  <c:v>0.91651961695872908</c:v>
                </c:pt>
                <c:pt idx="23">
                  <c:v>0.91651961695872908</c:v>
                </c:pt>
                <c:pt idx="24">
                  <c:v>0.91651961695872908</c:v>
                </c:pt>
                <c:pt idx="25">
                  <c:v>0.91651961695872908</c:v>
                </c:pt>
                <c:pt idx="26">
                  <c:v>0.91651961695872908</c:v>
                </c:pt>
                <c:pt idx="27">
                  <c:v>0.91651961695872908</c:v>
                </c:pt>
                <c:pt idx="28">
                  <c:v>0.91651961695872908</c:v>
                </c:pt>
                <c:pt idx="29">
                  <c:v>0.91651961695872908</c:v>
                </c:pt>
                <c:pt idx="30">
                  <c:v>0.91651961695872908</c:v>
                </c:pt>
                <c:pt idx="31">
                  <c:v>0.91651961695872908</c:v>
                </c:pt>
                <c:pt idx="32">
                  <c:v>0.91651961695872908</c:v>
                </c:pt>
                <c:pt idx="33">
                  <c:v>0.91651961695872908</c:v>
                </c:pt>
                <c:pt idx="34">
                  <c:v>0.91651961695872908</c:v>
                </c:pt>
                <c:pt idx="35">
                  <c:v>0.91651961695872908</c:v>
                </c:pt>
                <c:pt idx="36">
                  <c:v>0.91651961695872908</c:v>
                </c:pt>
                <c:pt idx="37">
                  <c:v>0.91651961695872908</c:v>
                </c:pt>
                <c:pt idx="38">
                  <c:v>0.91651961695872908</c:v>
                </c:pt>
                <c:pt idx="39">
                  <c:v>0.91651961695872908</c:v>
                </c:pt>
                <c:pt idx="40">
                  <c:v>0.91651961695872908</c:v>
                </c:pt>
                <c:pt idx="41">
                  <c:v>0.91651961695872908</c:v>
                </c:pt>
                <c:pt idx="42">
                  <c:v>0.91651961695872908</c:v>
                </c:pt>
                <c:pt idx="43">
                  <c:v>0.91651961695872908</c:v>
                </c:pt>
                <c:pt idx="44">
                  <c:v>0.91651961695872908</c:v>
                </c:pt>
                <c:pt idx="45">
                  <c:v>0.91651961695872908</c:v>
                </c:pt>
                <c:pt idx="46">
                  <c:v>0.91651961695872908</c:v>
                </c:pt>
                <c:pt idx="47">
                  <c:v>0.91651961695872908</c:v>
                </c:pt>
              </c:numCache>
            </c:numRef>
          </c:val>
          <c:smooth val="0"/>
        </c:ser>
        <c:ser>
          <c:idx val="4"/>
          <c:order val="2"/>
          <c:tx>
            <c:strRef>
              <c:f>Stroke!$A$405</c:f>
              <c:strCache>
                <c:ptCount val="1"/>
                <c:pt idx="0">
                  <c:v>Lower Control Limit</c:v>
                </c:pt>
              </c:strCache>
            </c:strRef>
          </c:tx>
          <c:spPr>
            <a:ln w="31750">
              <a:solidFill>
                <a:schemeClr val="bg1">
                  <a:lumMod val="50000"/>
                </a:schemeClr>
              </a:solidFill>
              <a:prstDash val="sysDash"/>
            </a:ln>
          </c:spPr>
          <c:marker>
            <c:symbol val="none"/>
          </c:marker>
          <c:cat>
            <c:numRef>
              <c:f>Stroke!$B$311:$AW$311</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Stroke!$B$405:$AW$405</c:f>
              <c:numCache>
                <c:formatCode>0.0%</c:formatCode>
                <c:ptCount val="48"/>
                <c:pt idx="0">
                  <c:v>0.81391946514250213</c:v>
                </c:pt>
                <c:pt idx="1">
                  <c:v>0.81391946514250213</c:v>
                </c:pt>
                <c:pt idx="2">
                  <c:v>0.81391946514250213</c:v>
                </c:pt>
                <c:pt idx="3">
                  <c:v>0.81391946514250213</c:v>
                </c:pt>
                <c:pt idx="4">
                  <c:v>0.81391946514250213</c:v>
                </c:pt>
                <c:pt idx="5">
                  <c:v>0.81391946514250213</c:v>
                </c:pt>
                <c:pt idx="6">
                  <c:v>0.81391946514250213</c:v>
                </c:pt>
                <c:pt idx="7">
                  <c:v>0.81391946514250213</c:v>
                </c:pt>
                <c:pt idx="8">
                  <c:v>0.81391946514250213</c:v>
                </c:pt>
                <c:pt idx="9">
                  <c:v>0.81391946514250213</c:v>
                </c:pt>
                <c:pt idx="10">
                  <c:v>0.81391946514250213</c:v>
                </c:pt>
                <c:pt idx="11">
                  <c:v>0.81391946514250213</c:v>
                </c:pt>
                <c:pt idx="12">
                  <c:v>0.81391946514250213</c:v>
                </c:pt>
                <c:pt idx="13">
                  <c:v>0.81391946514250213</c:v>
                </c:pt>
                <c:pt idx="14">
                  <c:v>0.81391946514250213</c:v>
                </c:pt>
                <c:pt idx="15">
                  <c:v>0.81391946514250213</c:v>
                </c:pt>
                <c:pt idx="16">
                  <c:v>0.81391946514250213</c:v>
                </c:pt>
                <c:pt idx="17">
                  <c:v>0.81391946514250213</c:v>
                </c:pt>
                <c:pt idx="18">
                  <c:v>0.81391946514250213</c:v>
                </c:pt>
                <c:pt idx="19">
                  <c:v>0.81391946514250213</c:v>
                </c:pt>
                <c:pt idx="20">
                  <c:v>0.81391946514250213</c:v>
                </c:pt>
                <c:pt idx="21">
                  <c:v>0.81391946514250213</c:v>
                </c:pt>
                <c:pt idx="22">
                  <c:v>0.81391946514250213</c:v>
                </c:pt>
                <c:pt idx="23">
                  <c:v>0.81391946514250213</c:v>
                </c:pt>
                <c:pt idx="24">
                  <c:v>0.81391946514250213</c:v>
                </c:pt>
                <c:pt idx="25">
                  <c:v>0.81391946514250213</c:v>
                </c:pt>
                <c:pt idx="26">
                  <c:v>0.81391946514250213</c:v>
                </c:pt>
                <c:pt idx="27">
                  <c:v>0.81391946514250213</c:v>
                </c:pt>
                <c:pt idx="28">
                  <c:v>0.81391946514250213</c:v>
                </c:pt>
                <c:pt idx="29">
                  <c:v>0.81391946514250213</c:v>
                </c:pt>
                <c:pt idx="30">
                  <c:v>0.81391946514250213</c:v>
                </c:pt>
                <c:pt idx="31">
                  <c:v>0.81391946514250213</c:v>
                </c:pt>
                <c:pt idx="32">
                  <c:v>0.81391946514250213</c:v>
                </c:pt>
                <c:pt idx="33">
                  <c:v>0.81391946514250213</c:v>
                </c:pt>
                <c:pt idx="34">
                  <c:v>0.81391946514250213</c:v>
                </c:pt>
                <c:pt idx="35">
                  <c:v>0.81391946514250213</c:v>
                </c:pt>
                <c:pt idx="36">
                  <c:v>0.81391946514250213</c:v>
                </c:pt>
                <c:pt idx="37">
                  <c:v>0.81391946514250213</c:v>
                </c:pt>
                <c:pt idx="38">
                  <c:v>0.81391946514250213</c:v>
                </c:pt>
                <c:pt idx="39">
                  <c:v>0.81391946514250213</c:v>
                </c:pt>
                <c:pt idx="40">
                  <c:v>0.81391946514250213</c:v>
                </c:pt>
                <c:pt idx="41">
                  <c:v>0.81391946514250213</c:v>
                </c:pt>
                <c:pt idx="42">
                  <c:v>0.81391946514250213</c:v>
                </c:pt>
                <c:pt idx="43">
                  <c:v>0.81391946514250213</c:v>
                </c:pt>
                <c:pt idx="44">
                  <c:v>0.81391946514250213</c:v>
                </c:pt>
                <c:pt idx="45">
                  <c:v>0.81391946514250213</c:v>
                </c:pt>
                <c:pt idx="46">
                  <c:v>0.81391946514250213</c:v>
                </c:pt>
                <c:pt idx="47">
                  <c:v>0.81391946514250213</c:v>
                </c:pt>
              </c:numCache>
            </c:numRef>
          </c:val>
          <c:smooth val="0"/>
        </c:ser>
        <c:dLbls>
          <c:showLegendKey val="0"/>
          <c:showVal val="0"/>
          <c:showCatName val="0"/>
          <c:showSerName val="0"/>
          <c:showPercent val="0"/>
          <c:showBubbleSize val="0"/>
        </c:dLbls>
        <c:marker val="1"/>
        <c:smooth val="0"/>
        <c:axId val="148223488"/>
        <c:axId val="148275776"/>
      </c:lineChart>
      <c:dateAx>
        <c:axId val="148223488"/>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8275776"/>
        <c:crosses val="autoZero"/>
        <c:auto val="1"/>
        <c:lblOffset val="100"/>
        <c:baseTimeUnit val="months"/>
      </c:dateAx>
      <c:valAx>
        <c:axId val="148275776"/>
        <c:scaling>
          <c:orientation val="minMax"/>
          <c:min val="0.70000000000000062"/>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8223488"/>
        <c:crosses val="autoZero"/>
        <c:crossBetween val="between"/>
      </c:valAx>
    </c:plotArea>
    <c:legend>
      <c:legendPos val="r"/>
      <c:layout>
        <c:manualLayout>
          <c:xMode val="edge"/>
          <c:yMode val="edge"/>
          <c:x val="5.4759279676589487E-2"/>
          <c:y val="0.89594356261022923"/>
          <c:w val="0.91780962881293637"/>
          <c:h val="0.10405643738977068"/>
        </c:manualLayout>
      </c:layout>
      <c:overlay val="0"/>
      <c:txPr>
        <a:bodyPr/>
        <a:lstStyle/>
        <a:p>
          <a:pPr>
            <a:defRPr sz="57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706"/>
        </c:manualLayout>
      </c:layout>
      <c:lineChart>
        <c:grouping val="standard"/>
        <c:varyColors val="0"/>
        <c:ser>
          <c:idx val="1"/>
          <c:order val="0"/>
          <c:tx>
            <c:strRef>
              <c:f>Stroke!$A$321</c:f>
              <c:strCache>
                <c:ptCount val="1"/>
                <c:pt idx="0">
                  <c:v>Number of initial stroke patients receiving appropriate bundle of care</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Stroke!$B$321:$AW$321</c:f>
              <c:numCache>
                <c:formatCode>0</c:formatCode>
                <c:ptCount val="48"/>
                <c:pt idx="0">
                  <c:v>73</c:v>
                </c:pt>
                <c:pt idx="1">
                  <c:v>74</c:v>
                </c:pt>
                <c:pt idx="2">
                  <c:v>56</c:v>
                </c:pt>
                <c:pt idx="3">
                  <c:v>50</c:v>
                </c:pt>
                <c:pt idx="4">
                  <c:v>66</c:v>
                </c:pt>
                <c:pt idx="5">
                  <c:v>69</c:v>
                </c:pt>
                <c:pt idx="6">
                  <c:v>94</c:v>
                </c:pt>
                <c:pt idx="7">
                  <c:v>84</c:v>
                </c:pt>
                <c:pt idx="8">
                  <c:v>67</c:v>
                </c:pt>
                <c:pt idx="9">
                  <c:v>87</c:v>
                </c:pt>
                <c:pt idx="10">
                  <c:v>78</c:v>
                </c:pt>
                <c:pt idx="11">
                  <c:v>67</c:v>
                </c:pt>
                <c:pt idx="12">
                  <c:v>76</c:v>
                </c:pt>
                <c:pt idx="13">
                  <c:v>68</c:v>
                </c:pt>
                <c:pt idx="14">
                  <c:v>90</c:v>
                </c:pt>
                <c:pt idx="15">
                  <c:v>88</c:v>
                </c:pt>
                <c:pt idx="16">
                  <c:v>88</c:v>
                </c:pt>
                <c:pt idx="17">
                  <c:v>88</c:v>
                </c:pt>
                <c:pt idx="18">
                  <c:v>81</c:v>
                </c:pt>
                <c:pt idx="19">
                  <c:v>78</c:v>
                </c:pt>
                <c:pt idx="20">
                  <c:v>87</c:v>
                </c:pt>
                <c:pt idx="21">
                  <c:v>84</c:v>
                </c:pt>
                <c:pt idx="22">
                  <c:v>74</c:v>
                </c:pt>
                <c:pt idx="23">
                  <c:v>106</c:v>
                </c:pt>
                <c:pt idx="24">
                  <c:v>81</c:v>
                </c:pt>
                <c:pt idx="25">
                  <c:v>101</c:v>
                </c:pt>
                <c:pt idx="26">
                  <c:v>99</c:v>
                </c:pt>
              </c:numCache>
            </c:numRef>
          </c:val>
          <c:smooth val="0"/>
        </c:ser>
        <c:ser>
          <c:idx val="2"/>
          <c:order val="1"/>
          <c:tx>
            <c:strRef>
              <c:f>Stroke!$A$322</c:f>
              <c:strCache>
                <c:ptCount val="1"/>
                <c:pt idx="0">
                  <c:v>Baseline Median</c:v>
                </c:pt>
              </c:strCache>
            </c:strRef>
          </c:tx>
          <c:spPr>
            <a:ln w="25400">
              <a:solidFill>
                <a:schemeClr val="tx1"/>
              </a:solidFill>
            </a:ln>
          </c:spPr>
          <c:marker>
            <c:symbol val="none"/>
          </c:marker>
          <c:dPt>
            <c:idx val="1"/>
            <c:bubble3D val="0"/>
            <c:spPr>
              <a:ln w="25400">
                <a:noFill/>
              </a:ln>
            </c:spPr>
          </c:dPt>
          <c:dPt>
            <c:idx val="2"/>
            <c:bubble3D val="0"/>
            <c:spPr>
              <a:ln w="25400">
                <a:noFill/>
              </a:ln>
            </c:spPr>
          </c:dPt>
          <c:dPt>
            <c:idx val="3"/>
            <c:bubble3D val="0"/>
            <c:spPr>
              <a:ln w="25400">
                <a:noFill/>
              </a:ln>
            </c:spPr>
          </c:dPt>
          <c:dPt>
            <c:idx val="4"/>
            <c:bubble3D val="0"/>
            <c:spPr>
              <a:ln w="25400">
                <a:noFill/>
              </a:ln>
            </c:spPr>
          </c:dPt>
          <c:dPt>
            <c:idx val="5"/>
            <c:bubble3D val="0"/>
            <c:spPr>
              <a:ln w="25400">
                <a:noFill/>
              </a:ln>
            </c:spPr>
          </c:dPt>
          <c:dPt>
            <c:idx val="6"/>
            <c:bubble3D val="0"/>
            <c:spPr>
              <a:ln w="25400">
                <a:noFill/>
              </a:ln>
            </c:spPr>
          </c:dPt>
          <c:dPt>
            <c:idx val="7"/>
            <c:bubble3D val="0"/>
            <c:spPr>
              <a:ln w="25400">
                <a:noFill/>
              </a:ln>
            </c:spPr>
          </c:dPt>
          <c:dPt>
            <c:idx val="8"/>
            <c:bubble3D val="0"/>
            <c:spPr>
              <a:ln w="25400">
                <a:noFill/>
              </a:ln>
            </c:spPr>
          </c:dPt>
          <c:dPt>
            <c:idx val="9"/>
            <c:bubble3D val="0"/>
            <c:spPr>
              <a:ln w="25400">
                <a:noFill/>
              </a:ln>
            </c:spPr>
          </c:dPt>
          <c:dPt>
            <c:idx val="10"/>
            <c:bubble3D val="0"/>
            <c:spPr>
              <a:ln w="25400">
                <a:noFill/>
              </a:ln>
            </c:spPr>
          </c:dPt>
          <c:dPt>
            <c:idx val="11"/>
            <c:bubble3D val="0"/>
            <c:spPr>
              <a:ln w="25400">
                <a:noFill/>
              </a:ln>
            </c:spPr>
          </c:dPt>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Stroke!$B$322:$Y$322</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85.5</c:v>
                </c:pt>
                <c:pt idx="13">
                  <c:v>85.5</c:v>
                </c:pt>
                <c:pt idx="14">
                  <c:v>85.5</c:v>
                </c:pt>
                <c:pt idx="15">
                  <c:v>85.5</c:v>
                </c:pt>
                <c:pt idx="16">
                  <c:v>85.5</c:v>
                </c:pt>
                <c:pt idx="17">
                  <c:v>85.5</c:v>
                </c:pt>
                <c:pt idx="18">
                  <c:v>85.5</c:v>
                </c:pt>
                <c:pt idx="19">
                  <c:v>85.5</c:v>
                </c:pt>
                <c:pt idx="20">
                  <c:v>85.5</c:v>
                </c:pt>
                <c:pt idx="21">
                  <c:v>85.5</c:v>
                </c:pt>
                <c:pt idx="22">
                  <c:v>85.5</c:v>
                </c:pt>
                <c:pt idx="23">
                  <c:v>85.5</c:v>
                </c:pt>
              </c:numCache>
            </c:numRef>
          </c:val>
          <c:smooth val="0"/>
        </c:ser>
        <c:ser>
          <c:idx val="0"/>
          <c:order val="2"/>
          <c:tx>
            <c:strRef>
              <c:f>Stroke!$A$323</c:f>
              <c:strCache>
                <c:ptCount val="1"/>
                <c:pt idx="0">
                  <c:v>Extended Baseline Median</c:v>
                </c:pt>
              </c:strCache>
            </c:strRef>
          </c:tx>
          <c:spPr>
            <a:ln w="25400">
              <a:solidFill>
                <a:prstClr val="black"/>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Stroke!$B$323:$AW$323</c:f>
              <c:numCache>
                <c:formatCode>0</c:formatCode>
                <c:ptCount val="48"/>
                <c:pt idx="23">
                  <c:v>85.5</c:v>
                </c:pt>
                <c:pt idx="24">
                  <c:v>85.5</c:v>
                </c:pt>
                <c:pt idx="25">
                  <c:v>85.5</c:v>
                </c:pt>
                <c:pt idx="26">
                  <c:v>85.5</c:v>
                </c:pt>
                <c:pt idx="27">
                  <c:v>85.5</c:v>
                </c:pt>
                <c:pt idx="28">
                  <c:v>85.5</c:v>
                </c:pt>
                <c:pt idx="29">
                  <c:v>85.5</c:v>
                </c:pt>
                <c:pt idx="30">
                  <c:v>85.5</c:v>
                </c:pt>
                <c:pt idx="31">
                  <c:v>85.5</c:v>
                </c:pt>
                <c:pt idx="32">
                  <c:v>85.5</c:v>
                </c:pt>
                <c:pt idx="33">
                  <c:v>85.5</c:v>
                </c:pt>
                <c:pt idx="34">
                  <c:v>85.5</c:v>
                </c:pt>
                <c:pt idx="35">
                  <c:v>85.5</c:v>
                </c:pt>
                <c:pt idx="36">
                  <c:v>85.5</c:v>
                </c:pt>
                <c:pt idx="37">
                  <c:v>85.5</c:v>
                </c:pt>
                <c:pt idx="38">
                  <c:v>85.5</c:v>
                </c:pt>
                <c:pt idx="39">
                  <c:v>85.5</c:v>
                </c:pt>
                <c:pt idx="40">
                  <c:v>85.5</c:v>
                </c:pt>
                <c:pt idx="41">
                  <c:v>85.5</c:v>
                </c:pt>
                <c:pt idx="42">
                  <c:v>85.5</c:v>
                </c:pt>
                <c:pt idx="43">
                  <c:v>85.5</c:v>
                </c:pt>
                <c:pt idx="44">
                  <c:v>85.5</c:v>
                </c:pt>
                <c:pt idx="45">
                  <c:v>85.5</c:v>
                </c:pt>
                <c:pt idx="46">
                  <c:v>85.5</c:v>
                </c:pt>
                <c:pt idx="47">
                  <c:v>85.5</c:v>
                </c:pt>
              </c:numCache>
            </c:numRef>
          </c:val>
          <c:smooth val="0"/>
        </c:ser>
        <c:dLbls>
          <c:showLegendKey val="0"/>
          <c:showVal val="0"/>
          <c:showCatName val="0"/>
          <c:showSerName val="0"/>
          <c:showPercent val="0"/>
          <c:showBubbleSize val="0"/>
        </c:dLbls>
        <c:marker val="1"/>
        <c:smooth val="0"/>
        <c:axId val="148224000"/>
        <c:axId val="148278656"/>
      </c:lineChart>
      <c:dateAx>
        <c:axId val="148224000"/>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8278656"/>
        <c:crosses val="autoZero"/>
        <c:auto val="1"/>
        <c:lblOffset val="100"/>
        <c:baseTimeUnit val="months"/>
        <c:majorUnit val="1"/>
        <c:majorTimeUnit val="months"/>
      </c:dateAx>
      <c:valAx>
        <c:axId val="148278656"/>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8224000"/>
        <c:crosses val="autoZero"/>
        <c:crossBetween val="between"/>
      </c:valAx>
    </c:plotArea>
    <c:legend>
      <c:legendPos val="r"/>
      <c:layout>
        <c:manualLayout>
          <c:xMode val="edge"/>
          <c:yMode val="edge"/>
          <c:x val="4.0058801911062106E-2"/>
          <c:y val="0.90299823633157006"/>
          <c:w val="0.92027201671455894"/>
          <c:h val="9.7001763668430344E-2"/>
        </c:manualLayout>
      </c:layout>
      <c:overlay val="0"/>
      <c:txPr>
        <a:bodyPr/>
        <a:lstStyle/>
        <a:p>
          <a:pPr rtl="0">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771632079090304E-2"/>
          <c:y val="4.6647296725948563E-2"/>
          <c:w val="0.90792644131342115"/>
          <c:h val="0.72594855529758684"/>
        </c:manualLayout>
      </c:layout>
      <c:lineChart>
        <c:grouping val="standard"/>
        <c:varyColors val="0"/>
        <c:ser>
          <c:idx val="1"/>
          <c:order val="0"/>
          <c:tx>
            <c:strRef>
              <c:f>Stroke!$A$364</c:f>
              <c:strCache>
                <c:ptCount val="1"/>
                <c:pt idx="0">
                  <c:v>Number swallow screened on day of admission (to Mar 16 inc.)/ within four hours of admission (from Apr 16 incl.)</c:v>
                </c:pt>
              </c:strCache>
            </c:strRef>
          </c:tx>
          <c:spPr>
            <a:ln w="25400">
              <a:solidFill>
                <a:srgbClr val="0070C0"/>
              </a:solidFill>
            </a:ln>
          </c:spPr>
          <c:marker>
            <c:symbol val="circle"/>
            <c:size val="4"/>
            <c:spPr>
              <a:solidFill>
                <a:srgbClr val="0070C0"/>
              </a:solidFill>
              <a:ln w="25400">
                <a:solidFill>
                  <a:srgbClr val="0070C0"/>
                </a:solidFill>
              </a:ln>
            </c:spPr>
          </c:marker>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Stroke!$B$364:$AW$364</c:f>
              <c:numCache>
                <c:formatCode>0</c:formatCode>
                <c:ptCount val="48"/>
                <c:pt idx="0">
                  <c:v>89</c:v>
                </c:pt>
                <c:pt idx="1">
                  <c:v>105</c:v>
                </c:pt>
                <c:pt idx="2">
                  <c:v>80</c:v>
                </c:pt>
                <c:pt idx="3">
                  <c:v>78</c:v>
                </c:pt>
                <c:pt idx="4">
                  <c:v>88</c:v>
                </c:pt>
                <c:pt idx="5">
                  <c:v>94</c:v>
                </c:pt>
                <c:pt idx="6">
                  <c:v>106</c:v>
                </c:pt>
                <c:pt idx="7">
                  <c:v>107</c:v>
                </c:pt>
                <c:pt idx="8">
                  <c:v>86</c:v>
                </c:pt>
                <c:pt idx="9">
                  <c:v>106</c:v>
                </c:pt>
                <c:pt idx="10">
                  <c:v>100</c:v>
                </c:pt>
                <c:pt idx="11">
                  <c:v>87</c:v>
                </c:pt>
                <c:pt idx="12">
                  <c:v>102</c:v>
                </c:pt>
                <c:pt idx="13">
                  <c:v>93</c:v>
                </c:pt>
                <c:pt idx="14">
                  <c:v>103</c:v>
                </c:pt>
                <c:pt idx="15">
                  <c:v>103</c:v>
                </c:pt>
                <c:pt idx="16">
                  <c:v>96</c:v>
                </c:pt>
                <c:pt idx="17">
                  <c:v>102</c:v>
                </c:pt>
                <c:pt idx="18">
                  <c:v>105</c:v>
                </c:pt>
                <c:pt idx="19">
                  <c:v>85</c:v>
                </c:pt>
                <c:pt idx="20">
                  <c:v>117</c:v>
                </c:pt>
                <c:pt idx="21">
                  <c:v>102</c:v>
                </c:pt>
                <c:pt idx="22">
                  <c:v>80</c:v>
                </c:pt>
                <c:pt idx="23">
                  <c:v>123</c:v>
                </c:pt>
                <c:pt idx="24">
                  <c:v>102</c:v>
                </c:pt>
                <c:pt idx="25">
                  <c:v>119</c:v>
                </c:pt>
                <c:pt idx="26">
                  <c:v>117</c:v>
                </c:pt>
              </c:numCache>
            </c:numRef>
          </c:val>
          <c:smooth val="0"/>
        </c:ser>
        <c:ser>
          <c:idx val="2"/>
          <c:order val="1"/>
          <c:tx>
            <c:strRef>
              <c:f>Stroke!$A$365</c:f>
              <c:strCache>
                <c:ptCount val="1"/>
                <c:pt idx="0">
                  <c:v>Baseline Median</c:v>
                </c:pt>
              </c:strCache>
            </c:strRef>
          </c:tx>
          <c:spPr>
            <a:ln w="25400">
              <a:solidFill>
                <a:schemeClr val="tx1"/>
              </a:solidFill>
            </a:ln>
          </c:spPr>
          <c:marker>
            <c:symbol val="none"/>
          </c:marker>
          <c:dPt>
            <c:idx val="1"/>
            <c:bubble3D val="0"/>
            <c:spPr>
              <a:ln w="25400">
                <a:noFill/>
              </a:ln>
            </c:spPr>
          </c:dPt>
          <c:dPt>
            <c:idx val="2"/>
            <c:bubble3D val="0"/>
            <c:spPr>
              <a:ln w="25400">
                <a:noFill/>
              </a:ln>
            </c:spPr>
          </c:dPt>
          <c:dPt>
            <c:idx val="3"/>
            <c:bubble3D val="0"/>
            <c:spPr>
              <a:ln w="25400">
                <a:noFill/>
              </a:ln>
            </c:spPr>
          </c:dPt>
          <c:dPt>
            <c:idx val="4"/>
            <c:bubble3D val="0"/>
            <c:spPr>
              <a:ln w="25400">
                <a:noFill/>
              </a:ln>
            </c:spPr>
          </c:dPt>
          <c:dPt>
            <c:idx val="5"/>
            <c:bubble3D val="0"/>
            <c:spPr>
              <a:ln w="25400">
                <a:noFill/>
              </a:ln>
            </c:spPr>
          </c:dPt>
          <c:dPt>
            <c:idx val="6"/>
            <c:bubble3D val="0"/>
            <c:spPr>
              <a:ln w="25400">
                <a:noFill/>
              </a:ln>
            </c:spPr>
          </c:dPt>
          <c:dPt>
            <c:idx val="7"/>
            <c:bubble3D val="0"/>
            <c:spPr>
              <a:ln w="25400">
                <a:noFill/>
              </a:ln>
            </c:spPr>
          </c:dPt>
          <c:dPt>
            <c:idx val="8"/>
            <c:bubble3D val="0"/>
            <c:spPr>
              <a:ln w="25400">
                <a:noFill/>
              </a:ln>
            </c:spPr>
          </c:dPt>
          <c:dPt>
            <c:idx val="9"/>
            <c:bubble3D val="0"/>
            <c:spPr>
              <a:ln w="25400">
                <a:noFill/>
              </a:ln>
            </c:spPr>
          </c:dPt>
          <c:dPt>
            <c:idx val="10"/>
            <c:bubble3D val="0"/>
            <c:spPr>
              <a:ln w="25400">
                <a:noFill/>
              </a:ln>
            </c:spPr>
          </c:dPt>
          <c:dPt>
            <c:idx val="11"/>
            <c:bubble3D val="0"/>
            <c:spPr>
              <a:ln w="25400">
                <a:noFill/>
              </a:ln>
            </c:spPr>
          </c:dPt>
          <c:dPt>
            <c:idx val="12"/>
            <c:bubble3D val="0"/>
            <c:spPr>
              <a:ln w="25400">
                <a:noFill/>
              </a:ln>
            </c:spPr>
          </c:dPt>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Stroke!$B$365:$AW$365</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102</c:v>
                </c:pt>
                <c:pt idx="13">
                  <c:v>102</c:v>
                </c:pt>
                <c:pt idx="14">
                  <c:v>102</c:v>
                </c:pt>
                <c:pt idx="15">
                  <c:v>102</c:v>
                </c:pt>
                <c:pt idx="16">
                  <c:v>102</c:v>
                </c:pt>
                <c:pt idx="17">
                  <c:v>102</c:v>
                </c:pt>
                <c:pt idx="18">
                  <c:v>102</c:v>
                </c:pt>
                <c:pt idx="19">
                  <c:v>102</c:v>
                </c:pt>
                <c:pt idx="20">
                  <c:v>102</c:v>
                </c:pt>
                <c:pt idx="21">
                  <c:v>102</c:v>
                </c:pt>
                <c:pt idx="22">
                  <c:v>102</c:v>
                </c:pt>
                <c:pt idx="23">
                  <c:v>102</c:v>
                </c:pt>
              </c:numCache>
            </c:numRef>
          </c:val>
          <c:smooth val="0"/>
        </c:ser>
        <c:ser>
          <c:idx val="0"/>
          <c:order val="2"/>
          <c:tx>
            <c:strRef>
              <c:f>Stroke!$A$366</c:f>
              <c:strCache>
                <c:ptCount val="1"/>
                <c:pt idx="0">
                  <c:v>Extended Baseline Median</c:v>
                </c:pt>
              </c:strCache>
            </c:strRef>
          </c:tx>
          <c:spPr>
            <a:ln w="25400">
              <a:solidFill>
                <a:prstClr val="black"/>
              </a:solidFill>
              <a:prstDash val="dash"/>
            </a:ln>
          </c:spPr>
          <c:marker>
            <c:symbol val="none"/>
          </c:marker>
          <c:cat>
            <c:numRef>
              <c:f>Stroke!$B$16:$AW$16</c:f>
              <c:numCache>
                <c:formatCode>mmm\ yy</c:formatCode>
                <c:ptCount val="48"/>
                <c:pt idx="0">
                  <c:v>42095</c:v>
                </c:pt>
                <c:pt idx="1">
                  <c:v>42125</c:v>
                </c:pt>
                <c:pt idx="2">
                  <c:v>42156</c:v>
                </c:pt>
                <c:pt idx="3">
                  <c:v>42186</c:v>
                </c:pt>
                <c:pt idx="4">
                  <c:v>42217</c:v>
                </c:pt>
                <c:pt idx="5">
                  <c:v>42248</c:v>
                </c:pt>
                <c:pt idx="6">
                  <c:v>42278</c:v>
                </c:pt>
                <c:pt idx="7">
                  <c:v>42309</c:v>
                </c:pt>
                <c:pt idx="8">
                  <c:v>42339</c:v>
                </c:pt>
                <c:pt idx="9">
                  <c:v>42370</c:v>
                </c:pt>
                <c:pt idx="10">
                  <c:v>42401</c:v>
                </c:pt>
                <c:pt idx="11">
                  <c:v>42430</c:v>
                </c:pt>
                <c:pt idx="12">
                  <c:v>42461</c:v>
                </c:pt>
                <c:pt idx="13">
                  <c:v>42491</c:v>
                </c:pt>
                <c:pt idx="14">
                  <c:v>42522</c:v>
                </c:pt>
                <c:pt idx="15">
                  <c:v>42552</c:v>
                </c:pt>
                <c:pt idx="16">
                  <c:v>42583</c:v>
                </c:pt>
                <c:pt idx="17">
                  <c:v>42614</c:v>
                </c:pt>
                <c:pt idx="18">
                  <c:v>42644</c:v>
                </c:pt>
                <c:pt idx="19">
                  <c:v>42675</c:v>
                </c:pt>
                <c:pt idx="20">
                  <c:v>42705</c:v>
                </c:pt>
                <c:pt idx="21">
                  <c:v>42736</c:v>
                </c:pt>
                <c:pt idx="22">
                  <c:v>42767</c:v>
                </c:pt>
                <c:pt idx="23">
                  <c:v>42795</c:v>
                </c:pt>
                <c:pt idx="24">
                  <c:v>42826</c:v>
                </c:pt>
                <c:pt idx="25">
                  <c:v>42856</c:v>
                </c:pt>
                <c:pt idx="26">
                  <c:v>42887</c:v>
                </c:pt>
              </c:numCache>
            </c:numRef>
          </c:cat>
          <c:val>
            <c:numRef>
              <c:f>Stroke!$B$366:$AW$366</c:f>
              <c:numCache>
                <c:formatCode>0</c:formatCode>
                <c:ptCount val="48"/>
                <c:pt idx="23">
                  <c:v>102</c:v>
                </c:pt>
                <c:pt idx="24">
                  <c:v>102</c:v>
                </c:pt>
                <c:pt idx="25">
                  <c:v>102</c:v>
                </c:pt>
                <c:pt idx="26">
                  <c:v>102</c:v>
                </c:pt>
                <c:pt idx="27">
                  <c:v>102</c:v>
                </c:pt>
                <c:pt idx="28">
                  <c:v>102</c:v>
                </c:pt>
                <c:pt idx="29">
                  <c:v>102</c:v>
                </c:pt>
                <c:pt idx="30">
                  <c:v>102</c:v>
                </c:pt>
                <c:pt idx="31">
                  <c:v>102</c:v>
                </c:pt>
                <c:pt idx="32">
                  <c:v>102</c:v>
                </c:pt>
                <c:pt idx="33">
                  <c:v>102</c:v>
                </c:pt>
                <c:pt idx="34">
                  <c:v>102</c:v>
                </c:pt>
                <c:pt idx="35">
                  <c:v>102</c:v>
                </c:pt>
                <c:pt idx="36">
                  <c:v>102</c:v>
                </c:pt>
                <c:pt idx="37">
                  <c:v>102</c:v>
                </c:pt>
                <c:pt idx="38">
                  <c:v>102</c:v>
                </c:pt>
                <c:pt idx="39">
                  <c:v>102</c:v>
                </c:pt>
                <c:pt idx="40">
                  <c:v>102</c:v>
                </c:pt>
                <c:pt idx="41">
                  <c:v>102</c:v>
                </c:pt>
                <c:pt idx="42">
                  <c:v>102</c:v>
                </c:pt>
                <c:pt idx="43">
                  <c:v>102</c:v>
                </c:pt>
                <c:pt idx="44">
                  <c:v>102</c:v>
                </c:pt>
                <c:pt idx="45">
                  <c:v>102</c:v>
                </c:pt>
                <c:pt idx="46">
                  <c:v>102</c:v>
                </c:pt>
                <c:pt idx="47">
                  <c:v>102</c:v>
                </c:pt>
              </c:numCache>
            </c:numRef>
          </c:val>
          <c:smooth val="0"/>
        </c:ser>
        <c:dLbls>
          <c:showLegendKey val="0"/>
          <c:showVal val="0"/>
          <c:showCatName val="0"/>
          <c:showSerName val="0"/>
          <c:showPercent val="0"/>
          <c:showBubbleSize val="0"/>
        </c:dLbls>
        <c:marker val="1"/>
        <c:smooth val="0"/>
        <c:axId val="148224512"/>
        <c:axId val="148279808"/>
      </c:lineChart>
      <c:dateAx>
        <c:axId val="148224512"/>
        <c:scaling>
          <c:orientation val="minMax"/>
        </c:scaling>
        <c:delete val="0"/>
        <c:axPos val="b"/>
        <c:numFmt formatCode="mmm\ yy" sourceLinked="0"/>
        <c:majorTickMark val="out"/>
        <c:minorTickMark val="none"/>
        <c:tickLblPos val="nextTo"/>
        <c:txPr>
          <a:bodyPr rot="-5400000" vert="horz"/>
          <a:lstStyle/>
          <a:p>
            <a:pPr>
              <a:defRPr sz="800" b="0" i="0" u="none" strike="noStrike" baseline="0">
                <a:solidFill>
                  <a:srgbClr val="000000"/>
                </a:solidFill>
                <a:latin typeface="Arial"/>
                <a:ea typeface="Arial"/>
                <a:cs typeface="Arial"/>
              </a:defRPr>
            </a:pPr>
            <a:endParaRPr lang="en-US"/>
          </a:p>
        </c:txPr>
        <c:crossAx val="148279808"/>
        <c:crosses val="autoZero"/>
        <c:auto val="1"/>
        <c:lblOffset val="100"/>
        <c:baseTimeUnit val="months"/>
        <c:majorUnit val="1"/>
        <c:majorTimeUnit val="months"/>
      </c:dateAx>
      <c:valAx>
        <c:axId val="148279808"/>
        <c:scaling>
          <c:orientation val="minMax"/>
        </c:scaling>
        <c:delete val="0"/>
        <c:axPos val="l"/>
        <c:majorGridlines/>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8224512"/>
        <c:crosses val="autoZero"/>
        <c:crossBetween val="between"/>
      </c:valAx>
    </c:plotArea>
    <c:legend>
      <c:legendPos val="r"/>
      <c:layout>
        <c:manualLayout>
          <c:xMode val="edge"/>
          <c:yMode val="edge"/>
          <c:x val="1.5067989709665778E-2"/>
          <c:y val="0.90299823633158605"/>
          <c:w val="0.98008826074248956"/>
          <c:h val="9.7001763668430344E-2"/>
        </c:manualLayout>
      </c:layout>
      <c:overlay val="0"/>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3" Type="http://schemas.openxmlformats.org/officeDocument/2006/relationships/chart" Target="../charts/chart36.xml"/><Relationship Id="rId7" Type="http://schemas.openxmlformats.org/officeDocument/2006/relationships/chart" Target="../charts/chart40.xml"/><Relationship Id="rId12" Type="http://schemas.openxmlformats.org/officeDocument/2006/relationships/chart" Target="../charts/chart45.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chart" Target="../charts/chart48.xml"/><Relationship Id="rId10" Type="http://schemas.openxmlformats.org/officeDocument/2006/relationships/chart" Target="../charts/chart43.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67.xml"/><Relationship Id="rId3" Type="http://schemas.openxmlformats.org/officeDocument/2006/relationships/chart" Target="../charts/chart62.xml"/><Relationship Id="rId7" Type="http://schemas.openxmlformats.org/officeDocument/2006/relationships/chart" Target="../charts/chart66.xml"/><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39.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chart" Target="../charts/chart70.xml"/><Relationship Id="rId7" Type="http://schemas.openxmlformats.org/officeDocument/2006/relationships/image" Target="../media/image12.png"/><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44.xml.rels><?xml version="1.0" encoding="UTF-8" standalone="yes"?>
<Relationships xmlns="http://schemas.openxmlformats.org/package/2006/relationships"><Relationship Id="rId8" Type="http://schemas.openxmlformats.org/officeDocument/2006/relationships/chart" Target="../charts/chart85.xml"/><Relationship Id="rId13" Type="http://schemas.openxmlformats.org/officeDocument/2006/relationships/chart" Target="../charts/chart90.xml"/><Relationship Id="rId18" Type="http://schemas.openxmlformats.org/officeDocument/2006/relationships/chart" Target="../charts/chart95.xml"/><Relationship Id="rId3" Type="http://schemas.openxmlformats.org/officeDocument/2006/relationships/chart" Target="../charts/chart80.xml"/><Relationship Id="rId7" Type="http://schemas.openxmlformats.org/officeDocument/2006/relationships/chart" Target="../charts/chart84.xml"/><Relationship Id="rId12" Type="http://schemas.openxmlformats.org/officeDocument/2006/relationships/chart" Target="../charts/chart89.xml"/><Relationship Id="rId17" Type="http://schemas.openxmlformats.org/officeDocument/2006/relationships/chart" Target="../charts/chart94.xml"/><Relationship Id="rId2" Type="http://schemas.openxmlformats.org/officeDocument/2006/relationships/chart" Target="../charts/chart79.xml"/><Relationship Id="rId16" Type="http://schemas.openxmlformats.org/officeDocument/2006/relationships/chart" Target="../charts/chart93.xml"/><Relationship Id="rId1" Type="http://schemas.openxmlformats.org/officeDocument/2006/relationships/chart" Target="../charts/chart78.xml"/><Relationship Id="rId6" Type="http://schemas.openxmlformats.org/officeDocument/2006/relationships/chart" Target="../charts/chart83.xml"/><Relationship Id="rId11" Type="http://schemas.openxmlformats.org/officeDocument/2006/relationships/chart" Target="../charts/chart88.xml"/><Relationship Id="rId5" Type="http://schemas.openxmlformats.org/officeDocument/2006/relationships/chart" Target="../charts/chart82.xml"/><Relationship Id="rId15" Type="http://schemas.openxmlformats.org/officeDocument/2006/relationships/chart" Target="../charts/chart92.xml"/><Relationship Id="rId10" Type="http://schemas.openxmlformats.org/officeDocument/2006/relationships/chart" Target="../charts/chart87.xml"/><Relationship Id="rId4" Type="http://schemas.openxmlformats.org/officeDocument/2006/relationships/chart" Target="../charts/chart81.xml"/><Relationship Id="rId9" Type="http://schemas.openxmlformats.org/officeDocument/2006/relationships/chart" Target="../charts/chart86.xml"/><Relationship Id="rId14"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1.xml"/><Relationship Id="rId7" Type="http://schemas.openxmlformats.org/officeDocument/2006/relationships/image" Target="../media/image4.png"/><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image" Target="../media/image2.png"/><Relationship Id="rId10" Type="http://schemas.openxmlformats.org/officeDocument/2006/relationships/image" Target="../media/image7.png"/><Relationship Id="rId4" Type="http://schemas.openxmlformats.org/officeDocument/2006/relationships/image" Target="../media/image1.png"/><Relationship Id="rId9"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2333625</xdr:colOff>
      <xdr:row>39</xdr:row>
      <xdr:rowOff>95250</xdr:rowOff>
    </xdr:from>
    <xdr:to>
      <xdr:col>0</xdr:col>
      <xdr:colOff>2981325</xdr:colOff>
      <xdr:row>39</xdr:row>
      <xdr:rowOff>95250</xdr:rowOff>
    </xdr:to>
    <xdr:cxnSp macro="">
      <xdr:nvCxnSpPr>
        <xdr:cNvPr id="3" name="Straight Connector 2"/>
        <xdr:cNvCxnSpPr/>
      </xdr:nvCxnSpPr>
      <xdr:spPr>
        <a:xfrm>
          <a:off x="2333625" y="6838950"/>
          <a:ext cx="647700" cy="0"/>
        </a:xfrm>
        <a:prstGeom prst="line">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33393</xdr:colOff>
      <xdr:row>39</xdr:row>
      <xdr:rowOff>142771</xdr:rowOff>
    </xdr:from>
    <xdr:to>
      <xdr:col>1</xdr:col>
      <xdr:colOff>929360</xdr:colOff>
      <xdr:row>41</xdr:row>
      <xdr:rowOff>24526</xdr:rowOff>
    </xdr:to>
    <xdr:sp macro="" textlink="">
      <xdr:nvSpPr>
        <xdr:cNvPr id="6" name="Oval 5"/>
        <xdr:cNvSpPr/>
      </xdr:nvSpPr>
      <xdr:spPr>
        <a:xfrm>
          <a:off x="3100443" y="6886471"/>
          <a:ext cx="895967" cy="205605"/>
        </a:xfrm>
        <a:prstGeom prst="ellipse">
          <a:avLst/>
        </a:prstGeom>
        <a:noFill/>
        <a:ln w="9525">
          <a:solidFill>
            <a:srgbClr val="A6A6A6"/>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GB"/>
        </a:p>
      </xdr:txBody>
    </xdr:sp>
    <xdr:clientData/>
  </xdr:twoCellAnchor>
  <xdr:twoCellAnchor>
    <xdr:from>
      <xdr:col>1</xdr:col>
      <xdr:colOff>990600</xdr:colOff>
      <xdr:row>41</xdr:row>
      <xdr:rowOff>38100</xdr:rowOff>
    </xdr:from>
    <xdr:to>
      <xdr:col>1</xdr:col>
      <xdr:colOff>1162050</xdr:colOff>
      <xdr:row>41</xdr:row>
      <xdr:rowOff>142875</xdr:rowOff>
    </xdr:to>
    <xdr:sp macro="" textlink="">
      <xdr:nvSpPr>
        <xdr:cNvPr id="7" name="Oval 6"/>
        <xdr:cNvSpPr/>
      </xdr:nvSpPr>
      <xdr:spPr>
        <a:xfrm>
          <a:off x="4057650" y="7105650"/>
          <a:ext cx="171450" cy="104775"/>
        </a:xfrm>
        <a:prstGeom prst="ellipse">
          <a:avLst/>
        </a:prstGeom>
        <a:solidFill>
          <a:schemeClr val="bg1"/>
        </a:solidFill>
        <a:ln w="254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0.40785</cdr:x>
      <cdr:y>0.14482</cdr:y>
    </cdr:from>
    <cdr:to>
      <cdr:x>0.95008</cdr:x>
      <cdr:y>0.14635</cdr:y>
    </cdr:to>
    <cdr:sp macro="" textlink="">
      <cdr:nvSpPr>
        <cdr:cNvPr id="3" name="Straight Connector 2"/>
        <cdr:cNvSpPr/>
      </cdr:nvSpPr>
      <cdr:spPr>
        <a:xfrm xmlns:a="http://schemas.openxmlformats.org/drawingml/2006/main" flipH="1">
          <a:off x="3562331" y="622094"/>
          <a:ext cx="4736067" cy="6573"/>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0.41486</cdr:x>
      <cdr:y>0.14287</cdr:y>
    </cdr:from>
    <cdr:to>
      <cdr:x>0.41767</cdr:x>
      <cdr:y>0.61863</cdr:y>
    </cdr:to>
    <cdr:sp macro="" textlink="">
      <cdr:nvSpPr>
        <cdr:cNvPr id="5" name="Straight Connector 4"/>
        <cdr:cNvSpPr/>
      </cdr:nvSpPr>
      <cdr:spPr>
        <a:xfrm xmlns:a="http://schemas.openxmlformats.org/drawingml/2006/main">
          <a:off x="3623590" y="613742"/>
          <a:ext cx="24485" cy="2043734"/>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0.76178</cdr:x>
      <cdr:y>0.1718</cdr:y>
    </cdr:from>
    <cdr:to>
      <cdr:x>0.9402</cdr:x>
      <cdr:y>0.31307</cdr:y>
    </cdr:to>
    <cdr:sp macro="" textlink="">
      <cdr:nvSpPr>
        <cdr:cNvPr id="6" name="Rectangle 5"/>
        <cdr:cNvSpPr/>
      </cdr:nvSpPr>
      <cdr:spPr>
        <a:xfrm xmlns:a="http://schemas.openxmlformats.org/drawingml/2006/main">
          <a:off x="6581776" y="618465"/>
          <a:ext cx="1541522" cy="508572"/>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11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endParaRPr lang="en-GB" sz="1000">
            <a:solidFill>
              <a:schemeClr val="tx1"/>
            </a:solidFill>
            <a:latin typeface="Arial" pitchFamily="34" charset="0"/>
            <a:cs typeface="Arial" pitchFamily="34" charset="0"/>
          </a:endParaRPr>
        </a:p>
        <a:p xmlns:a="http://schemas.openxmlformats.org/drawingml/2006/main">
          <a:pPr>
            <a:lnSpc>
              <a:spcPts val="1200"/>
            </a:lnSpc>
          </a:pPr>
          <a:endParaRPr lang="en-US"/>
        </a:p>
      </cdr:txBody>
    </cdr:sp>
  </cdr:relSizeAnchor>
</c:userShapes>
</file>

<file path=xl/drawings/drawing11.xml><?xml version="1.0" encoding="utf-8"?>
<c:userShapes xmlns:c="http://schemas.openxmlformats.org/drawingml/2006/chart">
  <cdr:relSizeAnchor xmlns:cdr="http://schemas.openxmlformats.org/drawingml/2006/chartDrawing">
    <cdr:from>
      <cdr:x>0.16336</cdr:x>
      <cdr:y>0.14286</cdr:y>
    </cdr:from>
    <cdr:to>
      <cdr:x>0.95033</cdr:x>
      <cdr:y>0.14503</cdr:y>
    </cdr:to>
    <cdr:sp macro="" textlink="">
      <cdr:nvSpPr>
        <cdr:cNvPr id="3" name="Straight Connector 2"/>
        <cdr:cNvSpPr/>
      </cdr:nvSpPr>
      <cdr:spPr>
        <a:xfrm xmlns:a="http://schemas.openxmlformats.org/drawingml/2006/main" flipH="1" flipV="1">
          <a:off x="1409707" y="628643"/>
          <a:ext cx="6791276" cy="9549"/>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0.16556</cdr:x>
      <cdr:y>0.14286</cdr:y>
    </cdr:from>
    <cdr:to>
      <cdr:x>0.16556</cdr:x>
      <cdr:y>0.6277</cdr:y>
    </cdr:to>
    <cdr:sp macro="" textlink="">
      <cdr:nvSpPr>
        <cdr:cNvPr id="5" name="Straight Connector 4"/>
        <cdr:cNvSpPr/>
      </cdr:nvSpPr>
      <cdr:spPr>
        <a:xfrm xmlns:a="http://schemas.openxmlformats.org/drawingml/2006/main">
          <a:off x="1428714" y="628671"/>
          <a:ext cx="0" cy="2133563"/>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0.77528</cdr:x>
      <cdr:y>0.16017</cdr:y>
    </cdr:from>
    <cdr:to>
      <cdr:x>0.93045</cdr:x>
      <cdr:y>0.30023</cdr:y>
    </cdr:to>
    <cdr:sp macro="" textlink="">
      <cdr:nvSpPr>
        <cdr:cNvPr id="6" name="Rectangle 5"/>
        <cdr:cNvSpPr/>
      </cdr:nvSpPr>
      <cdr:spPr>
        <a:xfrm xmlns:a="http://schemas.openxmlformats.org/drawingml/2006/main">
          <a:off x="6698410" y="576612"/>
          <a:ext cx="1340690" cy="504216"/>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9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p>
        <a:p xmlns:a="http://schemas.openxmlformats.org/drawingml/2006/main">
          <a:pPr>
            <a:lnSpc>
              <a:spcPts val="1200"/>
            </a:lnSpc>
          </a:pPr>
          <a:endParaRPr lang="en-US"/>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12</xdr:col>
      <xdr:colOff>0</xdr:colOff>
      <xdr:row>9</xdr:row>
      <xdr:rowOff>19050</xdr:rowOff>
    </xdr:from>
    <xdr:to>
      <xdr:col>26</xdr:col>
      <xdr:colOff>104775</xdr:colOff>
      <xdr:row>28</xdr:row>
      <xdr:rowOff>57150</xdr:rowOff>
    </xdr:to>
    <xdr:graphicFrame macro="">
      <xdr:nvGraphicFramePr>
        <xdr:cNvPr id="37212954"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0.32719</cdr:x>
      <cdr:y>0.258</cdr:y>
    </cdr:from>
    <cdr:to>
      <cdr:x>0.50419</cdr:x>
      <cdr:y>0.29149</cdr:y>
    </cdr:to>
    <cdr:sp macro="" textlink="">
      <cdr:nvSpPr>
        <cdr:cNvPr id="235523" name="Text Box 3"/>
        <cdr:cNvSpPr txBox="1">
          <a:spLocks xmlns:a="http://schemas.openxmlformats.org/drawingml/2006/main" noChangeArrowheads="1"/>
        </cdr:cNvSpPr>
      </cdr:nvSpPr>
      <cdr:spPr bwMode="auto">
        <a:xfrm xmlns:a="http://schemas.openxmlformats.org/drawingml/2006/main">
          <a:off x="3013619" y="1449896"/>
          <a:ext cx="1630289" cy="18685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600" b="1" i="0" u="none" strike="noStrike" baseline="0">
              <a:solidFill>
                <a:srgbClr val="000000"/>
              </a:solidFill>
              <a:latin typeface="Arial"/>
              <a:cs typeface="Arial"/>
            </a:rPr>
            <a:t> </a:t>
          </a:r>
        </a:p>
      </cdr:txBody>
    </cdr:sp>
  </cdr:relSizeAnchor>
  <cdr:relSizeAnchor xmlns:cdr="http://schemas.openxmlformats.org/drawingml/2006/chartDrawing">
    <cdr:from>
      <cdr:x>0.51268</cdr:x>
      <cdr:y>0.13757</cdr:y>
    </cdr:from>
    <cdr:to>
      <cdr:x>0.74456</cdr:x>
      <cdr:y>0.26657</cdr:y>
    </cdr:to>
    <cdr:sp macro="" textlink="">
      <cdr:nvSpPr>
        <cdr:cNvPr id="235524" name="Text Box 4"/>
        <cdr:cNvSpPr txBox="1">
          <a:spLocks xmlns:a="http://schemas.openxmlformats.org/drawingml/2006/main" noChangeArrowheads="1"/>
        </cdr:cNvSpPr>
      </cdr:nvSpPr>
      <cdr:spPr bwMode="auto">
        <a:xfrm xmlns:a="http://schemas.openxmlformats.org/drawingml/2006/main">
          <a:off x="4429174" y="495296"/>
          <a:ext cx="2003252" cy="4644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r>
            <a:rPr lang="en-GB" sz="800" b="0" i="0" baseline="0">
              <a:latin typeface="Arial" pitchFamily="34" charset="0"/>
              <a:ea typeface="+mn-ea"/>
              <a:cs typeface="Arial" pitchFamily="34" charset="0"/>
            </a:rPr>
            <a:t>17% reduction in rate from Baseline Median (1.91) from Jan 2013 - so a new median was calculated which is 1.58</a:t>
          </a:r>
          <a:endParaRPr lang="en-GB" sz="800" b="0">
            <a:latin typeface="Arial" pitchFamily="34" charset="0"/>
            <a:cs typeface="Arial" pitchFamily="34" charset="0"/>
          </a:endParaRPr>
        </a:p>
      </cdr:txBody>
    </cdr:sp>
  </cdr:relSizeAnchor>
  <cdr:relSizeAnchor xmlns:cdr="http://schemas.openxmlformats.org/drawingml/2006/chartDrawing">
    <cdr:from>
      <cdr:x>0.42889</cdr:x>
      <cdr:y>0.65873</cdr:y>
    </cdr:from>
    <cdr:to>
      <cdr:x>0.659</cdr:x>
      <cdr:y>0.7135</cdr:y>
    </cdr:to>
    <cdr:sp macro="" textlink="">
      <cdr:nvSpPr>
        <cdr:cNvPr id="235525" name="Text Box 5"/>
        <cdr:cNvSpPr txBox="1">
          <a:spLocks xmlns:a="http://schemas.openxmlformats.org/drawingml/2006/main" noChangeArrowheads="1"/>
        </cdr:cNvSpPr>
      </cdr:nvSpPr>
      <cdr:spPr bwMode="auto">
        <a:xfrm xmlns:a="http://schemas.openxmlformats.org/drawingml/2006/main">
          <a:off x="3705225" y="2371726"/>
          <a:ext cx="1987991" cy="19719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800" b="0" i="0" u="none" strike="noStrike" baseline="0">
              <a:solidFill>
                <a:srgbClr val="FF0000"/>
              </a:solidFill>
              <a:latin typeface="Arial"/>
              <a:cs typeface="Arial"/>
            </a:rPr>
            <a:t>Target Median = 50% reduction to 0.95 (max)</a:t>
          </a:r>
        </a:p>
      </cdr:txBody>
    </cdr:sp>
  </cdr:relSizeAnchor>
  <cdr:relSizeAnchor xmlns:cdr="http://schemas.openxmlformats.org/drawingml/2006/chartDrawing">
    <cdr:from>
      <cdr:x>0.12319</cdr:x>
      <cdr:y>0.02042</cdr:y>
    </cdr:from>
    <cdr:to>
      <cdr:x>0.8975</cdr:x>
      <cdr:y>0.08466</cdr:y>
    </cdr:to>
    <cdr:sp macro="" textlink="">
      <cdr:nvSpPr>
        <cdr:cNvPr id="235526" name="Text Box 6"/>
        <cdr:cNvSpPr txBox="1">
          <a:spLocks xmlns:a="http://schemas.openxmlformats.org/drawingml/2006/main" noChangeArrowheads="1"/>
        </cdr:cNvSpPr>
      </cdr:nvSpPr>
      <cdr:spPr bwMode="auto">
        <a:xfrm xmlns:a="http://schemas.openxmlformats.org/drawingml/2006/main">
          <a:off x="1064260" y="73521"/>
          <a:ext cx="6689400" cy="23127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GB" sz="1000" b="1" i="0" u="none" strike="noStrike" baseline="0">
              <a:solidFill>
                <a:srgbClr val="000000"/>
              </a:solidFill>
              <a:latin typeface="Arial"/>
              <a:cs typeface="Arial"/>
            </a:rPr>
            <a:t>(excluding A&amp;E, ARAU Trolleys, ITU, CCU, Cath Lab, Out Patient, Daycase, Obstetrics)</a:t>
          </a:r>
        </a:p>
      </cdr:txBody>
    </cdr:sp>
  </cdr:relSizeAnchor>
  <cdr:relSizeAnchor xmlns:cdr="http://schemas.openxmlformats.org/drawingml/2006/chartDrawing">
    <cdr:from>
      <cdr:x>0.76516</cdr:x>
      <cdr:y>0.62434</cdr:y>
    </cdr:from>
    <cdr:to>
      <cdr:x>0.99449</cdr:x>
      <cdr:y>0.74868</cdr:y>
    </cdr:to>
    <cdr:sp macro="" textlink="">
      <cdr:nvSpPr>
        <cdr:cNvPr id="6" name="TextBox 1"/>
        <cdr:cNvSpPr txBox="1"/>
      </cdr:nvSpPr>
      <cdr:spPr>
        <a:xfrm xmlns:a="http://schemas.openxmlformats.org/drawingml/2006/main">
          <a:off x="6610351" y="2247905"/>
          <a:ext cx="1981199" cy="44767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rtl="0" fontAlgn="base"/>
          <a:r>
            <a:rPr lang="en-GB" sz="800" b="0" i="0" baseline="0">
              <a:latin typeface="Arial" pitchFamily="34" charset="0"/>
              <a:ea typeface="+mn-ea"/>
              <a:cs typeface="Arial" pitchFamily="34" charset="0"/>
            </a:rPr>
            <a:t>Increase was noted - i.e. an 8% reduction in rate from Baseline Median (1.91) from May 16  - so a New Median 2  was calculated of 1.76  </a:t>
          </a:r>
          <a:endParaRPr lang="en-GB" sz="800" b="1" i="0" baseline="0">
            <a:latin typeface="Arial" pitchFamily="34" charset="0"/>
            <a:ea typeface="+mn-ea"/>
            <a:cs typeface="Arial" pitchFamily="34" charset="0"/>
          </a:endParaRPr>
        </a:p>
        <a:p xmlns:a="http://schemas.openxmlformats.org/drawingml/2006/main">
          <a:pPr algn="l" rtl="0">
            <a:lnSpc>
              <a:spcPts val="1100"/>
            </a:lnSpc>
            <a:defRPr sz="1000"/>
          </a:pPr>
          <a:endParaRPr lang="en-GB" sz="900" b="1" i="0" u="none" strike="noStrike" baseline="0">
            <a:solidFill>
              <a:srgbClr val="000000"/>
            </a:solidFill>
            <a:latin typeface="Arial"/>
            <a:cs typeface="Arial"/>
          </a:endParaRPr>
        </a:p>
      </cdr:txBody>
    </cdr:sp>
  </cdr:relSizeAnchor>
  <cdr:relSizeAnchor xmlns:cdr="http://schemas.openxmlformats.org/drawingml/2006/chartDrawing">
    <cdr:from>
      <cdr:x>0.04741</cdr:x>
      <cdr:y>0.14021</cdr:y>
    </cdr:from>
    <cdr:to>
      <cdr:x>0.1753</cdr:x>
      <cdr:y>0.29894</cdr:y>
    </cdr:to>
    <cdr:sp macro="" textlink="">
      <cdr:nvSpPr>
        <cdr:cNvPr id="7" name="Rectangle 6"/>
        <cdr:cNvSpPr/>
      </cdr:nvSpPr>
      <cdr:spPr>
        <a:xfrm xmlns:a="http://schemas.openxmlformats.org/drawingml/2006/main">
          <a:off x="409575" y="504825"/>
          <a:ext cx="1104900" cy="571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GB" sz="800">
              <a:solidFill>
                <a:schemeClr val="tx1"/>
              </a:solidFill>
              <a:latin typeface="Arial" pitchFamily="34" charset="0"/>
              <a:ea typeface="+mn-ea"/>
              <a:cs typeface="Arial" pitchFamily="34" charset="0"/>
            </a:rPr>
            <a:t>Baseline </a:t>
          </a:r>
          <a:r>
            <a:rPr lang="en-GB" sz="800" baseline="0">
              <a:solidFill>
                <a:schemeClr val="tx1"/>
              </a:solidFill>
              <a:latin typeface="Arial" pitchFamily="34" charset="0"/>
              <a:ea typeface="+mn-ea"/>
              <a:cs typeface="Arial" pitchFamily="34" charset="0"/>
            </a:rPr>
            <a:t> M</a:t>
          </a:r>
          <a:r>
            <a:rPr lang="en-GB" sz="800">
              <a:solidFill>
                <a:schemeClr val="tx1"/>
              </a:solidFill>
              <a:latin typeface="Arial" pitchFamily="34" charset="0"/>
              <a:ea typeface="+mn-ea"/>
              <a:cs typeface="Arial" pitchFamily="34" charset="0"/>
            </a:rPr>
            <a:t>edian  (</a:t>
          </a:r>
          <a:r>
            <a:rPr lang="en-GB" sz="800" baseline="0">
              <a:solidFill>
                <a:schemeClr val="tx1"/>
              </a:solidFill>
              <a:latin typeface="Arial" pitchFamily="34" charset="0"/>
              <a:ea typeface="+mn-ea"/>
              <a:cs typeface="Arial" pitchFamily="34" charset="0"/>
            </a:rPr>
            <a:t>2009)  =  1.91</a:t>
          </a:r>
          <a:endParaRPr lang="en-GB" sz="800">
            <a:solidFill>
              <a:schemeClr val="tx1"/>
            </a:solidFill>
            <a:latin typeface="Arial" pitchFamily="34" charset="0"/>
            <a:ea typeface="+mn-ea"/>
            <a:cs typeface="Arial" pitchFamily="34" charset="0"/>
          </a:endParaRPr>
        </a:p>
        <a:p xmlns:a="http://schemas.openxmlformats.org/drawingml/2006/main">
          <a:endParaRPr lang="en-US"/>
        </a:p>
      </cdr:txBody>
    </cdr:sp>
  </cdr:relSizeAnchor>
</c:userShapes>
</file>

<file path=xl/drawings/drawing14.xml><?xml version="1.0" encoding="utf-8"?>
<xdr:wsDr xmlns:xdr="http://schemas.openxmlformats.org/drawingml/2006/spreadsheetDrawing" xmlns:a="http://schemas.openxmlformats.org/drawingml/2006/main">
  <xdr:twoCellAnchor>
    <xdr:from>
      <xdr:col>6</xdr:col>
      <xdr:colOff>38100</xdr:colOff>
      <xdr:row>4</xdr:row>
      <xdr:rowOff>9525</xdr:rowOff>
    </xdr:from>
    <xdr:to>
      <xdr:col>20</xdr:col>
      <xdr:colOff>142875</xdr:colOff>
      <xdr:row>25</xdr:row>
      <xdr:rowOff>47625</xdr:rowOff>
    </xdr:to>
    <xdr:graphicFrame macro="">
      <xdr:nvGraphicFramePr>
        <xdr:cNvPr id="613858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9525</xdr:rowOff>
    </xdr:from>
    <xdr:to>
      <xdr:col>20</xdr:col>
      <xdr:colOff>104775</xdr:colOff>
      <xdr:row>50</xdr:row>
      <xdr:rowOff>47625</xdr:rowOff>
    </xdr:to>
    <xdr:graphicFrame macro="">
      <xdr:nvGraphicFramePr>
        <xdr:cNvPr id="613858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9525</xdr:colOff>
      <xdr:row>80</xdr:row>
      <xdr:rowOff>0</xdr:rowOff>
    </xdr:from>
    <xdr:to>
      <xdr:col>26</xdr:col>
      <xdr:colOff>247650</xdr:colOff>
      <xdr:row>102</xdr:row>
      <xdr:rowOff>38100</xdr:rowOff>
    </xdr:to>
    <xdr:graphicFrame macro="">
      <xdr:nvGraphicFramePr>
        <xdr:cNvPr id="549876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55</xdr:row>
      <xdr:rowOff>9526</xdr:rowOff>
    </xdr:from>
    <xdr:to>
      <xdr:col>11</xdr:col>
      <xdr:colOff>143699</xdr:colOff>
      <xdr:row>77</xdr:row>
      <xdr:rowOff>47176</xdr:rowOff>
    </xdr:to>
    <xdr:graphicFrame macro="">
      <xdr:nvGraphicFramePr>
        <xdr:cNvPr id="54987651" name="Content Placeholder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55</xdr:row>
      <xdr:rowOff>0</xdr:rowOff>
    </xdr:from>
    <xdr:to>
      <xdr:col>26</xdr:col>
      <xdr:colOff>238125</xdr:colOff>
      <xdr:row>77</xdr:row>
      <xdr:rowOff>38100</xdr:rowOff>
    </xdr:to>
    <xdr:graphicFrame macro="">
      <xdr:nvGraphicFramePr>
        <xdr:cNvPr id="549876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80</xdr:row>
      <xdr:rowOff>19050</xdr:rowOff>
    </xdr:from>
    <xdr:to>
      <xdr:col>11</xdr:col>
      <xdr:colOff>161925</xdr:colOff>
      <xdr:row>102</xdr:row>
      <xdr:rowOff>57150</xdr:rowOff>
    </xdr:to>
    <xdr:graphicFrame macro="">
      <xdr:nvGraphicFramePr>
        <xdr:cNvPr id="549876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105</xdr:row>
      <xdr:rowOff>19050</xdr:rowOff>
    </xdr:from>
    <xdr:to>
      <xdr:col>11</xdr:col>
      <xdr:colOff>161925</xdr:colOff>
      <xdr:row>127</xdr:row>
      <xdr:rowOff>57150</xdr:rowOff>
    </xdr:to>
    <xdr:graphicFrame macro="">
      <xdr:nvGraphicFramePr>
        <xdr:cNvPr id="54987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105</xdr:row>
      <xdr:rowOff>0</xdr:rowOff>
    </xdr:from>
    <xdr:to>
      <xdr:col>26</xdr:col>
      <xdr:colOff>257175</xdr:colOff>
      <xdr:row>127</xdr:row>
      <xdr:rowOff>38100</xdr:rowOff>
    </xdr:to>
    <xdr:graphicFrame macro="">
      <xdr:nvGraphicFramePr>
        <xdr:cNvPr id="54987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0.06063</cdr:x>
      <cdr:y>0.381</cdr:y>
    </cdr:from>
    <cdr:to>
      <cdr:x>0.43656</cdr:x>
      <cdr:y>0.727</cdr:y>
    </cdr:to>
    <cdr:sp macro="" textlink="">
      <cdr:nvSpPr>
        <cdr:cNvPr id="2" name="Rectangle 1"/>
        <cdr:cNvSpPr/>
      </cdr:nvSpPr>
      <cdr:spPr>
        <a:xfrm xmlns:a="http://schemas.openxmlformats.org/drawingml/2006/main">
          <a:off x="523876" y="1371599"/>
          <a:ext cx="3248026" cy="1245601"/>
        </a:xfrm>
        <a:prstGeom xmlns:a="http://schemas.openxmlformats.org/drawingml/2006/main" prst="rect">
          <a:avLst/>
        </a:prstGeom>
        <a:noFill xmlns:a="http://schemas.openxmlformats.org/drawingml/2006/main"/>
        <a:ln xmlns:a="http://schemas.openxmlformats.org/drawingml/2006/main" w="22225"/>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0.15344</cdr:x>
      <cdr:y>0.6265</cdr:y>
    </cdr:from>
    <cdr:to>
      <cdr:x>0.43907</cdr:x>
      <cdr:y>0.69802</cdr:y>
    </cdr:to>
    <cdr:sp macro="" textlink="">
      <cdr:nvSpPr>
        <cdr:cNvPr id="3" name="TextBox 2"/>
        <cdr:cNvSpPr txBox="1"/>
      </cdr:nvSpPr>
      <cdr:spPr>
        <a:xfrm xmlns:a="http://schemas.openxmlformats.org/drawingml/2006/main">
          <a:off x="1273274" y="2806822"/>
          <a:ext cx="2347329" cy="320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b="0">
              <a:solidFill>
                <a:sysClr val="windowText" lastClr="000000"/>
              </a:solidFill>
              <a:latin typeface="Arial" pitchFamily="34" charset="0"/>
              <a:cs typeface="Arial" pitchFamily="34" charset="0"/>
            </a:rPr>
            <a:t>Previous Definition</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9525</xdr:colOff>
      <xdr:row>20</xdr:row>
      <xdr:rowOff>19050</xdr:rowOff>
    </xdr:from>
    <xdr:to>
      <xdr:col>12</xdr:col>
      <xdr:colOff>572325</xdr:colOff>
      <xdr:row>42</xdr:row>
      <xdr:rowOff>57150</xdr:rowOff>
    </xdr:to>
    <xdr:graphicFrame macro="">
      <xdr:nvGraphicFramePr>
        <xdr:cNvPr id="521501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45</xdr:row>
      <xdr:rowOff>9525</xdr:rowOff>
    </xdr:from>
    <xdr:to>
      <xdr:col>12</xdr:col>
      <xdr:colOff>572325</xdr:colOff>
      <xdr:row>67</xdr:row>
      <xdr:rowOff>47625</xdr:rowOff>
    </xdr:to>
    <xdr:graphicFrame macro="">
      <xdr:nvGraphicFramePr>
        <xdr:cNvPr id="521501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600075</xdr:colOff>
      <xdr:row>45</xdr:row>
      <xdr:rowOff>19050</xdr:rowOff>
    </xdr:from>
    <xdr:to>
      <xdr:col>28</xdr:col>
      <xdr:colOff>96075</xdr:colOff>
      <xdr:row>67</xdr:row>
      <xdr:rowOff>57150</xdr:rowOff>
    </xdr:to>
    <xdr:graphicFrame macro="">
      <xdr:nvGraphicFramePr>
        <xdr:cNvPr id="521501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600075</xdr:colOff>
      <xdr:row>20</xdr:row>
      <xdr:rowOff>19050</xdr:rowOff>
    </xdr:from>
    <xdr:to>
      <xdr:col>28</xdr:col>
      <xdr:colOff>96075</xdr:colOff>
      <xdr:row>42</xdr:row>
      <xdr:rowOff>57150</xdr:rowOff>
    </xdr:to>
    <xdr:graphicFrame macro="">
      <xdr:nvGraphicFramePr>
        <xdr:cNvPr id="5215018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17</xdr:row>
      <xdr:rowOff>0</xdr:rowOff>
    </xdr:from>
    <xdr:to>
      <xdr:col>8</xdr:col>
      <xdr:colOff>172275</xdr:colOff>
      <xdr:row>39</xdr:row>
      <xdr:rowOff>38100</xdr:rowOff>
    </xdr:to>
    <xdr:graphicFrame macro="">
      <xdr:nvGraphicFramePr>
        <xdr:cNvPr id="4557646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0.87266</cdr:x>
      <cdr:y>0.88272</cdr:y>
    </cdr:from>
    <cdr:to>
      <cdr:x>0.99773</cdr:x>
      <cdr:y>0.98741</cdr:y>
    </cdr:to>
    <cdr:sp macro="" textlink="">
      <cdr:nvSpPr>
        <cdr:cNvPr id="3" name="TextBox 2"/>
        <cdr:cNvSpPr txBox="1"/>
      </cdr:nvSpPr>
      <cdr:spPr>
        <a:xfrm xmlns:a="http://schemas.openxmlformats.org/drawingml/2006/main">
          <a:off x="7755161" y="3337923"/>
          <a:ext cx="1111475" cy="3958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itchFamily="34" charset="0"/>
              <a:cs typeface="Arial" pitchFamily="34" charset="0"/>
            </a:rPr>
            <a:t>Combined Calendar Years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59</xdr:row>
      <xdr:rowOff>19050</xdr:rowOff>
    </xdr:from>
    <xdr:to>
      <xdr:col>11</xdr:col>
      <xdr:colOff>123825</xdr:colOff>
      <xdr:row>81</xdr:row>
      <xdr:rowOff>56700</xdr:rowOff>
    </xdr:to>
    <xdr:graphicFrame macro="">
      <xdr:nvGraphicFramePr>
        <xdr:cNvPr id="589664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59</xdr:row>
      <xdr:rowOff>28575</xdr:rowOff>
    </xdr:from>
    <xdr:to>
      <xdr:col>26</xdr:col>
      <xdr:colOff>115125</xdr:colOff>
      <xdr:row>81</xdr:row>
      <xdr:rowOff>66675</xdr:rowOff>
    </xdr:to>
    <xdr:graphicFrame macro="">
      <xdr:nvGraphicFramePr>
        <xdr:cNvPr id="589664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84</xdr:row>
      <xdr:rowOff>19050</xdr:rowOff>
    </xdr:from>
    <xdr:to>
      <xdr:col>11</xdr:col>
      <xdr:colOff>124650</xdr:colOff>
      <xdr:row>106</xdr:row>
      <xdr:rowOff>56700</xdr:rowOff>
    </xdr:to>
    <xdr:graphicFrame macro="">
      <xdr:nvGraphicFramePr>
        <xdr:cNvPr id="589664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19050</xdr:colOff>
      <xdr:row>84</xdr:row>
      <xdr:rowOff>38100</xdr:rowOff>
    </xdr:from>
    <xdr:to>
      <xdr:col>26</xdr:col>
      <xdr:colOff>124650</xdr:colOff>
      <xdr:row>106</xdr:row>
      <xdr:rowOff>75750</xdr:rowOff>
    </xdr:to>
    <xdr:graphicFrame macro="">
      <xdr:nvGraphicFramePr>
        <xdr:cNvPr id="5896641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33</xdr:row>
      <xdr:rowOff>152400</xdr:rowOff>
    </xdr:from>
    <xdr:to>
      <xdr:col>12</xdr:col>
      <xdr:colOff>105600</xdr:colOff>
      <xdr:row>56</xdr:row>
      <xdr:rowOff>28575</xdr:rowOff>
    </xdr:to>
    <xdr:graphicFrame macro="">
      <xdr:nvGraphicFramePr>
        <xdr:cNvPr id="520027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34</xdr:row>
      <xdr:rowOff>9525</xdr:rowOff>
    </xdr:from>
    <xdr:to>
      <xdr:col>27</xdr:col>
      <xdr:colOff>124650</xdr:colOff>
      <xdr:row>56</xdr:row>
      <xdr:rowOff>47625</xdr:rowOff>
    </xdr:to>
    <xdr:graphicFrame macro="">
      <xdr:nvGraphicFramePr>
        <xdr:cNvPr id="520027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59</xdr:row>
      <xdr:rowOff>9525</xdr:rowOff>
    </xdr:from>
    <xdr:to>
      <xdr:col>12</xdr:col>
      <xdr:colOff>86550</xdr:colOff>
      <xdr:row>81</xdr:row>
      <xdr:rowOff>47625</xdr:rowOff>
    </xdr:to>
    <xdr:graphicFrame macro="">
      <xdr:nvGraphicFramePr>
        <xdr:cNvPr id="520027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59</xdr:row>
      <xdr:rowOff>9525</xdr:rowOff>
    </xdr:from>
    <xdr:to>
      <xdr:col>27</xdr:col>
      <xdr:colOff>105600</xdr:colOff>
      <xdr:row>81</xdr:row>
      <xdr:rowOff>47625</xdr:rowOff>
    </xdr:to>
    <xdr:graphicFrame macro="">
      <xdr:nvGraphicFramePr>
        <xdr:cNvPr id="520027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590550</xdr:colOff>
      <xdr:row>86</xdr:row>
      <xdr:rowOff>0</xdr:rowOff>
    </xdr:from>
    <xdr:to>
      <xdr:col>27</xdr:col>
      <xdr:colOff>86550</xdr:colOff>
      <xdr:row>108</xdr:row>
      <xdr:rowOff>38100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111</xdr:row>
      <xdr:rowOff>38100</xdr:rowOff>
    </xdr:from>
    <xdr:to>
      <xdr:col>12</xdr:col>
      <xdr:colOff>115125</xdr:colOff>
      <xdr:row>133</xdr:row>
      <xdr:rowOff>76200</xdr:rowOff>
    </xdr:to>
    <xdr:graphicFrame macro="">
      <xdr:nvGraphicFramePr>
        <xdr:cNvPr id="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28575</xdr:rowOff>
    </xdr:from>
    <xdr:to>
      <xdr:col>27</xdr:col>
      <xdr:colOff>105600</xdr:colOff>
      <xdr:row>133</xdr:row>
      <xdr:rowOff>66675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28575</xdr:colOff>
      <xdr:row>136</xdr:row>
      <xdr:rowOff>28575</xdr:rowOff>
    </xdr:from>
    <xdr:to>
      <xdr:col>12</xdr:col>
      <xdr:colOff>115125</xdr:colOff>
      <xdr:row>158</xdr:row>
      <xdr:rowOff>66675</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86</xdr:row>
      <xdr:rowOff>0</xdr:rowOff>
    </xdr:from>
    <xdr:to>
      <xdr:col>12</xdr:col>
      <xdr:colOff>105600</xdr:colOff>
      <xdr:row>108</xdr:row>
      <xdr:rowOff>38100</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9525</xdr:colOff>
      <xdr:row>162</xdr:row>
      <xdr:rowOff>28575</xdr:rowOff>
    </xdr:from>
    <xdr:to>
      <xdr:col>27</xdr:col>
      <xdr:colOff>115125</xdr:colOff>
      <xdr:row>184</xdr:row>
      <xdr:rowOff>66675</xdr:rowOff>
    </xdr:to>
    <xdr:graphicFrame macro="">
      <xdr:nvGraphicFramePr>
        <xdr:cNvPr id="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28575</xdr:colOff>
      <xdr:row>187</xdr:row>
      <xdr:rowOff>38100</xdr:rowOff>
    </xdr:from>
    <xdr:to>
      <xdr:col>12</xdr:col>
      <xdr:colOff>115125</xdr:colOff>
      <xdr:row>209</xdr:row>
      <xdr:rowOff>76200</xdr:rowOff>
    </xdr:to>
    <xdr:graphicFrame macro="">
      <xdr:nvGraphicFramePr>
        <xdr:cNvPr id="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600075</xdr:colOff>
      <xdr:row>187</xdr:row>
      <xdr:rowOff>38100</xdr:rowOff>
    </xdr:from>
    <xdr:to>
      <xdr:col>27</xdr:col>
      <xdr:colOff>96075</xdr:colOff>
      <xdr:row>209</xdr:row>
      <xdr:rowOff>76200</xdr:rowOff>
    </xdr:to>
    <xdr:graphicFrame macro="">
      <xdr:nvGraphicFramePr>
        <xdr:cNvPr id="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212</xdr:row>
      <xdr:rowOff>28575</xdr:rowOff>
    </xdr:from>
    <xdr:to>
      <xdr:col>12</xdr:col>
      <xdr:colOff>115125</xdr:colOff>
      <xdr:row>234</xdr:row>
      <xdr:rowOff>66675</xdr:rowOff>
    </xdr:to>
    <xdr:graphicFrame macro="">
      <xdr:nvGraphicFramePr>
        <xdr:cNvPr id="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28575</xdr:colOff>
      <xdr:row>237</xdr:row>
      <xdr:rowOff>152400</xdr:rowOff>
    </xdr:from>
    <xdr:to>
      <xdr:col>12</xdr:col>
      <xdr:colOff>115125</xdr:colOff>
      <xdr:row>260</xdr:row>
      <xdr:rowOff>28575</xdr:rowOff>
    </xdr:to>
    <xdr:graphicFrame macro="">
      <xdr:nvGraphicFramePr>
        <xdr:cNvPr id="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542782</xdr:colOff>
      <xdr:row>94</xdr:row>
      <xdr:rowOff>103672</xdr:rowOff>
    </xdr:from>
    <xdr:to>
      <xdr:col>8</xdr:col>
      <xdr:colOff>240819</xdr:colOff>
      <xdr:row>98</xdr:row>
      <xdr:rowOff>82140</xdr:rowOff>
    </xdr:to>
    <xdr:sp macro="" textlink="">
      <xdr:nvSpPr>
        <xdr:cNvPr id="23" name="Oval 22"/>
        <xdr:cNvSpPr/>
      </xdr:nvSpPr>
      <xdr:spPr>
        <a:xfrm rot="20060168">
          <a:off x="3000232" y="17772547"/>
          <a:ext cx="3355637" cy="626168"/>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608391</xdr:colOff>
      <xdr:row>245</xdr:row>
      <xdr:rowOff>70084</xdr:rowOff>
    </xdr:from>
    <xdr:to>
      <xdr:col>7</xdr:col>
      <xdr:colOff>267308</xdr:colOff>
      <xdr:row>250</xdr:row>
      <xdr:rowOff>97039</xdr:rowOff>
    </xdr:to>
    <xdr:sp macro="" textlink="">
      <xdr:nvSpPr>
        <xdr:cNvPr id="25" name="Oval 24"/>
        <xdr:cNvSpPr/>
      </xdr:nvSpPr>
      <xdr:spPr>
        <a:xfrm rot="20270277">
          <a:off x="3065841" y="46971184"/>
          <a:ext cx="2706917" cy="836580"/>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18</xdr:col>
      <xdr:colOff>38013</xdr:colOff>
      <xdr:row>96</xdr:row>
      <xdr:rowOff>43417</xdr:rowOff>
    </xdr:from>
    <xdr:to>
      <xdr:col>21</xdr:col>
      <xdr:colOff>135570</xdr:colOff>
      <xdr:row>98</xdr:row>
      <xdr:rowOff>22407</xdr:rowOff>
    </xdr:to>
    <xdr:sp macro="" textlink="">
      <xdr:nvSpPr>
        <xdr:cNvPr id="26" name="Oval 25"/>
        <xdr:cNvSpPr/>
      </xdr:nvSpPr>
      <xdr:spPr>
        <a:xfrm rot="20049057">
          <a:off x="12249063" y="18036142"/>
          <a:ext cx="1926357" cy="302840"/>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2</xdr:col>
      <xdr:colOff>603741</xdr:colOff>
      <xdr:row>119</xdr:row>
      <xdr:rowOff>128047</xdr:rowOff>
    </xdr:from>
    <xdr:to>
      <xdr:col>8</xdr:col>
      <xdr:colOff>93819</xdr:colOff>
      <xdr:row>124</xdr:row>
      <xdr:rowOff>26782</xdr:rowOff>
    </xdr:to>
    <xdr:sp macro="" textlink="">
      <xdr:nvSpPr>
        <xdr:cNvPr id="2" name="Oval 1"/>
        <xdr:cNvSpPr/>
      </xdr:nvSpPr>
      <xdr:spPr>
        <a:xfrm rot="19810710">
          <a:off x="3061191" y="21845047"/>
          <a:ext cx="3147678" cy="708360"/>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382434</xdr:colOff>
      <xdr:row>146</xdr:row>
      <xdr:rowOff>123584</xdr:rowOff>
    </xdr:from>
    <xdr:to>
      <xdr:col>9</xdr:col>
      <xdr:colOff>163426</xdr:colOff>
      <xdr:row>150</xdr:row>
      <xdr:rowOff>148837</xdr:rowOff>
    </xdr:to>
    <xdr:sp macro="" textlink="">
      <xdr:nvSpPr>
        <xdr:cNvPr id="3" name="Oval 2"/>
        <xdr:cNvSpPr/>
      </xdr:nvSpPr>
      <xdr:spPr>
        <a:xfrm rot="2759447">
          <a:off x="5441903" y="25439340"/>
          <a:ext cx="672953" cy="2219392"/>
        </a:xfrm>
        <a:prstGeom prst="ellipse">
          <a:avLst/>
        </a:prstGeom>
        <a:noFill/>
        <a:ln w="952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162</xdr:row>
      <xdr:rowOff>0</xdr:rowOff>
    </xdr:from>
    <xdr:to>
      <xdr:col>12</xdr:col>
      <xdr:colOff>105600</xdr:colOff>
      <xdr:row>184</xdr:row>
      <xdr:rowOff>38100</xdr:rowOff>
    </xdr:to>
    <xdr:graphicFrame macro="">
      <xdr:nvGraphicFramePr>
        <xdr:cNvPr id="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0.79953</cdr:x>
      <cdr:y>0.21788</cdr:y>
    </cdr:from>
    <cdr:to>
      <cdr:x>1</cdr:x>
      <cdr:y>0.32222</cdr:y>
    </cdr:to>
    <cdr:sp macro="" textlink="">
      <cdr:nvSpPr>
        <cdr:cNvPr id="6" name="Oval 5"/>
        <cdr:cNvSpPr/>
      </cdr:nvSpPr>
      <cdr:spPr>
        <a:xfrm xmlns:a="http://schemas.openxmlformats.org/drawingml/2006/main" rot="19467819">
          <a:off x="6947896" y="784460"/>
          <a:ext cx="1732086" cy="37567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2.xml><?xml version="1.0" encoding="utf-8"?>
<c:userShapes xmlns:c="http://schemas.openxmlformats.org/drawingml/2006/chart">
  <cdr:relSizeAnchor xmlns:cdr="http://schemas.openxmlformats.org/drawingml/2006/chartDrawing">
    <cdr:from>
      <cdr:x>0.01986</cdr:x>
      <cdr:y>0.41564</cdr:y>
    </cdr:from>
    <cdr:to>
      <cdr:x>0.2794</cdr:x>
      <cdr:y>0.55195</cdr:y>
    </cdr:to>
    <cdr:sp macro="" textlink="">
      <cdr:nvSpPr>
        <cdr:cNvPr id="6" name="Oval 5"/>
        <cdr:cNvSpPr/>
      </cdr:nvSpPr>
      <cdr:spPr>
        <a:xfrm xmlns:a="http://schemas.openxmlformats.org/drawingml/2006/main" rot="2962250">
          <a:off x="1047438" y="620671"/>
          <a:ext cx="490753" cy="2242425"/>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0.75366</cdr:x>
      <cdr:y>0.19903</cdr:y>
    </cdr:from>
    <cdr:to>
      <cdr:x>0.99743</cdr:x>
      <cdr:y>0.34536</cdr:y>
    </cdr:to>
    <cdr:sp macro="" textlink="">
      <cdr:nvSpPr>
        <cdr:cNvPr id="9" name="Oval 8"/>
        <cdr:cNvSpPr/>
      </cdr:nvSpPr>
      <cdr:spPr>
        <a:xfrm xmlns:a="http://schemas.openxmlformats.org/drawingml/2006/main" rot="19810710">
          <a:off x="6511633" y="716580"/>
          <a:ext cx="2106137" cy="526868"/>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23.xml><?xml version="1.0" encoding="utf-8"?>
<c:userShapes xmlns:c="http://schemas.openxmlformats.org/drawingml/2006/chart">
  <cdr:relSizeAnchor xmlns:cdr="http://schemas.openxmlformats.org/drawingml/2006/chartDrawing">
    <cdr:from>
      <cdr:x>0.54978</cdr:x>
      <cdr:y>0.10081</cdr:y>
    </cdr:from>
    <cdr:to>
      <cdr:x>0.61539</cdr:x>
      <cdr:y>0.60567</cdr:y>
    </cdr:to>
    <cdr:sp macro="" textlink="">
      <cdr:nvSpPr>
        <cdr:cNvPr id="3" name="Oval 2"/>
        <cdr:cNvSpPr/>
      </cdr:nvSpPr>
      <cdr:spPr>
        <a:xfrm xmlns:a="http://schemas.openxmlformats.org/drawingml/2006/main" rot="18820975">
          <a:off x="4124675" y="988392"/>
          <a:ext cx="1817713" cy="566845"/>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0.74405</cdr:x>
      <cdr:y>0.17947</cdr:y>
    </cdr:from>
    <cdr:to>
      <cdr:x>1</cdr:x>
      <cdr:y>0.29947</cdr:y>
    </cdr:to>
    <cdr:sp macro="" textlink="">
      <cdr:nvSpPr>
        <cdr:cNvPr id="5" name="Oval 4"/>
        <cdr:cNvSpPr/>
      </cdr:nvSpPr>
      <cdr:spPr>
        <a:xfrm xmlns:a="http://schemas.openxmlformats.org/drawingml/2006/main" rot="19844349">
          <a:off x="6437899" y="646185"/>
          <a:ext cx="2211449" cy="432044"/>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userShapes>
</file>

<file path=xl/drawings/drawing24.xml><?xml version="1.0" encoding="utf-8"?>
<c:userShapes xmlns:c="http://schemas.openxmlformats.org/drawingml/2006/chart">
  <cdr:relSizeAnchor xmlns:cdr="http://schemas.openxmlformats.org/drawingml/2006/chartDrawing">
    <cdr:from>
      <cdr:x>0.05432</cdr:x>
      <cdr:y>0.36883</cdr:y>
    </cdr:from>
    <cdr:to>
      <cdr:x>0.30376</cdr:x>
      <cdr:y>0.48191</cdr:y>
    </cdr:to>
    <cdr:sp macro="" textlink="">
      <cdr:nvSpPr>
        <cdr:cNvPr id="3" name="Oval 2"/>
        <cdr:cNvSpPr/>
      </cdr:nvSpPr>
      <cdr:spPr>
        <a:xfrm xmlns:a="http://schemas.openxmlformats.org/drawingml/2006/main" rot="19077537" flipV="1">
          <a:off x="469342" y="1327946"/>
          <a:ext cx="2155109" cy="40713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0.74071</cdr:x>
      <cdr:y>0.15782</cdr:y>
    </cdr:from>
    <cdr:to>
      <cdr:x>0.99674</cdr:x>
      <cdr:y>0.36178</cdr:y>
    </cdr:to>
    <cdr:sp macro="" textlink="">
      <cdr:nvSpPr>
        <cdr:cNvPr id="5" name="Oval 4"/>
        <cdr:cNvSpPr/>
      </cdr:nvSpPr>
      <cdr:spPr>
        <a:xfrm xmlns:a="http://schemas.openxmlformats.org/drawingml/2006/main" rot="19817053">
          <a:off x="6399700" y="568241"/>
          <a:ext cx="2212114" cy="734347"/>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25.xml><?xml version="1.0" encoding="utf-8"?>
<c:userShapes xmlns:c="http://schemas.openxmlformats.org/drawingml/2006/chart">
  <cdr:relSizeAnchor xmlns:cdr="http://schemas.openxmlformats.org/drawingml/2006/chartDrawing">
    <cdr:from>
      <cdr:x>0.75186</cdr:x>
      <cdr:y>0.18254</cdr:y>
    </cdr:from>
    <cdr:to>
      <cdr:x>0.97384</cdr:x>
      <cdr:y>0.28572</cdr:y>
    </cdr:to>
    <cdr:sp macro="" textlink="">
      <cdr:nvSpPr>
        <cdr:cNvPr id="5" name="Oval 4"/>
        <cdr:cNvSpPr/>
      </cdr:nvSpPr>
      <cdr:spPr>
        <a:xfrm xmlns:a="http://schemas.openxmlformats.org/drawingml/2006/main" rot="19677465">
          <a:off x="6496050" y="657224"/>
          <a:ext cx="1917925" cy="37148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0.22338</cdr:x>
      <cdr:y>0.36997</cdr:y>
    </cdr:from>
    <cdr:to>
      <cdr:x>0.4105</cdr:x>
      <cdr:y>0.54677</cdr:y>
    </cdr:to>
    <cdr:sp macro="" textlink="">
      <cdr:nvSpPr>
        <cdr:cNvPr id="7" name="Oval 6"/>
        <cdr:cNvSpPr/>
      </cdr:nvSpPr>
      <cdr:spPr>
        <a:xfrm xmlns:a="http://schemas.openxmlformats.org/drawingml/2006/main" rot="2175092">
          <a:off x="1929970" y="1332071"/>
          <a:ext cx="1616788" cy="636561"/>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14</xdr:col>
      <xdr:colOff>1</xdr:colOff>
      <xdr:row>3</xdr:row>
      <xdr:rowOff>38100</xdr:rowOff>
    </xdr:from>
    <xdr:to>
      <xdr:col>28</xdr:col>
      <xdr:colOff>152401</xdr:colOff>
      <xdr:row>24</xdr:row>
      <xdr:rowOff>66675</xdr:rowOff>
    </xdr:to>
    <xdr:graphicFrame macro="">
      <xdr:nvGraphicFramePr>
        <xdr:cNvPr id="45436179"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0.00225</cdr:x>
      <cdr:y>0.0045</cdr:y>
    </cdr:from>
    <cdr:to>
      <cdr:x>0.14075</cdr:x>
      <cdr:y>0.12027</cdr:y>
    </cdr:to>
    <cdr:sp macro="" textlink="">
      <cdr:nvSpPr>
        <cdr:cNvPr id="292871" name="Text Box 7"/>
        <cdr:cNvSpPr txBox="1">
          <a:spLocks xmlns:a="http://schemas.openxmlformats.org/drawingml/2006/main" noChangeArrowheads="1"/>
        </cdr:cNvSpPr>
      </cdr:nvSpPr>
      <cdr:spPr bwMode="auto">
        <a:xfrm xmlns:a="http://schemas.openxmlformats.org/drawingml/2006/main">
          <a:off x="20745" y="27046"/>
          <a:ext cx="1276998" cy="7032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0">
            <a:defRPr sz="1000"/>
          </a:pPr>
          <a:r>
            <a:rPr lang="en-GB" sz="900" b="1" i="0" u="none" strike="noStrike" baseline="0">
              <a:solidFill>
                <a:srgbClr val="000000"/>
              </a:solidFill>
              <a:latin typeface="Arial"/>
              <a:cs typeface="Arial"/>
            </a:rPr>
            <a:t>NHS Lothian </a:t>
          </a:r>
        </a:p>
        <a:p xmlns:a="http://schemas.openxmlformats.org/drawingml/2006/main">
          <a:pPr algn="l" rtl="0">
            <a:defRPr sz="1000"/>
          </a:pPr>
          <a:r>
            <a:rPr lang="en-GB" sz="900" b="1" i="0" u="none" strike="noStrike" baseline="0">
              <a:solidFill>
                <a:srgbClr val="000000"/>
              </a:solidFill>
              <a:latin typeface="Arial"/>
              <a:cs typeface="Arial"/>
            </a:rPr>
            <a:t>Inpatient Sites</a:t>
          </a:r>
        </a:p>
      </cdr:txBody>
    </cdr:sp>
  </cdr:relSizeAnchor>
  <cdr:relSizeAnchor xmlns:cdr="http://schemas.openxmlformats.org/drawingml/2006/chartDrawing">
    <cdr:from>
      <cdr:x>0.05921</cdr:x>
      <cdr:y>0.24868</cdr:y>
    </cdr:from>
    <cdr:to>
      <cdr:x>0.28246</cdr:x>
      <cdr:y>0.29695</cdr:y>
    </cdr:to>
    <cdr:sp macro="" textlink="">
      <cdr:nvSpPr>
        <cdr:cNvPr id="4" name="Text Box 2"/>
        <cdr:cNvSpPr txBox="1">
          <a:spLocks xmlns:a="http://schemas.openxmlformats.org/drawingml/2006/main" noChangeArrowheads="1"/>
        </cdr:cNvSpPr>
      </cdr:nvSpPr>
      <cdr:spPr bwMode="auto">
        <a:xfrm xmlns:a="http://schemas.openxmlformats.org/drawingml/2006/main">
          <a:off x="514349" y="933259"/>
          <a:ext cx="1939318" cy="18116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0" i="0" u="none" strike="noStrike" baseline="0">
              <a:solidFill>
                <a:srgbClr val="000000"/>
              </a:solidFill>
              <a:latin typeface="Arial"/>
              <a:cs typeface="Arial"/>
            </a:rPr>
            <a:t>Baseline Median (12 months) = 0.38</a:t>
          </a:r>
        </a:p>
      </cdr:txBody>
    </cdr:sp>
  </cdr:relSizeAnchor>
  <cdr:relSizeAnchor xmlns:cdr="http://schemas.openxmlformats.org/drawingml/2006/chartDrawing">
    <cdr:from>
      <cdr:x>0.39167</cdr:x>
      <cdr:y>0.68754</cdr:y>
    </cdr:from>
    <cdr:to>
      <cdr:x>0.57989</cdr:x>
      <cdr:y>0.77363</cdr:y>
    </cdr:to>
    <cdr:sp macro="" textlink="">
      <cdr:nvSpPr>
        <cdr:cNvPr id="5" name="Text Box 6"/>
        <cdr:cNvSpPr txBox="1">
          <a:spLocks xmlns:a="http://schemas.openxmlformats.org/drawingml/2006/main" noChangeArrowheads="1"/>
        </cdr:cNvSpPr>
      </cdr:nvSpPr>
      <cdr:spPr bwMode="auto">
        <a:xfrm xmlns:a="http://schemas.openxmlformats.org/drawingml/2006/main">
          <a:off x="3402356" y="2580227"/>
          <a:ext cx="1635030" cy="323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GB" sz="800" b="0" i="0" u="none" strike="noStrike" baseline="0">
              <a:solidFill>
                <a:srgbClr val="000000"/>
              </a:solidFill>
              <a:latin typeface="Arial"/>
              <a:cs typeface="Arial"/>
            </a:rPr>
            <a:t>From  Nov'12 median is now  0.27 </a:t>
          </a:r>
          <a:br>
            <a:rPr lang="en-GB" sz="800" b="0" i="0" u="none" strike="noStrike" baseline="0">
              <a:solidFill>
                <a:srgbClr val="000000"/>
              </a:solidFill>
              <a:latin typeface="Arial"/>
              <a:cs typeface="Arial"/>
            </a:rPr>
          </a:br>
          <a:r>
            <a:rPr lang="en-GB" sz="800" b="0" i="0" u="none" strike="noStrike" baseline="0">
              <a:solidFill>
                <a:srgbClr val="000000"/>
              </a:solidFill>
              <a:latin typeface="Arial"/>
              <a:cs typeface="Arial"/>
            </a:rPr>
            <a:t>(29% reduction from Baseline Median) </a:t>
          </a:r>
        </a:p>
      </cdr:txBody>
    </cdr:sp>
  </cdr:relSizeAnchor>
  <cdr:relSizeAnchor xmlns:cdr="http://schemas.openxmlformats.org/drawingml/2006/chartDrawing">
    <cdr:from>
      <cdr:x>0.56908</cdr:x>
      <cdr:y>0.72475</cdr:y>
    </cdr:from>
    <cdr:to>
      <cdr:x>0.80606</cdr:x>
      <cdr:y>0.80844</cdr:y>
    </cdr:to>
    <cdr:sp macro="" textlink="">
      <cdr:nvSpPr>
        <cdr:cNvPr id="6" name="TextBox 1"/>
        <cdr:cNvSpPr txBox="1"/>
      </cdr:nvSpPr>
      <cdr:spPr>
        <a:xfrm xmlns:a="http://schemas.openxmlformats.org/drawingml/2006/main">
          <a:off x="4943475" y="2719873"/>
          <a:ext cx="2058628" cy="3140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0">
              <a:latin typeface="Arial" pitchFamily="34" charset="0"/>
              <a:cs typeface="Arial" pitchFamily="34" charset="0"/>
            </a:rPr>
            <a:t>From  May '14</a:t>
          </a:r>
          <a:r>
            <a:rPr lang="en-GB" sz="800" b="0" baseline="0">
              <a:latin typeface="Arial" pitchFamily="34" charset="0"/>
              <a:cs typeface="Arial" pitchFamily="34" charset="0"/>
            </a:rPr>
            <a:t> </a:t>
          </a:r>
          <a:r>
            <a:rPr lang="en-GB" sz="800" b="0">
              <a:latin typeface="Arial" pitchFamily="34" charset="0"/>
              <a:cs typeface="Arial" pitchFamily="34" charset="0"/>
            </a:rPr>
            <a:t>median is now 0.18 </a:t>
          </a:r>
          <a:br>
            <a:rPr lang="en-GB" sz="800" b="0">
              <a:latin typeface="Arial" pitchFamily="34" charset="0"/>
              <a:cs typeface="Arial" pitchFamily="34" charset="0"/>
            </a:rPr>
          </a:br>
          <a:r>
            <a:rPr lang="en-GB" sz="800" b="0">
              <a:latin typeface="Arial" pitchFamily="34" charset="0"/>
              <a:cs typeface="Arial" pitchFamily="34" charset="0"/>
            </a:rPr>
            <a:t>(53% reduction</a:t>
          </a:r>
          <a:r>
            <a:rPr lang="en-GB" sz="800" b="0" baseline="0">
              <a:latin typeface="Arial" pitchFamily="34" charset="0"/>
              <a:cs typeface="Arial" pitchFamily="34" charset="0"/>
            </a:rPr>
            <a:t> from Baseline Median)</a:t>
          </a:r>
        </a:p>
        <a:p xmlns:a="http://schemas.openxmlformats.org/drawingml/2006/main">
          <a:endParaRPr lang="en-GB" sz="1100"/>
        </a:p>
      </cdr:txBody>
    </cdr:sp>
  </cdr:relSizeAnchor>
  <cdr:relSizeAnchor xmlns:cdr="http://schemas.openxmlformats.org/drawingml/2006/chartDrawing">
    <cdr:from>
      <cdr:x>0.37565</cdr:x>
      <cdr:y>0.2632</cdr:y>
    </cdr:from>
    <cdr:to>
      <cdr:x>0.60529</cdr:x>
      <cdr:y>0.30423</cdr:y>
    </cdr:to>
    <cdr:sp macro="" textlink="">
      <cdr:nvSpPr>
        <cdr:cNvPr id="7" name="Text Box 4"/>
        <cdr:cNvSpPr txBox="1">
          <a:spLocks xmlns:a="http://schemas.openxmlformats.org/drawingml/2006/main" noChangeArrowheads="1"/>
        </cdr:cNvSpPr>
      </cdr:nvSpPr>
      <cdr:spPr bwMode="auto">
        <a:xfrm xmlns:a="http://schemas.openxmlformats.org/drawingml/2006/main">
          <a:off x="3245326" y="947627"/>
          <a:ext cx="1983899" cy="14774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27432"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0" i="0" u="none" strike="noStrike" baseline="0">
              <a:solidFill>
                <a:srgbClr val="FF0000"/>
              </a:solidFill>
              <a:latin typeface="Arial"/>
              <a:cs typeface="Arial"/>
            </a:rPr>
            <a:t>Target Median - 0.31 (20% reduction)</a:t>
          </a:r>
        </a:p>
      </cdr:txBody>
    </cdr:sp>
  </cdr:relSizeAnchor>
  <cdr:relSizeAnchor xmlns:cdr="http://schemas.openxmlformats.org/drawingml/2006/chartDrawing">
    <cdr:from>
      <cdr:x>0.79057</cdr:x>
      <cdr:y>0.30457</cdr:y>
    </cdr:from>
    <cdr:to>
      <cdr:x>0.98575</cdr:x>
      <cdr:y>0.45685</cdr:y>
    </cdr:to>
    <cdr:sp macro="" textlink="">
      <cdr:nvSpPr>
        <cdr:cNvPr id="8" name="TextBox 1"/>
        <cdr:cNvSpPr txBox="1"/>
      </cdr:nvSpPr>
      <cdr:spPr>
        <a:xfrm xmlns:a="http://schemas.openxmlformats.org/drawingml/2006/main">
          <a:off x="6867524" y="1143000"/>
          <a:ext cx="1695450" cy="5714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effectLst/>
              <a:latin typeface="Arial" panose="020B0604020202020204" pitchFamily="34" charset="0"/>
              <a:ea typeface="+mn-ea"/>
              <a:cs typeface="Arial" panose="020B0604020202020204" pitchFamily="34" charset="0"/>
            </a:rPr>
            <a:t>From Dec '16, 9 points above median</a:t>
          </a:r>
          <a:r>
            <a:rPr lang="en-GB" sz="800" baseline="0">
              <a:effectLst/>
              <a:latin typeface="Arial" panose="020B0604020202020204" pitchFamily="34" charset="0"/>
              <a:ea typeface="+mn-ea"/>
              <a:cs typeface="Arial" panose="020B0604020202020204" pitchFamily="34" charset="0"/>
            </a:rPr>
            <a:t> (temporary median = 0.26  which is 32% reduction from baseline.)</a:t>
          </a:r>
          <a:endParaRPr lang="en-GB" sz="800">
            <a:effectLst/>
            <a:latin typeface="Arial" panose="020B0604020202020204" pitchFamily="34" charset="0"/>
            <a:cs typeface="Arial" panose="020B0604020202020204" pitchFamily="34" charset="0"/>
          </a:endParaRPr>
        </a:p>
        <a:p xmlns:a="http://schemas.openxmlformats.org/drawingml/2006/main">
          <a:endParaRPr lang="en-GB" sz="1100"/>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9524</xdr:colOff>
      <xdr:row>84</xdr:row>
      <xdr:rowOff>19050</xdr:rowOff>
    </xdr:from>
    <xdr:to>
      <xdr:col>12</xdr:col>
      <xdr:colOff>496124</xdr:colOff>
      <xdr:row>106</xdr:row>
      <xdr:rowOff>57150</xdr:rowOff>
    </xdr:to>
    <xdr:graphicFrame macro="">
      <xdr:nvGraphicFramePr>
        <xdr:cNvPr id="531666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0.44972</cdr:x>
      <cdr:y>0.06401</cdr:y>
    </cdr:from>
    <cdr:to>
      <cdr:x>0.44972</cdr:x>
      <cdr:y>0.77354</cdr:y>
    </cdr:to>
    <cdr:sp macro="" textlink="">
      <cdr:nvSpPr>
        <cdr:cNvPr id="23" name="Straight Connector 22"/>
        <cdr:cNvSpPr/>
      </cdr:nvSpPr>
      <cdr:spPr bwMode="auto">
        <a:xfrm xmlns:a="http://schemas.openxmlformats.org/drawingml/2006/main" flipH="1" flipV="1">
          <a:off x="3696712" y="230465"/>
          <a:ext cx="0" cy="2554627"/>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bg1">
              <a:lumMod val="50000"/>
            </a:schemeClr>
          </a:solidFill>
          <a:prstDash val="dash"/>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n-GB"/>
        </a:p>
      </cdr:txBody>
    </cdr:sp>
  </cdr:relSizeAnchor>
  <cdr:relSizeAnchor xmlns:cdr="http://schemas.openxmlformats.org/drawingml/2006/chartDrawing">
    <cdr:from>
      <cdr:x>0.46412</cdr:x>
      <cdr:y>0</cdr:y>
    </cdr:from>
    <cdr:to>
      <cdr:x>0.67439</cdr:x>
      <cdr:y>0.0582</cdr:y>
    </cdr:to>
    <cdr:sp macro="" textlink="">
      <cdr:nvSpPr>
        <cdr:cNvPr id="24" name="TextBox 1"/>
        <cdr:cNvSpPr txBox="1"/>
      </cdr:nvSpPr>
      <cdr:spPr>
        <a:xfrm xmlns:a="http://schemas.openxmlformats.org/drawingml/2006/main">
          <a:off x="3815101" y="0"/>
          <a:ext cx="1728449"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800">
              <a:latin typeface="Arial" pitchFamily="34" charset="0"/>
              <a:cs typeface="Arial" pitchFamily="34" charset="0"/>
            </a:rPr>
            <a:t>Introduction </a:t>
          </a:r>
          <a:r>
            <a:rPr lang="en-GB" sz="800" baseline="0">
              <a:latin typeface="Arial" pitchFamily="34" charset="0"/>
              <a:cs typeface="Arial" pitchFamily="34" charset="0"/>
            </a:rPr>
            <a:t>of new Abx policy</a:t>
          </a:r>
          <a:endParaRPr lang="en-GB" sz="8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31</xdr:row>
      <xdr:rowOff>19050</xdr:rowOff>
    </xdr:from>
    <xdr:to>
      <xdr:col>12</xdr:col>
      <xdr:colOff>333375</xdr:colOff>
      <xdr:row>53</xdr:row>
      <xdr:rowOff>57150</xdr:rowOff>
    </xdr:to>
    <xdr:graphicFrame macro="">
      <xdr:nvGraphicFramePr>
        <xdr:cNvPr id="613715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31</xdr:row>
      <xdr:rowOff>9525</xdr:rowOff>
    </xdr:from>
    <xdr:to>
      <xdr:col>27</xdr:col>
      <xdr:colOff>142875</xdr:colOff>
      <xdr:row>53</xdr:row>
      <xdr:rowOff>47625</xdr:rowOff>
    </xdr:to>
    <xdr:graphicFrame macro="">
      <xdr:nvGraphicFramePr>
        <xdr:cNvPr id="613715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56</xdr:row>
      <xdr:rowOff>19050</xdr:rowOff>
    </xdr:from>
    <xdr:to>
      <xdr:col>12</xdr:col>
      <xdr:colOff>333375</xdr:colOff>
      <xdr:row>78</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9524</xdr:colOff>
      <xdr:row>84</xdr:row>
      <xdr:rowOff>19050</xdr:rowOff>
    </xdr:from>
    <xdr:to>
      <xdr:col>12</xdr:col>
      <xdr:colOff>238949</xdr:colOff>
      <xdr:row>106</xdr:row>
      <xdr:rowOff>57150</xdr:rowOff>
    </xdr:to>
    <xdr:graphicFrame macro="">
      <xdr:nvGraphicFramePr>
        <xdr:cNvPr id="652862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0.59929</cdr:x>
      <cdr:y>0.25098</cdr:y>
    </cdr:from>
    <cdr:to>
      <cdr:x>0.65774</cdr:x>
      <cdr:y>0.7028</cdr:y>
    </cdr:to>
    <cdr:sp macro="" textlink="">
      <cdr:nvSpPr>
        <cdr:cNvPr id="2" name="Oval 1"/>
        <cdr:cNvSpPr/>
      </cdr:nvSpPr>
      <cdr:spPr bwMode="auto">
        <a:xfrm xmlns:a="http://schemas.openxmlformats.org/drawingml/2006/main" rot="18101709">
          <a:off x="4617023" y="1464510"/>
          <a:ext cx="1626733" cy="505028"/>
        </a:xfrm>
        <a:prstGeom xmlns:a="http://schemas.openxmlformats.org/drawingml/2006/main" prst="ellipse">
          <a:avLst/>
        </a:prstGeom>
        <a:solidFill xmlns:a="http://schemas.openxmlformats.org/drawingml/2006/main">
          <a:srgbClr val="FFFFFF">
            <a:alpha val="0"/>
          </a:srgbClr>
        </a:solidFill>
        <a:ln xmlns:a="http://schemas.openxmlformats.org/drawingml/2006/main" w="9525" cap="flat" cmpd="sng" algn="ctr">
          <a:solidFill>
            <a:schemeClr val="bg1">
              <a:lumMod val="65000"/>
            </a:schemeClr>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rtlCol="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GB"/>
        </a:p>
      </cdr:txBody>
    </cdr:sp>
  </cdr:relSizeAnchor>
</c:userShapes>
</file>

<file path=xl/drawings/drawing32.xml><?xml version="1.0" encoding="utf-8"?>
<xdr:wsDr xmlns:xdr="http://schemas.openxmlformats.org/drawingml/2006/spreadsheetDrawing" xmlns:a="http://schemas.openxmlformats.org/drawingml/2006/main">
  <xdr:twoCellAnchor>
    <xdr:from>
      <xdr:col>12</xdr:col>
      <xdr:colOff>9525</xdr:colOff>
      <xdr:row>36</xdr:row>
      <xdr:rowOff>19050</xdr:rowOff>
    </xdr:from>
    <xdr:to>
      <xdr:col>26</xdr:col>
      <xdr:colOff>114300</xdr:colOff>
      <xdr:row>58</xdr:row>
      <xdr:rowOff>57150</xdr:rowOff>
    </xdr:to>
    <xdr:graphicFrame macro="">
      <xdr:nvGraphicFramePr>
        <xdr:cNvPr id="355982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36</xdr:row>
      <xdr:rowOff>19050</xdr:rowOff>
    </xdr:from>
    <xdr:to>
      <xdr:col>11</xdr:col>
      <xdr:colOff>171450</xdr:colOff>
      <xdr:row>58</xdr:row>
      <xdr:rowOff>57150</xdr:rowOff>
    </xdr:to>
    <xdr:graphicFrame macro="">
      <xdr:nvGraphicFramePr>
        <xdr:cNvPr id="355982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61</xdr:row>
      <xdr:rowOff>28575</xdr:rowOff>
    </xdr:from>
    <xdr:to>
      <xdr:col>11</xdr:col>
      <xdr:colOff>161925</xdr:colOff>
      <xdr:row>83</xdr:row>
      <xdr:rowOff>66675</xdr:rowOff>
    </xdr:to>
    <xdr:graphicFrame macro="">
      <xdr:nvGraphicFramePr>
        <xdr:cNvPr id="355982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16</xdr:row>
      <xdr:rowOff>28575</xdr:rowOff>
    </xdr:from>
    <xdr:to>
      <xdr:col>12</xdr:col>
      <xdr:colOff>28575</xdr:colOff>
      <xdr:row>38</xdr:row>
      <xdr:rowOff>66675</xdr:rowOff>
    </xdr:to>
    <xdr:graphicFrame macro="">
      <xdr:nvGraphicFramePr>
        <xdr:cNvPr id="1900702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600075</xdr:colOff>
      <xdr:row>35</xdr:row>
      <xdr:rowOff>28575</xdr:rowOff>
    </xdr:from>
    <xdr:to>
      <xdr:col>26</xdr:col>
      <xdr:colOff>95250</xdr:colOff>
      <xdr:row>57</xdr:row>
      <xdr:rowOff>66675</xdr:rowOff>
    </xdr:to>
    <xdr:graphicFrame macro="">
      <xdr:nvGraphicFramePr>
        <xdr:cNvPr id="609414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35</xdr:row>
      <xdr:rowOff>47625</xdr:rowOff>
    </xdr:from>
    <xdr:to>
      <xdr:col>10</xdr:col>
      <xdr:colOff>600075</xdr:colOff>
      <xdr:row>57</xdr:row>
      <xdr:rowOff>85725</xdr:rowOff>
    </xdr:to>
    <xdr:graphicFrame macro="">
      <xdr:nvGraphicFramePr>
        <xdr:cNvPr id="609414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60</xdr:row>
      <xdr:rowOff>28575</xdr:rowOff>
    </xdr:from>
    <xdr:to>
      <xdr:col>11</xdr:col>
      <xdr:colOff>28575</xdr:colOff>
      <xdr:row>82</xdr:row>
      <xdr:rowOff>66675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0</xdr:colOff>
      <xdr:row>12</xdr:row>
      <xdr:rowOff>28575</xdr:rowOff>
    </xdr:from>
    <xdr:to>
      <xdr:col>18</xdr:col>
      <xdr:colOff>104775</xdr:colOff>
      <xdr:row>34</xdr:row>
      <xdr:rowOff>66675</xdr:rowOff>
    </xdr:to>
    <xdr:graphicFrame macro="">
      <xdr:nvGraphicFramePr>
        <xdr:cNvPr id="456020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19050</xdr:colOff>
      <xdr:row>43</xdr:row>
      <xdr:rowOff>57150</xdr:rowOff>
    </xdr:from>
    <xdr:to>
      <xdr:col>11</xdr:col>
      <xdr:colOff>391350</xdr:colOff>
      <xdr:row>65</xdr:row>
      <xdr:rowOff>94800</xdr:rowOff>
    </xdr:to>
    <xdr:graphicFrame macro="">
      <xdr:nvGraphicFramePr>
        <xdr:cNvPr id="449469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78</xdr:row>
      <xdr:rowOff>47625</xdr:rowOff>
    </xdr:from>
    <xdr:to>
      <xdr:col>11</xdr:col>
      <xdr:colOff>391350</xdr:colOff>
      <xdr:row>100</xdr:row>
      <xdr:rowOff>85275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128</xdr:row>
      <xdr:rowOff>28575</xdr:rowOff>
    </xdr:from>
    <xdr:to>
      <xdr:col>11</xdr:col>
      <xdr:colOff>381825</xdr:colOff>
      <xdr:row>150</xdr:row>
      <xdr:rowOff>66225</xdr:rowOff>
    </xdr:to>
    <xdr:graphicFrame macro="">
      <xdr:nvGraphicFramePr>
        <xdr:cNvPr id="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9524</xdr:colOff>
      <xdr:row>103</xdr:row>
      <xdr:rowOff>28575</xdr:rowOff>
    </xdr:from>
    <xdr:to>
      <xdr:col>26</xdr:col>
      <xdr:colOff>115124</xdr:colOff>
      <xdr:row>125</xdr:row>
      <xdr:rowOff>66225</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103</xdr:row>
      <xdr:rowOff>28575</xdr:rowOff>
    </xdr:from>
    <xdr:to>
      <xdr:col>11</xdr:col>
      <xdr:colOff>400875</xdr:colOff>
      <xdr:row>125</xdr:row>
      <xdr:rowOff>66225</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19050</xdr:colOff>
      <xdr:row>78</xdr:row>
      <xdr:rowOff>28575</xdr:rowOff>
    </xdr:from>
    <xdr:to>
      <xdr:col>26</xdr:col>
      <xdr:colOff>124650</xdr:colOff>
      <xdr:row>100</xdr:row>
      <xdr:rowOff>66225</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0</xdr:colOff>
      <xdr:row>43</xdr:row>
      <xdr:rowOff>0</xdr:rowOff>
    </xdr:from>
    <xdr:to>
      <xdr:col>43</xdr:col>
      <xdr:colOff>105600</xdr:colOff>
      <xdr:row>65</xdr:row>
      <xdr:rowOff>37650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9525</xdr:colOff>
      <xdr:row>43</xdr:row>
      <xdr:rowOff>28575</xdr:rowOff>
    </xdr:from>
    <xdr:to>
      <xdr:col>57</xdr:col>
      <xdr:colOff>66675</xdr:colOff>
      <xdr:row>66</xdr:row>
      <xdr:rowOff>0</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0.45248</cdr:x>
      <cdr:y>0.68377</cdr:y>
    </cdr:from>
    <cdr:to>
      <cdr:x>0.65559</cdr:x>
      <cdr:y>0.82372</cdr:y>
    </cdr:to>
    <cdr:sp macro="" textlink="">
      <cdr:nvSpPr>
        <cdr:cNvPr id="2" name="Oval 1"/>
        <cdr:cNvSpPr/>
      </cdr:nvSpPr>
      <cdr:spPr>
        <a:xfrm xmlns:a="http://schemas.openxmlformats.org/drawingml/2006/main" rot="21218499">
          <a:off x="3909463" y="2461564"/>
          <a:ext cx="1754856" cy="503820"/>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0.5721</cdr:x>
      <cdr:y>0.21646</cdr:y>
    </cdr:from>
    <cdr:to>
      <cdr:x>1</cdr:x>
      <cdr:y>0.45304</cdr:y>
    </cdr:to>
    <cdr:sp macro="" textlink="">
      <cdr:nvSpPr>
        <cdr:cNvPr id="7" name="Oval 6"/>
        <cdr:cNvSpPr/>
      </cdr:nvSpPr>
      <cdr:spPr>
        <a:xfrm xmlns:a="http://schemas.openxmlformats.org/drawingml/2006/main" rot="19758211">
          <a:off x="5001514" y="779262"/>
          <a:ext cx="3697094" cy="851688"/>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38.xml><?xml version="1.0" encoding="utf-8"?>
<c:userShapes xmlns:c="http://schemas.openxmlformats.org/drawingml/2006/chart">
  <cdr:relSizeAnchor xmlns:cdr="http://schemas.openxmlformats.org/drawingml/2006/chartDrawing">
    <cdr:from>
      <cdr:x>0.65987</cdr:x>
      <cdr:y>0.04942</cdr:y>
    </cdr:from>
    <cdr:to>
      <cdr:x>0.99678</cdr:x>
      <cdr:y>0.3445</cdr:y>
    </cdr:to>
    <cdr:sp macro="" textlink="">
      <cdr:nvSpPr>
        <cdr:cNvPr id="2" name="Oval 1"/>
        <cdr:cNvSpPr/>
      </cdr:nvSpPr>
      <cdr:spPr>
        <a:xfrm xmlns:a="http://schemas.openxmlformats.org/drawingml/2006/main" rot="20321583">
          <a:off x="5267042" y="182648"/>
          <a:ext cx="2689245" cy="1090530"/>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0.03866</cdr:x>
      <cdr:y>0.40342</cdr:y>
    </cdr:from>
    <cdr:to>
      <cdr:x>0.48438</cdr:x>
      <cdr:y>0.70927</cdr:y>
    </cdr:to>
    <cdr:sp macro="" textlink="">
      <cdr:nvSpPr>
        <cdr:cNvPr id="3" name="Oval 2"/>
        <cdr:cNvSpPr/>
      </cdr:nvSpPr>
      <cdr:spPr>
        <a:xfrm xmlns:a="http://schemas.openxmlformats.org/drawingml/2006/main" rot="20664480">
          <a:off x="308556" y="1490932"/>
          <a:ext cx="3557715" cy="1130330"/>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0.11329</cdr:x>
      <cdr:y>0.47888</cdr:y>
    </cdr:from>
    <cdr:to>
      <cdr:x>0.40843</cdr:x>
      <cdr:y>0.62321</cdr:y>
    </cdr:to>
    <cdr:sp macro="" textlink="">
      <cdr:nvSpPr>
        <cdr:cNvPr id="4" name="Oval 3"/>
        <cdr:cNvSpPr/>
      </cdr:nvSpPr>
      <cdr:spPr>
        <a:xfrm xmlns:a="http://schemas.openxmlformats.org/drawingml/2006/main" rot="20514637">
          <a:off x="904275" y="1769799"/>
          <a:ext cx="2355793" cy="533401"/>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0.39959</cdr:x>
      <cdr:y>0.27277</cdr:y>
    </cdr:from>
    <cdr:to>
      <cdr:x>0.77883</cdr:x>
      <cdr:y>0.41452</cdr:y>
    </cdr:to>
    <cdr:sp macro="" textlink="">
      <cdr:nvSpPr>
        <cdr:cNvPr id="5" name="Oval 4"/>
        <cdr:cNvSpPr/>
      </cdr:nvSpPr>
      <cdr:spPr>
        <a:xfrm xmlns:a="http://schemas.openxmlformats.org/drawingml/2006/main" rot="20251727">
          <a:off x="3189507" y="1008062"/>
          <a:ext cx="3027074" cy="523865"/>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9525</xdr:colOff>
      <xdr:row>63</xdr:row>
      <xdr:rowOff>0</xdr:rowOff>
    </xdr:from>
    <xdr:to>
      <xdr:col>12</xdr:col>
      <xdr:colOff>28575</xdr:colOff>
      <xdr:row>85</xdr:row>
      <xdr:rowOff>38100</xdr:rowOff>
    </xdr:to>
    <xdr:graphicFrame macro="">
      <xdr:nvGraphicFramePr>
        <xdr:cNvPr id="4818503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87</xdr:row>
      <xdr:rowOff>9525</xdr:rowOff>
    </xdr:from>
    <xdr:to>
      <xdr:col>12</xdr:col>
      <xdr:colOff>38100</xdr:colOff>
      <xdr:row>109</xdr:row>
      <xdr:rowOff>47625</xdr:rowOff>
    </xdr:to>
    <xdr:graphicFrame macro="">
      <xdr:nvGraphicFramePr>
        <xdr:cNvPr id="4818503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9525</xdr:colOff>
      <xdr:row>87</xdr:row>
      <xdr:rowOff>9525</xdr:rowOff>
    </xdr:from>
    <xdr:to>
      <xdr:col>27</xdr:col>
      <xdr:colOff>114300</xdr:colOff>
      <xdr:row>109</xdr:row>
      <xdr:rowOff>47625</xdr:rowOff>
    </xdr:to>
    <xdr:graphicFrame macro="">
      <xdr:nvGraphicFramePr>
        <xdr:cNvPr id="4818503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1</xdr:colOff>
      <xdr:row>187</xdr:row>
      <xdr:rowOff>0</xdr:rowOff>
    </xdr:from>
    <xdr:to>
      <xdr:col>26</xdr:col>
      <xdr:colOff>0</xdr:colOff>
      <xdr:row>213</xdr:row>
      <xdr:rowOff>109950</xdr:rowOff>
    </xdr:to>
    <xdr:pic>
      <xdr:nvPicPr>
        <xdr:cNvPr id="10" name="Picture 9"/>
        <xdr:cNvPicPr>
          <a:picLocks noChangeAspect="1"/>
        </xdr:cNvPicPr>
      </xdr:nvPicPr>
      <xdr:blipFill>
        <a:blip xmlns:r="http://schemas.openxmlformats.org/officeDocument/2006/relationships" r:embed="rId4"/>
        <a:stretch>
          <a:fillRect/>
        </a:stretch>
      </xdr:blipFill>
      <xdr:spPr>
        <a:xfrm>
          <a:off x="8896351" y="31832550"/>
          <a:ext cx="7924799" cy="4320000"/>
        </a:xfrm>
        <a:prstGeom prst="rect">
          <a:avLst/>
        </a:prstGeom>
      </xdr:spPr>
    </xdr:pic>
    <xdr:clientData/>
  </xdr:twoCellAnchor>
  <xdr:twoCellAnchor editAs="oneCell">
    <xdr:from>
      <xdr:col>0</xdr:col>
      <xdr:colOff>0</xdr:colOff>
      <xdr:row>112</xdr:row>
      <xdr:rowOff>0</xdr:rowOff>
    </xdr:from>
    <xdr:to>
      <xdr:col>12</xdr:col>
      <xdr:colOff>352425</xdr:colOff>
      <xdr:row>134</xdr:row>
      <xdr:rowOff>37650</xdr:rowOff>
    </xdr:to>
    <xdr:pic>
      <xdr:nvPicPr>
        <xdr:cNvPr id="9" name="Picture 8"/>
        <xdr:cNvPicPr>
          <a:picLocks noChangeAspect="1"/>
        </xdr:cNvPicPr>
      </xdr:nvPicPr>
      <xdr:blipFill>
        <a:blip xmlns:r="http://schemas.openxmlformats.org/officeDocument/2006/relationships" r:embed="rId5"/>
        <a:stretch>
          <a:fillRect/>
        </a:stretch>
      </xdr:blipFill>
      <xdr:spPr>
        <a:xfrm>
          <a:off x="0" y="19650075"/>
          <a:ext cx="8639175" cy="3600000"/>
        </a:xfrm>
        <a:prstGeom prst="rect">
          <a:avLst/>
        </a:prstGeom>
      </xdr:spPr>
    </xdr:pic>
    <xdr:clientData/>
  </xdr:twoCellAnchor>
  <xdr:twoCellAnchor editAs="oneCell">
    <xdr:from>
      <xdr:col>13</xdr:col>
      <xdr:colOff>2</xdr:colOff>
      <xdr:row>112</xdr:row>
      <xdr:rowOff>1</xdr:rowOff>
    </xdr:from>
    <xdr:to>
      <xdr:col>27</xdr:col>
      <xdr:colOff>104776</xdr:colOff>
      <xdr:row>134</xdr:row>
      <xdr:rowOff>37651</xdr:rowOff>
    </xdr:to>
    <xdr:pic>
      <xdr:nvPicPr>
        <xdr:cNvPr id="11" name="Picture 10"/>
        <xdr:cNvPicPr>
          <a:picLocks noChangeAspect="1"/>
        </xdr:cNvPicPr>
      </xdr:nvPicPr>
      <xdr:blipFill>
        <a:blip xmlns:r="http://schemas.openxmlformats.org/officeDocument/2006/relationships" r:embed="rId6"/>
        <a:stretch>
          <a:fillRect/>
        </a:stretch>
      </xdr:blipFill>
      <xdr:spPr>
        <a:xfrm>
          <a:off x="8896352" y="19650076"/>
          <a:ext cx="8639174" cy="3600000"/>
        </a:xfrm>
        <a:prstGeom prst="rect">
          <a:avLst/>
        </a:prstGeom>
      </xdr:spPr>
    </xdr:pic>
    <xdr:clientData/>
  </xdr:twoCellAnchor>
  <xdr:twoCellAnchor editAs="oneCell">
    <xdr:from>
      <xdr:col>0</xdr:col>
      <xdr:colOff>2</xdr:colOff>
      <xdr:row>137</xdr:row>
      <xdr:rowOff>0</xdr:rowOff>
    </xdr:from>
    <xdr:to>
      <xdr:col>12</xdr:col>
      <xdr:colOff>352426</xdr:colOff>
      <xdr:row>159</xdr:row>
      <xdr:rowOff>37650</xdr:rowOff>
    </xdr:to>
    <xdr:pic>
      <xdr:nvPicPr>
        <xdr:cNvPr id="12" name="Picture 11"/>
        <xdr:cNvPicPr>
          <a:picLocks noChangeAspect="1"/>
        </xdr:cNvPicPr>
      </xdr:nvPicPr>
      <xdr:blipFill>
        <a:blip xmlns:r="http://schemas.openxmlformats.org/officeDocument/2006/relationships" r:embed="rId7"/>
        <a:stretch>
          <a:fillRect/>
        </a:stretch>
      </xdr:blipFill>
      <xdr:spPr>
        <a:xfrm>
          <a:off x="2" y="23717250"/>
          <a:ext cx="8639174" cy="3600000"/>
        </a:xfrm>
        <a:prstGeom prst="rect">
          <a:avLst/>
        </a:prstGeom>
      </xdr:spPr>
    </xdr:pic>
    <xdr:clientData/>
  </xdr:twoCellAnchor>
  <xdr:twoCellAnchor editAs="oneCell">
    <xdr:from>
      <xdr:col>12</xdr:col>
      <xdr:colOff>609599</xdr:colOff>
      <xdr:row>137</xdr:row>
      <xdr:rowOff>0</xdr:rowOff>
    </xdr:from>
    <xdr:to>
      <xdr:col>27</xdr:col>
      <xdr:colOff>104774</xdr:colOff>
      <xdr:row>159</xdr:row>
      <xdr:rowOff>37650</xdr:rowOff>
    </xdr:to>
    <xdr:pic>
      <xdr:nvPicPr>
        <xdr:cNvPr id="13" name="Picture 12"/>
        <xdr:cNvPicPr>
          <a:picLocks noChangeAspect="1"/>
        </xdr:cNvPicPr>
      </xdr:nvPicPr>
      <xdr:blipFill>
        <a:blip xmlns:r="http://schemas.openxmlformats.org/officeDocument/2006/relationships" r:embed="rId8"/>
        <a:stretch>
          <a:fillRect/>
        </a:stretch>
      </xdr:blipFill>
      <xdr:spPr>
        <a:xfrm>
          <a:off x="8896349" y="23717250"/>
          <a:ext cx="8639175" cy="3600000"/>
        </a:xfrm>
        <a:prstGeom prst="rect">
          <a:avLst/>
        </a:prstGeom>
      </xdr:spPr>
    </xdr:pic>
    <xdr:clientData/>
  </xdr:twoCellAnchor>
  <xdr:twoCellAnchor editAs="oneCell">
    <xdr:from>
      <xdr:col>0</xdr:col>
      <xdr:colOff>0</xdr:colOff>
      <xdr:row>162</xdr:row>
      <xdr:rowOff>0</xdr:rowOff>
    </xdr:from>
    <xdr:to>
      <xdr:col>12</xdr:col>
      <xdr:colOff>352424</xdr:colOff>
      <xdr:row>184</xdr:row>
      <xdr:rowOff>37650</xdr:rowOff>
    </xdr:to>
    <xdr:pic>
      <xdr:nvPicPr>
        <xdr:cNvPr id="14" name="Picture 13"/>
        <xdr:cNvPicPr>
          <a:picLocks noChangeAspect="1"/>
        </xdr:cNvPicPr>
      </xdr:nvPicPr>
      <xdr:blipFill>
        <a:blip xmlns:r="http://schemas.openxmlformats.org/officeDocument/2006/relationships" r:embed="rId9"/>
        <a:stretch>
          <a:fillRect/>
        </a:stretch>
      </xdr:blipFill>
      <xdr:spPr>
        <a:xfrm>
          <a:off x="0" y="27784425"/>
          <a:ext cx="8639174" cy="3600000"/>
        </a:xfrm>
        <a:prstGeom prst="rect">
          <a:avLst/>
        </a:prstGeom>
      </xdr:spPr>
    </xdr:pic>
    <xdr:clientData/>
  </xdr:twoCellAnchor>
  <xdr:twoCellAnchor editAs="oneCell">
    <xdr:from>
      <xdr:col>13</xdr:col>
      <xdr:colOff>0</xdr:colOff>
      <xdr:row>162</xdr:row>
      <xdr:rowOff>0</xdr:rowOff>
    </xdr:from>
    <xdr:to>
      <xdr:col>27</xdr:col>
      <xdr:colOff>104775</xdr:colOff>
      <xdr:row>184</xdr:row>
      <xdr:rowOff>37650</xdr:rowOff>
    </xdr:to>
    <xdr:pic>
      <xdr:nvPicPr>
        <xdr:cNvPr id="15" name="Picture 14"/>
        <xdr:cNvPicPr>
          <a:picLocks noChangeAspect="1"/>
        </xdr:cNvPicPr>
      </xdr:nvPicPr>
      <xdr:blipFill>
        <a:blip xmlns:r="http://schemas.openxmlformats.org/officeDocument/2006/relationships" r:embed="rId10"/>
        <a:stretch>
          <a:fillRect/>
        </a:stretch>
      </xdr:blipFill>
      <xdr:spPr>
        <a:xfrm>
          <a:off x="8896350" y="27784425"/>
          <a:ext cx="8639175" cy="3600000"/>
        </a:xfrm>
        <a:prstGeom prst="rect">
          <a:avLst/>
        </a:prstGeom>
      </xdr:spPr>
    </xdr:pic>
    <xdr:clientData/>
  </xdr:twoCellAnchor>
  <xdr:twoCellAnchor editAs="oneCell">
    <xdr:from>
      <xdr:col>0</xdr:col>
      <xdr:colOff>1</xdr:colOff>
      <xdr:row>187</xdr:row>
      <xdr:rowOff>0</xdr:rowOff>
    </xdr:from>
    <xdr:to>
      <xdr:col>12</xdr:col>
      <xdr:colOff>352425</xdr:colOff>
      <xdr:row>209</xdr:row>
      <xdr:rowOff>37650</xdr:rowOff>
    </xdr:to>
    <xdr:pic>
      <xdr:nvPicPr>
        <xdr:cNvPr id="16" name="Picture 15"/>
        <xdr:cNvPicPr>
          <a:picLocks noChangeAspect="1"/>
        </xdr:cNvPicPr>
      </xdr:nvPicPr>
      <xdr:blipFill>
        <a:blip xmlns:r="http://schemas.openxmlformats.org/officeDocument/2006/relationships" r:embed="rId11"/>
        <a:stretch>
          <a:fillRect/>
        </a:stretch>
      </xdr:blipFill>
      <xdr:spPr>
        <a:xfrm>
          <a:off x="1" y="31832550"/>
          <a:ext cx="8639174" cy="3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16</xdr:row>
      <xdr:rowOff>95250</xdr:rowOff>
    </xdr:from>
    <xdr:to>
      <xdr:col>12</xdr:col>
      <xdr:colOff>542925</xdr:colOff>
      <xdr:row>38</xdr:row>
      <xdr:rowOff>133350</xdr:rowOff>
    </xdr:to>
    <xdr:graphicFrame macro="">
      <xdr:nvGraphicFramePr>
        <xdr:cNvPr id="4554881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16</xdr:row>
      <xdr:rowOff>38100</xdr:rowOff>
    </xdr:from>
    <xdr:to>
      <xdr:col>11</xdr:col>
      <xdr:colOff>419100</xdr:colOff>
      <xdr:row>38</xdr:row>
      <xdr:rowOff>76200</xdr:rowOff>
    </xdr:to>
    <xdr:graphicFrame macro="">
      <xdr:nvGraphicFramePr>
        <xdr:cNvPr id="4552833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85725</xdr:colOff>
      <xdr:row>13</xdr:row>
      <xdr:rowOff>28575</xdr:rowOff>
    </xdr:from>
    <xdr:to>
      <xdr:col>13</xdr:col>
      <xdr:colOff>85725</xdr:colOff>
      <xdr:row>35</xdr:row>
      <xdr:rowOff>66675</xdr:rowOff>
    </xdr:to>
    <xdr:graphicFrame macro="">
      <xdr:nvGraphicFramePr>
        <xdr:cNvPr id="6622826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28575</xdr:colOff>
      <xdr:row>25</xdr:row>
      <xdr:rowOff>28575</xdr:rowOff>
    </xdr:from>
    <xdr:to>
      <xdr:col>9</xdr:col>
      <xdr:colOff>152400</xdr:colOff>
      <xdr:row>47</xdr:row>
      <xdr:rowOff>66675</xdr:rowOff>
    </xdr:to>
    <xdr:graphicFrame macro="">
      <xdr:nvGraphicFramePr>
        <xdr:cNvPr id="648081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25</xdr:row>
      <xdr:rowOff>28575</xdr:rowOff>
    </xdr:from>
    <xdr:to>
      <xdr:col>21</xdr:col>
      <xdr:colOff>153225</xdr:colOff>
      <xdr:row>47</xdr:row>
      <xdr:rowOff>66675</xdr:rowOff>
    </xdr:to>
    <xdr:graphicFrame macro="">
      <xdr:nvGraphicFramePr>
        <xdr:cNvPr id="648081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50</xdr:row>
      <xdr:rowOff>47625</xdr:rowOff>
    </xdr:from>
    <xdr:to>
      <xdr:col>9</xdr:col>
      <xdr:colOff>314325</xdr:colOff>
      <xdr:row>73</xdr:row>
      <xdr:rowOff>9525</xdr:rowOff>
    </xdr:to>
    <xdr:graphicFrame macro="">
      <xdr:nvGraphicFramePr>
        <xdr:cNvPr id="64808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50</xdr:row>
      <xdr:rowOff>28575</xdr:rowOff>
    </xdr:from>
    <xdr:to>
      <xdr:col>21</xdr:col>
      <xdr:colOff>153225</xdr:colOff>
      <xdr:row>72</xdr:row>
      <xdr:rowOff>66225</xdr:rowOff>
    </xdr:to>
    <xdr:graphicFrame macro="">
      <xdr:nvGraphicFramePr>
        <xdr:cNvPr id="648081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19050</xdr:colOff>
      <xdr:row>16</xdr:row>
      <xdr:rowOff>38100</xdr:rowOff>
    </xdr:from>
    <xdr:to>
      <xdr:col>13</xdr:col>
      <xdr:colOff>76200</xdr:colOff>
      <xdr:row>38</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19050</xdr:colOff>
      <xdr:row>32</xdr:row>
      <xdr:rowOff>47625</xdr:rowOff>
    </xdr:from>
    <xdr:to>
      <xdr:col>11</xdr:col>
      <xdr:colOff>448500</xdr:colOff>
      <xdr:row>54</xdr:row>
      <xdr:rowOff>85725</xdr:rowOff>
    </xdr:to>
    <xdr:graphicFrame macro="">
      <xdr:nvGraphicFramePr>
        <xdr:cNvPr id="453154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58</xdr:row>
      <xdr:rowOff>9525</xdr:rowOff>
    </xdr:from>
    <xdr:to>
      <xdr:col>26</xdr:col>
      <xdr:colOff>115125</xdr:colOff>
      <xdr:row>80</xdr:row>
      <xdr:rowOff>47625</xdr:rowOff>
    </xdr:to>
    <xdr:graphicFrame macro="">
      <xdr:nvGraphicFramePr>
        <xdr:cNvPr id="453154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83</xdr:row>
      <xdr:rowOff>28575</xdr:rowOff>
    </xdr:from>
    <xdr:to>
      <xdr:col>11</xdr:col>
      <xdr:colOff>447675</xdr:colOff>
      <xdr:row>105</xdr:row>
      <xdr:rowOff>66675</xdr:rowOff>
    </xdr:to>
    <xdr:graphicFrame macro="">
      <xdr:nvGraphicFramePr>
        <xdr:cNvPr id="45315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19050</xdr:colOff>
      <xdr:row>83</xdr:row>
      <xdr:rowOff>28575</xdr:rowOff>
    </xdr:from>
    <xdr:to>
      <xdr:col>26</xdr:col>
      <xdr:colOff>124650</xdr:colOff>
      <xdr:row>105</xdr:row>
      <xdr:rowOff>66675</xdr:rowOff>
    </xdr:to>
    <xdr:graphicFrame macro="">
      <xdr:nvGraphicFramePr>
        <xdr:cNvPr id="453154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108</xdr:row>
      <xdr:rowOff>38100</xdr:rowOff>
    </xdr:from>
    <xdr:to>
      <xdr:col>11</xdr:col>
      <xdr:colOff>438150</xdr:colOff>
      <xdr:row>130</xdr:row>
      <xdr:rowOff>76200</xdr:rowOff>
    </xdr:to>
    <xdr:graphicFrame macro="">
      <xdr:nvGraphicFramePr>
        <xdr:cNvPr id="45315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58</xdr:row>
      <xdr:rowOff>47625</xdr:rowOff>
    </xdr:from>
    <xdr:to>
      <xdr:col>11</xdr:col>
      <xdr:colOff>457200</xdr:colOff>
      <xdr:row>80</xdr:row>
      <xdr:rowOff>85725</xdr:rowOff>
    </xdr:to>
    <xdr:graphicFrame macro="">
      <xdr:nvGraphicFramePr>
        <xdr:cNvPr id="453154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235</xdr:row>
      <xdr:rowOff>19050</xdr:rowOff>
    </xdr:from>
    <xdr:to>
      <xdr:col>11</xdr:col>
      <xdr:colOff>448500</xdr:colOff>
      <xdr:row>257</xdr:row>
      <xdr:rowOff>57150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235</xdr:row>
      <xdr:rowOff>9525</xdr:rowOff>
    </xdr:from>
    <xdr:to>
      <xdr:col>26</xdr:col>
      <xdr:colOff>104775</xdr:colOff>
      <xdr:row>257</xdr:row>
      <xdr:rowOff>47625</xdr:rowOff>
    </xdr:to>
    <xdr:graphicFrame macro="">
      <xdr:nvGraphicFramePr>
        <xdr:cNvPr id="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9525</xdr:colOff>
      <xdr:row>260</xdr:row>
      <xdr:rowOff>28575</xdr:rowOff>
    </xdr:from>
    <xdr:to>
      <xdr:col>26</xdr:col>
      <xdr:colOff>114300</xdr:colOff>
      <xdr:row>282</xdr:row>
      <xdr:rowOff>66675</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285</xdr:row>
      <xdr:rowOff>38100</xdr:rowOff>
    </xdr:from>
    <xdr:to>
      <xdr:col>11</xdr:col>
      <xdr:colOff>447675</xdr:colOff>
      <xdr:row>307</xdr:row>
      <xdr:rowOff>76200</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260</xdr:row>
      <xdr:rowOff>47625</xdr:rowOff>
    </xdr:from>
    <xdr:to>
      <xdr:col>11</xdr:col>
      <xdr:colOff>447675</xdr:colOff>
      <xdr:row>282</xdr:row>
      <xdr:rowOff>85725</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158</xdr:row>
      <xdr:rowOff>152400</xdr:rowOff>
    </xdr:from>
    <xdr:to>
      <xdr:col>11</xdr:col>
      <xdr:colOff>438975</xdr:colOff>
      <xdr:row>181</xdr:row>
      <xdr:rowOff>28575</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159</xdr:row>
      <xdr:rowOff>9525</xdr:rowOff>
    </xdr:from>
    <xdr:to>
      <xdr:col>26</xdr:col>
      <xdr:colOff>295275</xdr:colOff>
      <xdr:row>181</xdr:row>
      <xdr:rowOff>38100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28575</xdr:colOff>
      <xdr:row>184</xdr:row>
      <xdr:rowOff>38100</xdr:rowOff>
    </xdr:from>
    <xdr:to>
      <xdr:col>11</xdr:col>
      <xdr:colOff>458025</xdr:colOff>
      <xdr:row>206</xdr:row>
      <xdr:rowOff>75750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19050</xdr:colOff>
      <xdr:row>184</xdr:row>
      <xdr:rowOff>47625</xdr:rowOff>
    </xdr:from>
    <xdr:to>
      <xdr:col>26</xdr:col>
      <xdr:colOff>123825</xdr:colOff>
      <xdr:row>206</xdr:row>
      <xdr:rowOff>85725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209</xdr:row>
      <xdr:rowOff>76200</xdr:rowOff>
    </xdr:from>
    <xdr:to>
      <xdr:col>11</xdr:col>
      <xdr:colOff>447675</xdr:colOff>
      <xdr:row>231</xdr:row>
      <xdr:rowOff>114300</xdr:rowOff>
    </xdr:to>
    <xdr:graphicFrame macro="">
      <xdr:nvGraphicFramePr>
        <xdr:cNvPr id="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132</xdr:row>
      <xdr:rowOff>152400</xdr:rowOff>
    </xdr:from>
    <xdr:to>
      <xdr:col>11</xdr:col>
      <xdr:colOff>438150</xdr:colOff>
      <xdr:row>155</xdr:row>
      <xdr:rowOff>28575</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9525</xdr:colOff>
      <xdr:row>133</xdr:row>
      <xdr:rowOff>9525</xdr:rowOff>
    </xdr:from>
    <xdr:to>
      <xdr:col>26</xdr:col>
      <xdr:colOff>114300</xdr:colOff>
      <xdr:row>155</xdr:row>
      <xdr:rowOff>47625</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0.12602</cdr:x>
      <cdr:y>0.24497</cdr:y>
    </cdr:from>
    <cdr:to>
      <cdr:x>0.33431</cdr:x>
      <cdr:y>0.39552</cdr:y>
    </cdr:to>
    <cdr:sp macro="" textlink="">
      <cdr:nvSpPr>
        <cdr:cNvPr id="2" name="Oval 1"/>
        <cdr:cNvSpPr/>
      </cdr:nvSpPr>
      <cdr:spPr>
        <a:xfrm xmlns:a="http://schemas.openxmlformats.org/drawingml/2006/main" rot="20628743">
          <a:off x="1088701" y="882008"/>
          <a:ext cx="1799498" cy="542049"/>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46.xml><?xml version="1.0" encoding="utf-8"?>
<c:userShapes xmlns:c="http://schemas.openxmlformats.org/drawingml/2006/chart">
  <cdr:relSizeAnchor xmlns:cdr="http://schemas.openxmlformats.org/drawingml/2006/chartDrawing">
    <cdr:from>
      <cdr:x>0.16055</cdr:x>
      <cdr:y>0.32988</cdr:y>
    </cdr:from>
    <cdr:to>
      <cdr:x>0.3337</cdr:x>
      <cdr:y>0.43597</cdr:y>
    </cdr:to>
    <cdr:sp macro="" textlink="">
      <cdr:nvSpPr>
        <cdr:cNvPr id="2" name="Oval 1"/>
        <cdr:cNvSpPr/>
      </cdr:nvSpPr>
      <cdr:spPr>
        <a:xfrm xmlns:a="http://schemas.openxmlformats.org/drawingml/2006/main" rot="20095173">
          <a:off x="1386984" y="1187719"/>
          <a:ext cx="1495935" cy="381955"/>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47.xml><?xml version="1.0" encoding="utf-8"?>
<c:userShapes xmlns:c="http://schemas.openxmlformats.org/drawingml/2006/chart">
  <cdr:relSizeAnchor xmlns:cdr="http://schemas.openxmlformats.org/drawingml/2006/chartDrawing">
    <cdr:from>
      <cdr:x>0.15977</cdr:x>
      <cdr:y>0.27889</cdr:y>
    </cdr:from>
    <cdr:to>
      <cdr:x>0.33595</cdr:x>
      <cdr:y>0.41658</cdr:y>
    </cdr:to>
    <cdr:sp macro="" textlink="">
      <cdr:nvSpPr>
        <cdr:cNvPr id="2" name="Oval 1"/>
        <cdr:cNvSpPr/>
      </cdr:nvSpPr>
      <cdr:spPr>
        <a:xfrm xmlns:a="http://schemas.openxmlformats.org/drawingml/2006/main" rot="19758211">
          <a:off x="1380266" y="1004112"/>
          <a:ext cx="1522038" cy="495768"/>
        </a:xfrm>
        <a:prstGeom xmlns:a="http://schemas.openxmlformats.org/drawingml/2006/main" prst="ellipse">
          <a:avLst/>
        </a:prstGeom>
        <a:noFill xmlns:a="http://schemas.openxmlformats.org/drawingml/2006/main"/>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GB"/>
        </a:p>
      </cdr:txBody>
    </cdr:sp>
  </cdr:relSizeAnchor>
</c:userShapes>
</file>

<file path=xl/drawings/drawing5.xml><?xml version="1.0" encoding="utf-8"?>
<xdr:wsDr xmlns:xdr="http://schemas.openxmlformats.org/drawingml/2006/spreadsheetDrawing" xmlns:a="http://schemas.openxmlformats.org/drawingml/2006/main">
  <xdr:twoCellAnchor>
    <xdr:from>
      <xdr:col>13</xdr:col>
      <xdr:colOff>0</xdr:colOff>
      <xdr:row>75</xdr:row>
      <xdr:rowOff>9525</xdr:rowOff>
    </xdr:from>
    <xdr:to>
      <xdr:col>27</xdr:col>
      <xdr:colOff>104775</xdr:colOff>
      <xdr:row>97</xdr:row>
      <xdr:rowOff>47625</xdr:rowOff>
    </xdr:to>
    <xdr:graphicFrame macro="">
      <xdr:nvGraphicFramePr>
        <xdr:cNvPr id="481328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85725</xdr:rowOff>
    </xdr:from>
    <xdr:to>
      <xdr:col>12</xdr:col>
      <xdr:colOff>123825</xdr:colOff>
      <xdr:row>72</xdr:row>
      <xdr:rowOff>123825</xdr:rowOff>
    </xdr:to>
    <xdr:graphicFrame macro="">
      <xdr:nvGraphicFramePr>
        <xdr:cNvPr id="481328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75</xdr:row>
      <xdr:rowOff>9525</xdr:rowOff>
    </xdr:from>
    <xdr:to>
      <xdr:col>12</xdr:col>
      <xdr:colOff>123825</xdr:colOff>
      <xdr:row>97</xdr:row>
      <xdr:rowOff>47625</xdr:rowOff>
    </xdr:to>
    <xdr:graphicFrame macro="">
      <xdr:nvGraphicFramePr>
        <xdr:cNvPr id="481328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100</xdr:row>
      <xdr:rowOff>0</xdr:rowOff>
    </xdr:from>
    <xdr:to>
      <xdr:col>12</xdr:col>
      <xdr:colOff>123825</xdr:colOff>
      <xdr:row>122</xdr:row>
      <xdr:rowOff>37650</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7649825"/>
          <a:ext cx="8639175" cy="3600000"/>
        </a:xfrm>
        <a:prstGeom prst="rect">
          <a:avLst/>
        </a:prstGeom>
      </xdr:spPr>
    </xdr:pic>
    <xdr:clientData/>
  </xdr:twoCellAnchor>
  <xdr:twoCellAnchor editAs="oneCell">
    <xdr:from>
      <xdr:col>13</xdr:col>
      <xdr:colOff>0</xdr:colOff>
      <xdr:row>100</xdr:row>
      <xdr:rowOff>0</xdr:rowOff>
    </xdr:from>
    <xdr:to>
      <xdr:col>27</xdr:col>
      <xdr:colOff>104775</xdr:colOff>
      <xdr:row>122</xdr:row>
      <xdr:rowOff>37650</xdr:rowOff>
    </xdr:to>
    <xdr:pic>
      <xdr:nvPicPr>
        <xdr:cNvPr id="11" name="Picture 10"/>
        <xdr:cNvPicPr>
          <a:picLocks noChangeAspect="1"/>
        </xdr:cNvPicPr>
      </xdr:nvPicPr>
      <xdr:blipFill>
        <a:blip xmlns:r="http://schemas.openxmlformats.org/officeDocument/2006/relationships" r:embed="rId5"/>
        <a:stretch>
          <a:fillRect/>
        </a:stretch>
      </xdr:blipFill>
      <xdr:spPr>
        <a:xfrm>
          <a:off x="9124950" y="17649825"/>
          <a:ext cx="8639175" cy="3600000"/>
        </a:xfrm>
        <a:prstGeom prst="rect">
          <a:avLst/>
        </a:prstGeom>
      </xdr:spPr>
    </xdr:pic>
    <xdr:clientData/>
  </xdr:twoCellAnchor>
  <xdr:twoCellAnchor editAs="oneCell">
    <xdr:from>
      <xdr:col>0</xdr:col>
      <xdr:colOff>0</xdr:colOff>
      <xdr:row>125</xdr:row>
      <xdr:rowOff>0</xdr:rowOff>
    </xdr:from>
    <xdr:to>
      <xdr:col>12</xdr:col>
      <xdr:colOff>123825</xdr:colOff>
      <xdr:row>147</xdr:row>
      <xdr:rowOff>37650</xdr:rowOff>
    </xdr:to>
    <xdr:pic>
      <xdr:nvPicPr>
        <xdr:cNvPr id="12" name="Picture 11"/>
        <xdr:cNvPicPr>
          <a:picLocks noChangeAspect="1"/>
        </xdr:cNvPicPr>
      </xdr:nvPicPr>
      <xdr:blipFill>
        <a:blip xmlns:r="http://schemas.openxmlformats.org/officeDocument/2006/relationships" r:embed="rId6"/>
        <a:stretch>
          <a:fillRect/>
        </a:stretch>
      </xdr:blipFill>
      <xdr:spPr>
        <a:xfrm>
          <a:off x="0" y="21717000"/>
          <a:ext cx="8639175" cy="3600000"/>
        </a:xfrm>
        <a:prstGeom prst="rect">
          <a:avLst/>
        </a:prstGeom>
      </xdr:spPr>
    </xdr:pic>
    <xdr:clientData/>
  </xdr:twoCellAnchor>
  <xdr:twoCellAnchor editAs="oneCell">
    <xdr:from>
      <xdr:col>13</xdr:col>
      <xdr:colOff>28574</xdr:colOff>
      <xdr:row>125</xdr:row>
      <xdr:rowOff>0</xdr:rowOff>
    </xdr:from>
    <xdr:to>
      <xdr:col>27</xdr:col>
      <xdr:colOff>133350</xdr:colOff>
      <xdr:row>147</xdr:row>
      <xdr:rowOff>37650</xdr:rowOff>
    </xdr:to>
    <xdr:pic>
      <xdr:nvPicPr>
        <xdr:cNvPr id="13" name="Picture 12"/>
        <xdr:cNvPicPr>
          <a:picLocks noChangeAspect="1"/>
        </xdr:cNvPicPr>
      </xdr:nvPicPr>
      <xdr:blipFill>
        <a:blip xmlns:r="http://schemas.openxmlformats.org/officeDocument/2006/relationships" r:embed="rId7"/>
        <a:stretch>
          <a:fillRect/>
        </a:stretch>
      </xdr:blipFill>
      <xdr:spPr>
        <a:xfrm>
          <a:off x="9153524" y="21717000"/>
          <a:ext cx="8639176" cy="3600000"/>
        </a:xfrm>
        <a:prstGeom prst="rect">
          <a:avLst/>
        </a:prstGeom>
      </xdr:spPr>
    </xdr:pic>
    <xdr:clientData/>
  </xdr:twoCellAnchor>
  <xdr:twoCellAnchor editAs="oneCell">
    <xdr:from>
      <xdr:col>0</xdr:col>
      <xdr:colOff>0</xdr:colOff>
      <xdr:row>150</xdr:row>
      <xdr:rowOff>0</xdr:rowOff>
    </xdr:from>
    <xdr:to>
      <xdr:col>12</xdr:col>
      <xdr:colOff>123825</xdr:colOff>
      <xdr:row>172</xdr:row>
      <xdr:rowOff>37650</xdr:rowOff>
    </xdr:to>
    <xdr:pic>
      <xdr:nvPicPr>
        <xdr:cNvPr id="14" name="Picture 13"/>
        <xdr:cNvPicPr>
          <a:picLocks noChangeAspect="1"/>
        </xdr:cNvPicPr>
      </xdr:nvPicPr>
      <xdr:blipFill>
        <a:blip xmlns:r="http://schemas.openxmlformats.org/officeDocument/2006/relationships" r:embed="rId8"/>
        <a:stretch>
          <a:fillRect/>
        </a:stretch>
      </xdr:blipFill>
      <xdr:spPr>
        <a:xfrm>
          <a:off x="0" y="25765125"/>
          <a:ext cx="8639175" cy="3600000"/>
        </a:xfrm>
        <a:prstGeom prst="rect">
          <a:avLst/>
        </a:prstGeom>
      </xdr:spPr>
    </xdr:pic>
    <xdr:clientData/>
  </xdr:twoCellAnchor>
  <xdr:twoCellAnchor editAs="oneCell">
    <xdr:from>
      <xdr:col>13</xdr:col>
      <xdr:colOff>0</xdr:colOff>
      <xdr:row>149</xdr:row>
      <xdr:rowOff>161924</xdr:rowOff>
    </xdr:from>
    <xdr:to>
      <xdr:col>27</xdr:col>
      <xdr:colOff>104776</xdr:colOff>
      <xdr:row>172</xdr:row>
      <xdr:rowOff>37649</xdr:rowOff>
    </xdr:to>
    <xdr:pic>
      <xdr:nvPicPr>
        <xdr:cNvPr id="15" name="Picture 14"/>
        <xdr:cNvPicPr>
          <a:picLocks noChangeAspect="1"/>
        </xdr:cNvPicPr>
      </xdr:nvPicPr>
      <xdr:blipFill>
        <a:blip xmlns:r="http://schemas.openxmlformats.org/officeDocument/2006/relationships" r:embed="rId9"/>
        <a:stretch>
          <a:fillRect/>
        </a:stretch>
      </xdr:blipFill>
      <xdr:spPr>
        <a:xfrm>
          <a:off x="9124950" y="25765124"/>
          <a:ext cx="8639176" cy="3600000"/>
        </a:xfrm>
        <a:prstGeom prst="rect">
          <a:avLst/>
        </a:prstGeom>
      </xdr:spPr>
    </xdr:pic>
    <xdr:clientData/>
  </xdr:twoCellAnchor>
  <xdr:twoCellAnchor editAs="oneCell">
    <xdr:from>
      <xdr:col>0</xdr:col>
      <xdr:colOff>1</xdr:colOff>
      <xdr:row>175</xdr:row>
      <xdr:rowOff>0</xdr:rowOff>
    </xdr:from>
    <xdr:to>
      <xdr:col>12</xdr:col>
      <xdr:colOff>123825</xdr:colOff>
      <xdr:row>197</xdr:row>
      <xdr:rowOff>37650</xdr:rowOff>
    </xdr:to>
    <xdr:pic>
      <xdr:nvPicPr>
        <xdr:cNvPr id="16" name="Picture 15"/>
        <xdr:cNvPicPr>
          <a:picLocks noChangeAspect="1"/>
        </xdr:cNvPicPr>
      </xdr:nvPicPr>
      <xdr:blipFill>
        <a:blip xmlns:r="http://schemas.openxmlformats.org/officeDocument/2006/relationships" r:embed="rId10"/>
        <a:stretch>
          <a:fillRect/>
        </a:stretch>
      </xdr:blipFill>
      <xdr:spPr>
        <a:xfrm>
          <a:off x="1" y="29813250"/>
          <a:ext cx="8639174" cy="3600000"/>
        </a:xfrm>
        <a:prstGeom prst="rect">
          <a:avLst/>
        </a:prstGeom>
      </xdr:spPr>
    </xdr:pic>
    <xdr:clientData/>
  </xdr:twoCellAnchor>
  <xdr:twoCellAnchor editAs="oneCell">
    <xdr:from>
      <xdr:col>13</xdr:col>
      <xdr:colOff>1</xdr:colOff>
      <xdr:row>175</xdr:row>
      <xdr:rowOff>0</xdr:rowOff>
    </xdr:from>
    <xdr:to>
      <xdr:col>26</xdr:col>
      <xdr:colOff>0</xdr:colOff>
      <xdr:row>201</xdr:row>
      <xdr:rowOff>109950</xdr:rowOff>
    </xdr:to>
    <xdr:pic>
      <xdr:nvPicPr>
        <xdr:cNvPr id="18" name="Picture 17"/>
        <xdr:cNvPicPr>
          <a:picLocks noChangeAspect="1"/>
        </xdr:cNvPicPr>
      </xdr:nvPicPr>
      <xdr:blipFill>
        <a:blip xmlns:r="http://schemas.openxmlformats.org/officeDocument/2006/relationships" r:embed="rId11"/>
        <a:stretch>
          <a:fillRect/>
        </a:stretch>
      </xdr:blipFill>
      <xdr:spPr>
        <a:xfrm>
          <a:off x="9124951" y="29813250"/>
          <a:ext cx="7924799" cy="43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28</xdr:row>
      <xdr:rowOff>28575</xdr:rowOff>
    </xdr:from>
    <xdr:to>
      <xdr:col>11</xdr:col>
      <xdr:colOff>523875</xdr:colOff>
      <xdr:row>50</xdr:row>
      <xdr:rowOff>66675</xdr:rowOff>
    </xdr:to>
    <xdr:graphicFrame macro="">
      <xdr:nvGraphicFramePr>
        <xdr:cNvPr id="632209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53</xdr:row>
      <xdr:rowOff>19050</xdr:rowOff>
    </xdr:from>
    <xdr:to>
      <xdr:col>12</xdr:col>
      <xdr:colOff>48450</xdr:colOff>
      <xdr:row>74</xdr:row>
      <xdr:rowOff>161475</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53</xdr:row>
      <xdr:rowOff>0</xdr:rowOff>
    </xdr:from>
    <xdr:to>
      <xdr:col>27</xdr:col>
      <xdr:colOff>105600</xdr:colOff>
      <xdr:row>74</xdr:row>
      <xdr:rowOff>142425</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78</xdr:row>
      <xdr:rowOff>0</xdr:rowOff>
    </xdr:from>
    <xdr:to>
      <xdr:col>12</xdr:col>
      <xdr:colOff>38925</xdr:colOff>
      <xdr:row>100</xdr:row>
      <xdr:rowOff>37650</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0.40785</cdr:x>
      <cdr:y>0.14482</cdr:y>
    </cdr:from>
    <cdr:to>
      <cdr:x>0.95008</cdr:x>
      <cdr:y>0.14635</cdr:y>
    </cdr:to>
    <cdr:sp macro="" textlink="">
      <cdr:nvSpPr>
        <cdr:cNvPr id="3" name="Straight Connector 2"/>
        <cdr:cNvSpPr/>
      </cdr:nvSpPr>
      <cdr:spPr>
        <a:xfrm xmlns:a="http://schemas.openxmlformats.org/drawingml/2006/main" flipH="1">
          <a:off x="3562331" y="622094"/>
          <a:ext cx="4736067" cy="6573"/>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0.41486</cdr:x>
      <cdr:y>0.14287</cdr:y>
    </cdr:from>
    <cdr:to>
      <cdr:x>0.41767</cdr:x>
      <cdr:y>0.61863</cdr:y>
    </cdr:to>
    <cdr:sp macro="" textlink="">
      <cdr:nvSpPr>
        <cdr:cNvPr id="5" name="Straight Connector 4"/>
        <cdr:cNvSpPr/>
      </cdr:nvSpPr>
      <cdr:spPr>
        <a:xfrm xmlns:a="http://schemas.openxmlformats.org/drawingml/2006/main">
          <a:off x="3623590" y="613742"/>
          <a:ext cx="24485" cy="2043734"/>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0.76178</cdr:x>
      <cdr:y>0.1718</cdr:y>
    </cdr:from>
    <cdr:to>
      <cdr:x>0.9402</cdr:x>
      <cdr:y>0.31307</cdr:y>
    </cdr:to>
    <cdr:sp macro="" textlink="">
      <cdr:nvSpPr>
        <cdr:cNvPr id="6" name="Rectangle 5"/>
        <cdr:cNvSpPr/>
      </cdr:nvSpPr>
      <cdr:spPr>
        <a:xfrm xmlns:a="http://schemas.openxmlformats.org/drawingml/2006/main">
          <a:off x="6581776" y="618465"/>
          <a:ext cx="1541522" cy="508572"/>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11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endParaRPr lang="en-GB" sz="1000">
            <a:solidFill>
              <a:schemeClr val="tx1"/>
            </a:solidFill>
            <a:latin typeface="Arial" pitchFamily="34" charset="0"/>
            <a:cs typeface="Arial" pitchFamily="34" charset="0"/>
          </a:endParaRPr>
        </a:p>
        <a:p xmlns:a="http://schemas.openxmlformats.org/drawingml/2006/main">
          <a:pPr>
            <a:lnSpc>
              <a:spcPts val="1200"/>
            </a:lnSpc>
          </a:pPr>
          <a:endParaRPr lang="en-US"/>
        </a:p>
      </cdr:txBody>
    </cdr:sp>
  </cdr:relSizeAnchor>
</c:userShapes>
</file>

<file path=xl/drawings/drawing8.xml><?xml version="1.0" encoding="utf-8"?>
<c:userShapes xmlns:c="http://schemas.openxmlformats.org/drawingml/2006/chart">
  <cdr:relSizeAnchor xmlns:cdr="http://schemas.openxmlformats.org/drawingml/2006/chartDrawing">
    <cdr:from>
      <cdr:x>0.16336</cdr:x>
      <cdr:y>0.14286</cdr:y>
    </cdr:from>
    <cdr:to>
      <cdr:x>0.95033</cdr:x>
      <cdr:y>0.14503</cdr:y>
    </cdr:to>
    <cdr:sp macro="" textlink="">
      <cdr:nvSpPr>
        <cdr:cNvPr id="3" name="Straight Connector 2"/>
        <cdr:cNvSpPr/>
      </cdr:nvSpPr>
      <cdr:spPr>
        <a:xfrm xmlns:a="http://schemas.openxmlformats.org/drawingml/2006/main" flipH="1" flipV="1">
          <a:off x="1409707" y="628643"/>
          <a:ext cx="6791276" cy="9549"/>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0.16556</cdr:x>
      <cdr:y>0.14286</cdr:y>
    </cdr:from>
    <cdr:to>
      <cdr:x>0.16556</cdr:x>
      <cdr:y>0.6277</cdr:y>
    </cdr:to>
    <cdr:sp macro="" textlink="">
      <cdr:nvSpPr>
        <cdr:cNvPr id="5" name="Straight Connector 4"/>
        <cdr:cNvSpPr/>
      </cdr:nvSpPr>
      <cdr:spPr>
        <a:xfrm xmlns:a="http://schemas.openxmlformats.org/drawingml/2006/main">
          <a:off x="1428714" y="628671"/>
          <a:ext cx="0" cy="2133563"/>
        </a:xfrm>
        <a:prstGeom xmlns:a="http://schemas.openxmlformats.org/drawingml/2006/main" prst="line">
          <a:avLst/>
        </a:prstGeom>
        <a:ln xmlns:a="http://schemas.openxmlformats.org/drawingml/2006/main">
          <a:solidFill>
            <a:schemeClr val="bg1">
              <a:lumMod val="6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0.77528</cdr:x>
      <cdr:y>0.16017</cdr:y>
    </cdr:from>
    <cdr:to>
      <cdr:x>0.93045</cdr:x>
      <cdr:y>0.30023</cdr:y>
    </cdr:to>
    <cdr:sp macro="" textlink="">
      <cdr:nvSpPr>
        <cdr:cNvPr id="6" name="Rectangle 5"/>
        <cdr:cNvSpPr/>
      </cdr:nvSpPr>
      <cdr:spPr>
        <a:xfrm xmlns:a="http://schemas.openxmlformats.org/drawingml/2006/main">
          <a:off x="6698410" y="576612"/>
          <a:ext cx="1340690" cy="504216"/>
        </a:xfrm>
        <a:prstGeom xmlns:a="http://schemas.openxmlformats.org/drawingml/2006/main" prst="rect">
          <a:avLst/>
        </a:prstGeom>
        <a:solidFill xmlns:a="http://schemas.openxmlformats.org/drawingml/2006/main">
          <a:schemeClr val="bg1"/>
        </a:solidFill>
        <a:ln xmlns:a="http://schemas.openxmlformats.org/drawingml/2006/main" w="9525">
          <a:solidFill>
            <a:schemeClr val="bg1">
              <a:lumMod val="6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marL="0" marR="0" indent="0" defTabSz="914400" eaLnBrk="1" fontAlgn="auto" latinLnBrk="0" hangingPunct="1">
            <a:lnSpc>
              <a:spcPts val="900"/>
            </a:lnSpc>
            <a:spcBef>
              <a:spcPts val="0"/>
            </a:spcBef>
            <a:spcAft>
              <a:spcPts val="0"/>
            </a:spcAft>
            <a:buClrTx/>
            <a:buSzTx/>
            <a:buFontTx/>
            <a:buNone/>
            <a:tabLst/>
            <a:defRPr/>
          </a:pPr>
          <a:r>
            <a:rPr lang="en-GB" sz="1000">
              <a:solidFill>
                <a:schemeClr val="tx1"/>
              </a:solidFill>
              <a:latin typeface="Arial" pitchFamily="34" charset="0"/>
              <a:ea typeface="+mn-ea"/>
              <a:cs typeface="Arial" pitchFamily="34" charset="0"/>
            </a:rPr>
            <a:t>80% line - 80% of activity lies to left of line</a:t>
          </a:r>
        </a:p>
        <a:p xmlns:a="http://schemas.openxmlformats.org/drawingml/2006/main">
          <a:pPr>
            <a:lnSpc>
              <a:spcPts val="1200"/>
            </a:lnSpc>
          </a:pPr>
          <a:endParaRPr lang="en-US"/>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28575</xdr:colOff>
      <xdr:row>31</xdr:row>
      <xdr:rowOff>19050</xdr:rowOff>
    </xdr:from>
    <xdr:to>
      <xdr:col>11</xdr:col>
      <xdr:colOff>542925</xdr:colOff>
      <xdr:row>53</xdr:row>
      <xdr:rowOff>57150</xdr:rowOff>
    </xdr:to>
    <xdr:graphicFrame macro="">
      <xdr:nvGraphicFramePr>
        <xdr:cNvPr id="5651943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12</xdr:col>
      <xdr:colOff>825</xdr:colOff>
      <xdr:row>78</xdr:row>
      <xdr:rowOff>37650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56</xdr:row>
      <xdr:rowOff>0</xdr:rowOff>
    </xdr:from>
    <xdr:to>
      <xdr:col>27</xdr:col>
      <xdr:colOff>105600</xdr:colOff>
      <xdr:row>78</xdr:row>
      <xdr:rowOff>37650</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12</xdr:col>
      <xdr:colOff>825</xdr:colOff>
      <xdr:row>103</xdr:row>
      <xdr:rowOff>37650</xdr:rowOff>
    </xdr:to>
    <xdr:graphicFrame macro="">
      <xdr:nvGraphicFramePr>
        <xdr:cNvPr id="1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mackie\Desktop\AE_activity_waiting_times_Jun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amp;Notes"/>
      <sheetName val="board_comparison"/>
      <sheetName val="Compliance"/>
      <sheetName val="Disc_dest"/>
      <sheetName val="inputdata"/>
      <sheetName val="Lookups"/>
    </sheetNames>
    <sheetDataSet>
      <sheetData sheetId="0" refreshError="1"/>
      <sheetData sheetId="1" refreshError="1"/>
      <sheetData sheetId="2" refreshError="1"/>
      <sheetData sheetId="3" refreshError="1"/>
      <sheetData sheetId="4"/>
      <sheetData sheetId="5">
        <row r="10">
          <cell r="L10" t="str">
            <v>inputdata!$A:$A</v>
          </cell>
        </row>
        <row r="11">
          <cell r="L11" t="str">
            <v>inputdata!$G:$G</v>
          </cell>
        </row>
        <row r="22">
          <cell r="L22" t="str">
            <v>inputdata!$I:$I</v>
          </cell>
        </row>
      </sheetData>
    </sheetDataSet>
  </externalBook>
</externalLink>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gov.scot/Topics/Statistics/SIMD" TargetMode="External"/><Relationship Id="rId2" Type="http://schemas.openxmlformats.org/officeDocument/2006/relationships/hyperlink" Target="http://www.isdscotland.org/Health-Topics/Mental-Health/Publications/2017-01-24/2017-01-24-DementiaPDS-Summary.pdf?" TargetMode="External"/><Relationship Id="rId1" Type="http://schemas.openxmlformats.org/officeDocument/2006/relationships/hyperlink" Target="http://www.ahrq.gov/professionals/quality-patient-safety/talkingquality/create/sixdomains.html"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42"/>
  <sheetViews>
    <sheetView tabSelected="1" workbookViewId="0"/>
  </sheetViews>
  <sheetFormatPr defaultColWidth="9.140625" defaultRowHeight="12.75" x14ac:dyDescent="0.2"/>
  <cols>
    <col min="1" max="1" width="46" style="117" bestFit="1" customWidth="1"/>
    <col min="2" max="2" width="22" style="117" bestFit="1" customWidth="1"/>
    <col min="3" max="3" width="20.140625" style="117" bestFit="1" customWidth="1"/>
    <col min="4" max="4" width="9.140625" style="117"/>
    <col min="5" max="5" width="9.85546875" style="117" bestFit="1" customWidth="1"/>
    <col min="6" max="6" width="21.140625" style="117" bestFit="1" customWidth="1"/>
    <col min="7" max="7" width="41.7109375" style="117" bestFit="1" customWidth="1"/>
    <col min="8" max="8" width="4" style="117" customWidth="1"/>
    <col min="9" max="16384" width="9.140625" style="117"/>
  </cols>
  <sheetData>
    <row r="1" spans="1:7" ht="20.25" x14ac:dyDescent="0.3">
      <c r="A1" s="338" t="s">
        <v>333</v>
      </c>
    </row>
    <row r="2" spans="1:7" ht="15" customHeight="1" x14ac:dyDescent="0.2">
      <c r="A2" s="137"/>
    </row>
    <row r="3" spans="1:7" ht="15" customHeight="1" x14ac:dyDescent="0.2">
      <c r="A3" s="116" t="s">
        <v>118</v>
      </c>
    </row>
    <row r="4" spans="1:7" ht="15" customHeight="1" x14ac:dyDescent="0.2">
      <c r="A4" s="137"/>
    </row>
    <row r="5" spans="1:7" x14ac:dyDescent="0.2">
      <c r="A5" s="137"/>
      <c r="B5" s="339" t="s">
        <v>452</v>
      </c>
      <c r="C5" s="339" t="s">
        <v>453</v>
      </c>
      <c r="E5" s="339" t="s">
        <v>224</v>
      </c>
      <c r="F5" s="339" t="s">
        <v>452</v>
      </c>
      <c r="G5" s="339" t="s">
        <v>453</v>
      </c>
    </row>
    <row r="6" spans="1:7" ht="15" customHeight="1" x14ac:dyDescent="0.2">
      <c r="A6" s="116" t="s">
        <v>335</v>
      </c>
      <c r="B6" s="340">
        <f>'A&amp;E WT'!B5</f>
        <v>42948</v>
      </c>
      <c r="C6" s="341" t="str">
        <f>'A&amp;E WT'!B7</f>
        <v>1st Friday of Month</v>
      </c>
      <c r="E6" s="342" t="s">
        <v>225</v>
      </c>
      <c r="F6" s="340">
        <f>'A&amp;E WT - Published'!B4</f>
        <v>42917</v>
      </c>
      <c r="G6" s="340" t="str">
        <f>'A&amp;E WT - Published'!B5</f>
        <v>1st Tuesday of the month</v>
      </c>
    </row>
    <row r="7" spans="1:7" x14ac:dyDescent="0.2">
      <c r="A7" s="116" t="s">
        <v>334</v>
      </c>
      <c r="B7" s="340">
        <f>ABI!B6</f>
        <v>42887</v>
      </c>
      <c r="C7" s="271" t="str">
        <f>ABI!B8</f>
        <v>End of 1/4 + 6 weeks</v>
      </c>
      <c r="E7" s="342" t="s">
        <v>225</v>
      </c>
      <c r="F7" s="340" t="str">
        <f>'ABI - Published'!B4</f>
        <v>2016/17</v>
      </c>
      <c r="G7" s="340" t="str">
        <f>'ABI - Published'!B5</f>
        <v>Mid June</v>
      </c>
    </row>
    <row r="8" spans="1:7" x14ac:dyDescent="0.2">
      <c r="A8" s="116" t="s">
        <v>336</v>
      </c>
      <c r="B8" s="340">
        <f>Antenatal!B5</f>
        <v>42917</v>
      </c>
      <c r="C8" s="271" t="str">
        <f>Antenatal!B7</f>
        <v>25th (+ 2 months)</v>
      </c>
      <c r="E8" s="342" t="s">
        <v>225</v>
      </c>
      <c r="F8" s="340" t="str">
        <f>'Antenatal - Published'!B4</f>
        <v>2015/16</v>
      </c>
      <c r="G8" s="340" t="str">
        <f>'Antenatal - Published'!B5</f>
        <v>End of November</v>
      </c>
    </row>
    <row r="9" spans="1:7" x14ac:dyDescent="0.2">
      <c r="A9" s="116" t="s">
        <v>337</v>
      </c>
      <c r="B9" s="340">
        <f>CAMHS!B5</f>
        <v>42948</v>
      </c>
      <c r="C9" s="271" t="str">
        <f>CAMHS!B7</f>
        <v>28-30th</v>
      </c>
      <c r="E9" s="342" t="s">
        <v>225</v>
      </c>
      <c r="F9" s="340">
        <f>'CAMHS - Published'!B4</f>
        <v>42887</v>
      </c>
      <c r="G9" s="340" t="str">
        <f>'CAMHS - Published'!B5</f>
        <v>Start of March, June, September &amp; December</v>
      </c>
    </row>
    <row r="10" spans="1:7" x14ac:dyDescent="0.2">
      <c r="A10" s="116" t="s">
        <v>338</v>
      </c>
      <c r="B10" s="340">
        <f>'Cancer - 31 Day'!B5</f>
        <v>42948</v>
      </c>
      <c r="C10" s="664" t="str">
        <f>'Cancer - 31 Day'!B7</f>
        <v>25th</v>
      </c>
      <c r="E10" s="342" t="s">
        <v>225</v>
      </c>
      <c r="F10" s="340">
        <f>'Cancer - Published'!B5</f>
        <v>42887</v>
      </c>
      <c r="G10" s="340" t="str">
        <f>'Cancer - Published'!B6</f>
        <v>End of March, June, September &amp; December</v>
      </c>
    </row>
    <row r="11" spans="1:7" x14ac:dyDescent="0.2">
      <c r="A11" s="116" t="s">
        <v>339</v>
      </c>
      <c r="B11" s="340">
        <f>'Cancer - 62 Day'!B8</f>
        <v>42948</v>
      </c>
      <c r="C11" s="665" t="str">
        <f>'Cancer - 62 Day'!B10</f>
        <v>25th</v>
      </c>
      <c r="E11" s="342" t="s">
        <v>225</v>
      </c>
      <c r="F11" s="340">
        <f>'Cancer - Published'!B5</f>
        <v>42887</v>
      </c>
      <c r="G11" s="340" t="str">
        <f>'Cancer - Published'!B6</f>
        <v>End of March, June, September &amp; December</v>
      </c>
    </row>
    <row r="12" spans="1:7" x14ac:dyDescent="0.2">
      <c r="A12" s="116" t="s">
        <v>340</v>
      </c>
      <c r="B12" s="340">
        <f>'Cardiac Arrest'!B5</f>
        <v>42948</v>
      </c>
      <c r="C12" s="341" t="str">
        <f>'Cardiac Arrest'!B7</f>
        <v>14th</v>
      </c>
      <c r="E12" s="271" t="s">
        <v>226</v>
      </c>
      <c r="F12" s="271" t="s">
        <v>226</v>
      </c>
      <c r="G12" s="271" t="s">
        <v>226</v>
      </c>
    </row>
    <row r="13" spans="1:7" x14ac:dyDescent="0.2">
      <c r="A13" s="432" t="s">
        <v>582</v>
      </c>
      <c r="B13" s="340">
        <f>Complaints!B8</f>
        <v>42887</v>
      </c>
      <c r="C13" s="341" t="str">
        <f>Complaints!B11</f>
        <v>28th</v>
      </c>
      <c r="E13" s="342" t="s">
        <v>225</v>
      </c>
      <c r="F13" s="340" t="str">
        <f>'Complaints - Published'!B5</f>
        <v>TBC</v>
      </c>
      <c r="G13" s="340" t="str">
        <f>'Complaints - Published'!B6</f>
        <v>TBC</v>
      </c>
    </row>
    <row r="14" spans="1:7" x14ac:dyDescent="0.2">
      <c r="A14" s="116" t="s">
        <v>341</v>
      </c>
      <c r="B14" s="340">
        <f>'Delayed Discharges'!B5</f>
        <v>42948</v>
      </c>
      <c r="C14" s="341" t="str">
        <f>'Delayed Discharges'!B7</f>
        <v>5th</v>
      </c>
      <c r="E14" s="342" t="s">
        <v>225</v>
      </c>
      <c r="F14" s="340">
        <f>'Delayed Discharges - Published'!B4</f>
        <v>42917</v>
      </c>
      <c r="G14" s="340" t="str">
        <f>'Delayed Discharges - Published'!B5</f>
        <v>2nd Tuesday of the month</v>
      </c>
    </row>
    <row r="15" spans="1:7" ht="15" x14ac:dyDescent="0.25">
      <c r="A15" s="116" t="s">
        <v>342</v>
      </c>
      <c r="B15" s="340">
        <f>Dementia!B5</f>
        <v>42675</v>
      </c>
      <c r="C15" s="341" t="str">
        <f>Dementia!B7</f>
        <v>28-30th</v>
      </c>
      <c r="E15" s="365" t="s">
        <v>225</v>
      </c>
      <c r="F15" s="340" t="str">
        <f>'Dementia - Published'!B5</f>
        <v>2014/15</v>
      </c>
      <c r="G15" s="271" t="str">
        <f>'Dementia - Published'!B6</f>
        <v>tbc</v>
      </c>
    </row>
    <row r="16" spans="1:7" ht="25.5" x14ac:dyDescent="0.2">
      <c r="A16" s="116" t="s">
        <v>343</v>
      </c>
      <c r="B16" s="271" t="s">
        <v>226</v>
      </c>
      <c r="C16" s="271" t="s">
        <v>226</v>
      </c>
      <c r="E16" s="271"/>
      <c r="F16" s="343" t="str">
        <f>DCE!B5</f>
        <v>2015 &amp; 2016 (Combined Calendar Years)</v>
      </c>
      <c r="G16" s="341">
        <f>DCE!B7</f>
        <v>43305</v>
      </c>
    </row>
    <row r="17" spans="1:7" x14ac:dyDescent="0.2">
      <c r="A17" s="116" t="s">
        <v>344</v>
      </c>
      <c r="B17" s="340">
        <f>Diagnostics!B5</f>
        <v>42948</v>
      </c>
      <c r="C17" s="341" t="str">
        <f>Diagnostics!B7</f>
        <v>24th</v>
      </c>
      <c r="E17" s="342" t="s">
        <v>225</v>
      </c>
      <c r="F17" s="340">
        <f>'Diagnostics - Published'!B4</f>
        <v>42887</v>
      </c>
      <c r="G17" s="340" t="str">
        <f>'Diagnostics - Published'!B5</f>
        <v>End of February, May, August &amp; November</v>
      </c>
    </row>
    <row r="18" spans="1:7" ht="15" x14ac:dyDescent="0.25">
      <c r="A18" s="432" t="s">
        <v>345</v>
      </c>
      <c r="B18" s="271" t="s">
        <v>226</v>
      </c>
      <c r="C18" s="271" t="s">
        <v>226</v>
      </c>
      <c r="E18" s="365" t="s">
        <v>225</v>
      </c>
      <c r="F18" s="340">
        <f>'Drug &amp; Alcohol - Published'!B9</f>
        <v>42887</v>
      </c>
      <c r="G18" s="341" t="str">
        <f>'Drug &amp; Alcohol - Published'!B7</f>
        <v>End of following 1/4</v>
      </c>
    </row>
    <row r="19" spans="1:7" x14ac:dyDescent="0.2">
      <c r="A19" s="116" t="s">
        <v>346</v>
      </c>
      <c r="B19" s="340">
        <f>Falls!B5</f>
        <v>42948</v>
      </c>
      <c r="C19" s="341" t="str">
        <f>Falls!B7</f>
        <v>14th</v>
      </c>
      <c r="E19" s="271" t="s">
        <v>226</v>
      </c>
      <c r="F19" s="271" t="s">
        <v>226</v>
      </c>
      <c r="G19" s="271" t="s">
        <v>226</v>
      </c>
    </row>
    <row r="20" spans="1:7" x14ac:dyDescent="0.2">
      <c r="A20" s="116" t="s">
        <v>347</v>
      </c>
      <c r="B20" s="271" t="s">
        <v>226</v>
      </c>
      <c r="C20" s="271" t="s">
        <v>226</v>
      </c>
      <c r="E20" s="271"/>
      <c r="F20" s="271" t="str">
        <f>'GP Access'!B8</f>
        <v>2015/16</v>
      </c>
      <c r="G20" s="271">
        <f>'GP Access'!B11</f>
        <v>2018</v>
      </c>
    </row>
    <row r="21" spans="1:7" x14ac:dyDescent="0.2">
      <c r="A21" s="116" t="s">
        <v>348</v>
      </c>
      <c r="B21" s="340">
        <f>'HAI - C.Diff'!B6</f>
        <v>42948</v>
      </c>
      <c r="C21" s="341" t="str">
        <f>'HAI - C.Diff'!B8</f>
        <v>8th</v>
      </c>
      <c r="E21" s="342" t="s">
        <v>225</v>
      </c>
      <c r="F21" s="340">
        <f>'HAI - Published'!B5</f>
        <v>42795</v>
      </c>
      <c r="G21" s="340" t="str">
        <f>'HAI - Published'!B6</f>
        <v>Start of April, July, October &amp; January</v>
      </c>
    </row>
    <row r="22" spans="1:7" x14ac:dyDescent="0.2">
      <c r="A22" s="116" t="s">
        <v>349</v>
      </c>
      <c r="B22" s="340">
        <f>'HAI - SAB'!B6</f>
        <v>42948</v>
      </c>
      <c r="C22" s="341" t="str">
        <f>'HAI - SAB'!B8</f>
        <v>8th</v>
      </c>
      <c r="E22" s="342" t="s">
        <v>225</v>
      </c>
      <c r="F22" s="340">
        <f>'HAI - Published'!B5</f>
        <v>42795</v>
      </c>
      <c r="G22" s="340" t="str">
        <f>'HAI - Published'!B6</f>
        <v>Start of April, July, October &amp; January</v>
      </c>
    </row>
    <row r="23" spans="1:7" x14ac:dyDescent="0.2">
      <c r="A23" s="116" t="s">
        <v>350</v>
      </c>
      <c r="B23" s="271" t="s">
        <v>226</v>
      </c>
      <c r="C23" s="271" t="s">
        <v>226</v>
      </c>
      <c r="E23" s="271"/>
      <c r="F23" s="271" t="str">
        <f>'Hospital Scorecard'!B12</f>
        <v>Jan - Mar 17</v>
      </c>
      <c r="G23" s="340" t="str">
        <f>'Hospital Scorecard'!B5</f>
        <v>End of 1/4 + 6 months</v>
      </c>
    </row>
    <row r="24" spans="1:7" x14ac:dyDescent="0.2">
      <c r="A24" s="116" t="s">
        <v>165</v>
      </c>
      <c r="B24" s="271" t="s">
        <v>226</v>
      </c>
      <c r="C24" s="271" t="s">
        <v>226</v>
      </c>
      <c r="E24" s="271"/>
      <c r="F24" s="340">
        <f>HSMR!B11</f>
        <v>42795</v>
      </c>
      <c r="G24" s="340" t="str">
        <f>HSMR!B13</f>
        <v>End of 1/4 + 5 months</v>
      </c>
    </row>
    <row r="25" spans="1:7" x14ac:dyDescent="0.2">
      <c r="A25" s="116" t="s">
        <v>359</v>
      </c>
      <c r="B25" s="340">
        <f>'Inpatient - TTG'!B6</f>
        <v>42948</v>
      </c>
      <c r="C25" s="341" t="str">
        <f>'Inpatient - TTG'!B8</f>
        <v>24th</v>
      </c>
      <c r="E25" s="342" t="s">
        <v>225</v>
      </c>
      <c r="F25" s="340">
        <f>'Inpatient - Published'!B5</f>
        <v>42887</v>
      </c>
      <c r="G25" s="340" t="str">
        <f>'Inpatient - Published'!B6</f>
        <v>End of February, May, August &amp; November</v>
      </c>
    </row>
    <row r="26" spans="1:7" x14ac:dyDescent="0.2">
      <c r="A26" s="116" t="s">
        <v>351</v>
      </c>
      <c r="B26" s="340">
        <f>IVF!B5</f>
        <v>42948</v>
      </c>
      <c r="C26" s="271" t="str">
        <f>IVF!B7</f>
        <v>Mid-end of month</v>
      </c>
      <c r="E26" s="342" t="s">
        <v>225</v>
      </c>
      <c r="F26" s="340">
        <f>'IVF - Published'!B4</f>
        <v>42887</v>
      </c>
      <c r="G26" s="340" t="str">
        <f>'IVF - Published'!B5</f>
        <v>End of February, May, August &amp; November</v>
      </c>
    </row>
    <row r="27" spans="1:7" x14ac:dyDescent="0.2">
      <c r="A27" s="116" t="s">
        <v>352</v>
      </c>
      <c r="B27" s="340">
        <f>Outpatient!B6</f>
        <v>42948</v>
      </c>
      <c r="C27" s="341" t="str">
        <f>Outpatient!B8</f>
        <v>24th</v>
      </c>
      <c r="E27" s="342" t="s">
        <v>225</v>
      </c>
      <c r="F27" s="340">
        <f>'Outpatient - Published'!B5</f>
        <v>42887</v>
      </c>
      <c r="G27" s="340" t="str">
        <f>'Outpatient - Published'!B6</f>
        <v>End of February, May, August &amp; November</v>
      </c>
    </row>
    <row r="28" spans="1:7" x14ac:dyDescent="0.2">
      <c r="A28" s="116" t="s">
        <v>353</v>
      </c>
      <c r="B28" s="340">
        <f>'Patient Experience'!B5</f>
        <v>42887</v>
      </c>
      <c r="C28" s="341" t="str">
        <f>'Patient Experience'!B7</f>
        <v>20th</v>
      </c>
      <c r="E28" s="271" t="s">
        <v>226</v>
      </c>
      <c r="F28" s="271" t="s">
        <v>226</v>
      </c>
      <c r="G28" s="271" t="s">
        <v>226</v>
      </c>
    </row>
    <row r="29" spans="1:7" x14ac:dyDescent="0.2">
      <c r="A29" s="432" t="s">
        <v>473</v>
      </c>
      <c r="B29" s="340">
        <f>'P.R. Surveillance Endoscopy'!B5</f>
        <v>42948</v>
      </c>
      <c r="C29" s="271" t="str">
        <f>'P.R. Surveillance Endoscopy'!B7</f>
        <v>1st Friday of month</v>
      </c>
      <c r="E29" s="271" t="s">
        <v>226</v>
      </c>
      <c r="F29" s="271" t="s">
        <v>226</v>
      </c>
      <c r="G29" s="271" t="s">
        <v>226</v>
      </c>
    </row>
    <row r="30" spans="1:7" x14ac:dyDescent="0.2">
      <c r="A30" s="116" t="s">
        <v>354</v>
      </c>
      <c r="B30" s="340">
        <f>'Psych Therapies'!B5</f>
        <v>42948</v>
      </c>
      <c r="C30" s="271" t="str">
        <f>'Psych Therapies'!B7</f>
        <v>28-30th</v>
      </c>
      <c r="E30" s="342" t="s">
        <v>225</v>
      </c>
      <c r="F30" s="340">
        <f>'Psych Therapies - Published'!B4</f>
        <v>42887</v>
      </c>
      <c r="G30" s="340" t="str">
        <f>'Psych Therapies - Published'!B5</f>
        <v>Start of March, June, September &amp; December</v>
      </c>
    </row>
    <row r="31" spans="1:7" x14ac:dyDescent="0.2">
      <c r="A31" s="116" t="s">
        <v>355</v>
      </c>
      <c r="B31" s="340">
        <f>RTT!B5</f>
        <v>42948</v>
      </c>
      <c r="C31" s="341" t="str">
        <f>RTT!B7</f>
        <v>24th</v>
      </c>
      <c r="E31" s="342" t="s">
        <v>225</v>
      </c>
      <c r="F31" s="340">
        <f>'RTT - Published'!B4</f>
        <v>42887</v>
      </c>
      <c r="G31" s="340" t="str">
        <f>'RTT - Published'!B5</f>
        <v>End of February, May, August &amp; November</v>
      </c>
    </row>
    <row r="32" spans="1:7" x14ac:dyDescent="0.2">
      <c r="A32" s="116" t="s">
        <v>356</v>
      </c>
      <c r="B32" s="340">
        <f>'Sickness Absence'!B5</f>
        <v>42917</v>
      </c>
      <c r="C32" s="341" t="str">
        <f>'Sickness Absence'!B7</f>
        <v>25th</v>
      </c>
      <c r="E32" s="342" t="s">
        <v>225</v>
      </c>
      <c r="F32" s="340" t="str">
        <f>'Sickness Absence - Published'!B4</f>
        <v>2016/17</v>
      </c>
      <c r="G32" s="340" t="str">
        <f>'Sickness Absence - Published'!B5</f>
        <v>Start of June</v>
      </c>
    </row>
    <row r="33" spans="1:10" x14ac:dyDescent="0.2">
      <c r="A33" s="116" t="s">
        <v>357</v>
      </c>
      <c r="B33" s="340">
        <f>'Smoking Cessation'!B5</f>
        <v>42795</v>
      </c>
      <c r="C33" s="271" t="str">
        <f>'Smoking Cessation'!B7</f>
        <v>End of 1/4 + 4 months</v>
      </c>
      <c r="E33" s="342" t="s">
        <v>225</v>
      </c>
      <c r="F33" s="340" t="str">
        <f>'Smoking Cessation - Published'!B4</f>
        <v>2015/16</v>
      </c>
      <c r="G33" s="340" t="str">
        <f>'Smoking Cessation - Published'!B5</f>
        <v>Start of October</v>
      </c>
    </row>
    <row r="34" spans="1:10" x14ac:dyDescent="0.2">
      <c r="A34" s="116" t="s">
        <v>358</v>
      </c>
      <c r="B34" s="340">
        <f>Stroke!B10</f>
        <v>42887</v>
      </c>
      <c r="C34" s="341" t="str">
        <f>Stroke!B12</f>
        <v>29th</v>
      </c>
      <c r="E34" s="271" t="s">
        <v>226</v>
      </c>
      <c r="F34" s="271" t="s">
        <v>226</v>
      </c>
      <c r="G34" s="271" t="s">
        <v>226</v>
      </c>
    </row>
    <row r="36" spans="1:10" x14ac:dyDescent="0.2">
      <c r="A36" s="277" t="s">
        <v>649</v>
      </c>
    </row>
    <row r="37" spans="1:10" x14ac:dyDescent="0.2">
      <c r="A37" s="616" t="s">
        <v>650</v>
      </c>
    </row>
    <row r="39" spans="1:10" x14ac:dyDescent="0.2">
      <c r="A39" s="733" t="s">
        <v>754</v>
      </c>
    </row>
    <row r="40" spans="1:10" x14ac:dyDescent="0.2">
      <c r="A40" s="667" t="s">
        <v>756</v>
      </c>
    </row>
    <row r="41" spans="1:10" x14ac:dyDescent="0.2">
      <c r="A41" s="450" t="s">
        <v>755</v>
      </c>
      <c r="J41" s="199" t="s">
        <v>385</v>
      </c>
    </row>
    <row r="42" spans="1:10" x14ac:dyDescent="0.2">
      <c r="A42" s="155" t="s">
        <v>757</v>
      </c>
    </row>
  </sheetData>
  <phoneticPr fontId="0" type="noConversion"/>
  <hyperlinks>
    <hyperlink ref="A6" location="'A&amp;E WT'!A1" display="A&amp;E Waiting Times"/>
    <hyperlink ref="A7" location="ABI!A1" display="Alcohol Brief Interventions (ABI)"/>
    <hyperlink ref="A8" location="Antenatal!A1" display="Early Access to Antenatal Services"/>
    <hyperlink ref="A9" location="CAMHS!A1" display="Child &amp; Adolescent Mental Health Services"/>
    <hyperlink ref="A10" location="'Cancer - 31 Day'!A1" display="Cancer Waiting Times - 31 Day"/>
    <hyperlink ref="A11" location="'Cancer - 62 Day'!A1" display="Cancer Waiting Times - 62 Day"/>
    <hyperlink ref="A12" location="'Cardiac Arrest'!A1" display="Cardiac Arrest"/>
    <hyperlink ref="A13" location="Complaints!A1" display="Complaints - Stage 1 &amp; 2"/>
    <hyperlink ref="A14" location="'Delayed Discharges'!A1" display="Delayed Discharges"/>
    <hyperlink ref="A15" location="Dementia!A1" display="Dementia Post Diagnostic Support"/>
    <hyperlink ref="A16" location="DCE!A1" display="Detect Cancer Early"/>
    <hyperlink ref="A17" location="Diagnostics!A1" display="Diagnostics Waiting Times"/>
    <hyperlink ref="A19" location="Falls!A1" display="Falls with Harm"/>
    <hyperlink ref="A20" location="'GP Access'!A1" display="GP Access"/>
    <hyperlink ref="A21" location="'HAI - C.Diff'!A1" display="Healthcare Associated Infections - C.Diff"/>
    <hyperlink ref="A22" location="'HAI - SAB'!A1" display="Healthcare Associated Infections - SAB"/>
    <hyperlink ref="A23" location="'Hospital Scorecard'!A1" display="Hospital Scorecard"/>
    <hyperlink ref="A25" location="'Inpatient - TTG'!A1" display="Inpatient - Treatment Time Guarantee (12 Weeks)"/>
    <hyperlink ref="A26" location="IVF!A1" display="IVF Waiting Times"/>
    <hyperlink ref="A27" location="Outpatient!A1" display="Outpatient Waiting Times (12 Week)"/>
    <hyperlink ref="A28" location="'Patient Experience'!A1" display="Patient Experience"/>
    <hyperlink ref="A30" location="'Psych Therapies'!A1" display="Psychological Therapies"/>
    <hyperlink ref="A31" location="RTT!A1" display="Referral To Treatment (18 Weeks)"/>
    <hyperlink ref="A32" location="'Sickness Absence'!A1" display="Sickness Absence"/>
    <hyperlink ref="A33" location="'Smoking Cessation'!A1" display="Smoking Cessation"/>
    <hyperlink ref="A34" location="Stroke!A1" display="Stroke Bundle"/>
    <hyperlink ref="A29" location="'P.R. Surveillance Endoscopy'!A1" display="Planned Repeat Surveillance Endoscopy"/>
    <hyperlink ref="A3" location="'Overview Table'!A1" display="Overview Table"/>
    <hyperlink ref="A24" location="HSMR!A1" display="HSMR"/>
    <hyperlink ref="E6" location="'A&amp;E WT - Published'!A1" display="Here"/>
    <hyperlink ref="E8" location="'Antenatal - Published'!A1" display="Here"/>
    <hyperlink ref="E9" location="'CAMHS - Published'!A1" display="Here"/>
    <hyperlink ref="E10:E11" location="'Cancer - Published'!A1" display="Here"/>
    <hyperlink ref="E13" location="'Complaints - Published'!A1" display="Here"/>
    <hyperlink ref="E14" location="'Delayed Discharges - Published'!A1" display="Here"/>
    <hyperlink ref="E7" location="'ABI - Published'!A1" display="Here"/>
    <hyperlink ref="E17" location="'Diagnostics - Published'!A1" display="Here"/>
    <hyperlink ref="E21" location="'HAI - Published'!A1" display="Here"/>
    <hyperlink ref="E22" location="'HAI - Published'!A1" display="Here"/>
    <hyperlink ref="E25" location="'Inpatient - Published'!A1" display="Here"/>
    <hyperlink ref="E26" location="'IVF - Published'!A1" display="Here"/>
    <hyperlink ref="E27" location="'Outpatient - Published'!A1" display="Here"/>
    <hyperlink ref="E30" location="'Psych Therapies - Published'!A1" display="Here"/>
    <hyperlink ref="E31" location="'RTT - Published'!A1" display="Here"/>
    <hyperlink ref="E32" location="'Sickness Absence - Published'!A1" display="Here"/>
    <hyperlink ref="E33" location="'Smoking Cessation - Published'!A1" display="Here"/>
    <hyperlink ref="E15" location="'Dementia - Published'!A1" display="Here"/>
    <hyperlink ref="E18" location="'Drug &amp; Alcohol - Published'!A1" display="Here"/>
    <hyperlink ref="A18" location="'Drug &amp; Alcohol - Published'!A1" display="Drug &amp; Alcohol Waiting Times"/>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sheetPr>
  <dimension ref="A1:Q34"/>
  <sheetViews>
    <sheetView workbookViewId="0"/>
  </sheetViews>
  <sheetFormatPr defaultColWidth="9.140625" defaultRowHeight="12.75" x14ac:dyDescent="0.2"/>
  <cols>
    <col min="1" max="1" width="18.85546875" style="117" bestFit="1" customWidth="1"/>
    <col min="2" max="2" width="9.85546875" style="117" bestFit="1" customWidth="1"/>
    <col min="3" max="16384" width="9.140625" style="117"/>
  </cols>
  <sheetData>
    <row r="1" spans="1:17" x14ac:dyDescent="0.2">
      <c r="A1" s="116" t="s">
        <v>360</v>
      </c>
    </row>
    <row r="2" spans="1:17" x14ac:dyDescent="0.2">
      <c r="A2" s="116"/>
    </row>
    <row r="3" spans="1:17" x14ac:dyDescent="0.2">
      <c r="A3" s="137" t="s">
        <v>151</v>
      </c>
      <c r="B3" s="139" t="str">
        <f>IF(HLOOKUP(MAX(B7:Q7),A7:Q9,3,0)&gt;HLOOKUP(MAX(B7:Q7),A7:Q9,2,0),"Better", "Worse")</f>
        <v>Worse</v>
      </c>
      <c r="C3" s="122" t="b">
        <f>IF(HLOOKUP(MAX(B7:Q7),A7:Q9,3,0)=HLOOKUP(MAX(B7:Q7),A7:Q9,2,0),"Equal")</f>
        <v>0</v>
      </c>
    </row>
    <row r="4" spans="1:17" x14ac:dyDescent="0.2">
      <c r="A4" s="137" t="s">
        <v>148</v>
      </c>
      <c r="B4" s="138">
        <f>MAX(B7:Q7)</f>
        <v>42887</v>
      </c>
    </row>
    <row r="5" spans="1:17" x14ac:dyDescent="0.2">
      <c r="A5" s="137" t="s">
        <v>215</v>
      </c>
      <c r="B5" s="138" t="s">
        <v>222</v>
      </c>
    </row>
    <row r="7" spans="1:17" x14ac:dyDescent="0.2">
      <c r="A7" s="146"/>
      <c r="B7" s="167">
        <v>42156</v>
      </c>
      <c r="C7" s="167">
        <v>42248</v>
      </c>
      <c r="D7" s="167">
        <v>42339</v>
      </c>
      <c r="E7" s="167">
        <v>42430</v>
      </c>
      <c r="F7" s="167">
        <v>42522</v>
      </c>
      <c r="G7" s="167">
        <v>42615</v>
      </c>
      <c r="H7" s="167">
        <v>42705</v>
      </c>
      <c r="I7" s="167">
        <v>42796</v>
      </c>
      <c r="J7" s="549">
        <v>42887</v>
      </c>
      <c r="K7" s="167"/>
      <c r="L7" s="167"/>
      <c r="M7" s="167"/>
      <c r="N7" s="167"/>
      <c r="O7" s="167"/>
      <c r="P7" s="167"/>
      <c r="Q7" s="167"/>
    </row>
    <row r="8" spans="1:17" x14ac:dyDescent="0.2">
      <c r="A8" s="168" t="s">
        <v>386</v>
      </c>
      <c r="B8" s="169">
        <v>0.76700000000000002</v>
      </c>
      <c r="C8" s="169">
        <v>0.73099999999999998</v>
      </c>
      <c r="D8" s="169">
        <v>0.76200000000000001</v>
      </c>
      <c r="E8" s="170">
        <v>0.84399999999999997</v>
      </c>
      <c r="F8" s="170">
        <v>0.77700000000000002</v>
      </c>
      <c r="G8" s="170">
        <v>0.78600000000000003</v>
      </c>
      <c r="H8" s="169">
        <v>0.82499999999999996</v>
      </c>
      <c r="I8" s="169">
        <v>0.83599999999999997</v>
      </c>
      <c r="J8" s="169">
        <v>0.80700000000000005</v>
      </c>
      <c r="K8" s="169"/>
      <c r="L8" s="169"/>
      <c r="M8" s="170"/>
      <c r="N8" s="170"/>
      <c r="O8" s="170"/>
      <c r="P8" s="169"/>
      <c r="Q8" s="169"/>
    </row>
    <row r="9" spans="1:17" x14ac:dyDescent="0.2">
      <c r="A9" s="168" t="s">
        <v>387</v>
      </c>
      <c r="B9" s="169">
        <v>0.58299999999999996</v>
      </c>
      <c r="C9" s="169">
        <v>0.68200000000000005</v>
      </c>
      <c r="D9" s="169">
        <v>0.59299999999999997</v>
      </c>
      <c r="E9" s="169">
        <v>0.66600000000000004</v>
      </c>
      <c r="F9" s="169">
        <v>0.57399999999999995</v>
      </c>
      <c r="G9" s="169">
        <v>0.55800000000000005</v>
      </c>
      <c r="H9" s="169">
        <v>0.495</v>
      </c>
      <c r="I9" s="169">
        <v>0.47799999999999998</v>
      </c>
      <c r="J9" s="169">
        <v>0.58699999999999997</v>
      </c>
      <c r="K9" s="169"/>
      <c r="L9" s="169"/>
      <c r="M9" s="169"/>
      <c r="N9" s="169"/>
      <c r="O9" s="169"/>
      <c r="P9" s="169"/>
      <c r="Q9" s="169"/>
    </row>
    <row r="11" spans="1:17" x14ac:dyDescent="0.2">
      <c r="A11" s="155"/>
    </row>
    <row r="15" spans="1:17"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W154"/>
  <sheetViews>
    <sheetView workbookViewId="0">
      <pane xSplit="1" topLeftCell="B1" activePane="topRight" state="frozen"/>
      <selection pane="topRight"/>
    </sheetView>
  </sheetViews>
  <sheetFormatPr defaultColWidth="9.140625" defaultRowHeight="12.75" x14ac:dyDescent="0.2"/>
  <cols>
    <col min="1" max="1" width="27.7109375" style="117" customWidth="1"/>
    <col min="2" max="6" width="9.85546875" style="117" customWidth="1"/>
    <col min="7" max="24" width="9.140625" style="117" customWidth="1"/>
    <col min="25" max="16384" width="9.140625" style="117"/>
  </cols>
  <sheetData>
    <row r="1" spans="1:49" x14ac:dyDescent="0.2">
      <c r="A1" s="298" t="s">
        <v>360</v>
      </c>
      <c r="B1" s="388"/>
    </row>
    <row r="2" spans="1:49" x14ac:dyDescent="0.2">
      <c r="A2" s="116"/>
    </row>
    <row r="3" spans="1:49" x14ac:dyDescent="0.2">
      <c r="A3" s="118" t="s">
        <v>454</v>
      </c>
      <c r="B3" s="117" t="s">
        <v>459</v>
      </c>
    </row>
    <row r="4" spans="1:49" x14ac:dyDescent="0.2">
      <c r="A4" s="118" t="s">
        <v>147</v>
      </c>
      <c r="B4" s="172">
        <f>HLOOKUP(MAX(B10:AW10),B10:AW24,2,0)</f>
        <v>0.878</v>
      </c>
    </row>
    <row r="5" spans="1:49" x14ac:dyDescent="0.2">
      <c r="A5" s="118" t="s">
        <v>119</v>
      </c>
      <c r="B5" s="121">
        <f>MAX(B10:AW10)</f>
        <v>42948</v>
      </c>
    </row>
    <row r="6" spans="1:49" x14ac:dyDescent="0.2">
      <c r="A6" s="118" t="s">
        <v>201</v>
      </c>
      <c r="B6" s="419" t="s">
        <v>182</v>
      </c>
    </row>
    <row r="7" spans="1:49" x14ac:dyDescent="0.2">
      <c r="A7" s="118" t="s">
        <v>456</v>
      </c>
      <c r="B7" s="508" t="s">
        <v>143</v>
      </c>
    </row>
    <row r="9" spans="1:49" x14ac:dyDescent="0.2">
      <c r="A9" s="137" t="s">
        <v>366</v>
      </c>
      <c r="B9" s="155"/>
      <c r="C9" s="155"/>
      <c r="D9" s="155"/>
      <c r="E9" s="155"/>
      <c r="F9" s="155"/>
      <c r="G9" s="155"/>
      <c r="H9" s="155"/>
      <c r="I9" s="155"/>
      <c r="J9" s="155"/>
      <c r="K9" s="155"/>
      <c r="L9" s="155"/>
      <c r="M9" s="155"/>
      <c r="N9" s="155"/>
      <c r="O9" s="155"/>
      <c r="P9" s="155"/>
      <c r="Q9" s="155"/>
      <c r="R9" s="155"/>
      <c r="S9" s="155"/>
      <c r="T9" s="155"/>
      <c r="U9" s="155"/>
      <c r="V9" s="155"/>
      <c r="W9" s="155"/>
      <c r="X9" s="155"/>
      <c r="Y9" s="155"/>
    </row>
    <row r="10" spans="1:49" x14ac:dyDescent="0.2">
      <c r="A10" s="168" t="s">
        <v>365</v>
      </c>
      <c r="B10" s="167">
        <v>42095</v>
      </c>
      <c r="C10" s="167">
        <v>42125</v>
      </c>
      <c r="D10" s="167">
        <v>42156</v>
      </c>
      <c r="E10" s="167">
        <v>42186</v>
      </c>
      <c r="F10" s="167">
        <v>42217</v>
      </c>
      <c r="G10" s="174">
        <v>42248</v>
      </c>
      <c r="H10" s="175">
        <v>42278</v>
      </c>
      <c r="I10" s="175">
        <v>42309</v>
      </c>
      <c r="J10" s="175">
        <v>42339</v>
      </c>
      <c r="K10" s="175">
        <v>42370</v>
      </c>
      <c r="L10" s="175">
        <v>42401</v>
      </c>
      <c r="M10" s="175">
        <v>42430</v>
      </c>
      <c r="N10" s="175">
        <v>42461</v>
      </c>
      <c r="O10" s="175">
        <v>42491</v>
      </c>
      <c r="P10" s="175">
        <v>42522</v>
      </c>
      <c r="Q10" s="175">
        <v>42552</v>
      </c>
      <c r="R10" s="175">
        <v>42583</v>
      </c>
      <c r="S10" s="175">
        <v>42614</v>
      </c>
      <c r="T10" s="175">
        <v>42644</v>
      </c>
      <c r="U10" s="175">
        <v>42675</v>
      </c>
      <c r="V10" s="175">
        <v>42705</v>
      </c>
      <c r="W10" s="175">
        <v>42736</v>
      </c>
      <c r="X10" s="175">
        <v>42767</v>
      </c>
      <c r="Y10" s="175">
        <v>42795</v>
      </c>
      <c r="Z10" s="175">
        <v>42826</v>
      </c>
      <c r="AA10" s="175">
        <v>42856</v>
      </c>
      <c r="AB10" s="175">
        <v>42887</v>
      </c>
      <c r="AC10" s="175">
        <v>42917</v>
      </c>
      <c r="AD10" s="175">
        <v>42948</v>
      </c>
      <c r="AE10" s="174"/>
      <c r="AF10" s="175"/>
      <c r="AG10" s="175"/>
      <c r="AH10" s="175"/>
      <c r="AI10" s="175"/>
      <c r="AJ10" s="175"/>
      <c r="AK10" s="175"/>
      <c r="AL10" s="175"/>
      <c r="AM10" s="175"/>
      <c r="AN10" s="175"/>
      <c r="AO10" s="175"/>
      <c r="AP10" s="175"/>
      <c r="AQ10" s="175"/>
      <c r="AR10" s="175"/>
      <c r="AS10" s="175"/>
      <c r="AT10" s="175"/>
      <c r="AU10" s="175"/>
      <c r="AV10" s="175"/>
      <c r="AW10" s="175"/>
    </row>
    <row r="11" spans="1:49" x14ac:dyDescent="0.2">
      <c r="A11" s="176" t="s">
        <v>367</v>
      </c>
      <c r="B11" s="177">
        <v>0.97399999999999998</v>
      </c>
      <c r="C11" s="177">
        <v>0.95599999999999996</v>
      </c>
      <c r="D11" s="177">
        <v>0.96599999999999997</v>
      </c>
      <c r="E11" s="177">
        <v>0.97399999999999998</v>
      </c>
      <c r="F11" s="177">
        <v>0.96799999999999997</v>
      </c>
      <c r="G11" s="132">
        <v>0.97899999999999998</v>
      </c>
      <c r="H11" s="177">
        <v>0.97699999999999998</v>
      </c>
      <c r="I11" s="177">
        <v>0.96499999999999997</v>
      </c>
      <c r="J11" s="177">
        <v>0.95299999999999996</v>
      </c>
      <c r="K11" s="177">
        <v>0.95199999999999996</v>
      </c>
      <c r="L11" s="177">
        <v>0.94699999999999995</v>
      </c>
      <c r="M11" s="177">
        <v>0.94399999999999995</v>
      </c>
      <c r="N11" s="177">
        <v>0.94599999999999995</v>
      </c>
      <c r="O11" s="177">
        <v>0.93600000000000005</v>
      </c>
      <c r="P11" s="177">
        <v>0.95699999999999996</v>
      </c>
      <c r="Q11" s="177">
        <v>0.96</v>
      </c>
      <c r="R11" s="177">
        <v>0.91300000000000003</v>
      </c>
      <c r="S11" s="177">
        <v>0.92</v>
      </c>
      <c r="T11" s="178">
        <v>0.92700000000000005</v>
      </c>
      <c r="U11" s="178">
        <v>0.91500000000000004</v>
      </c>
      <c r="V11" s="177">
        <v>0.95599999999999996</v>
      </c>
      <c r="W11" s="177">
        <v>0.91300000000000003</v>
      </c>
      <c r="X11" s="177">
        <v>0.92600000000000005</v>
      </c>
      <c r="Y11" s="478">
        <v>0.96299999999999997</v>
      </c>
      <c r="Z11" s="177">
        <v>0.94599999999999995</v>
      </c>
      <c r="AA11" s="177">
        <v>0.92900000000000005</v>
      </c>
      <c r="AB11" s="177">
        <v>0.94299999999999995</v>
      </c>
      <c r="AC11" s="177">
        <v>0.93300000000000005</v>
      </c>
      <c r="AD11" s="177">
        <v>0.878</v>
      </c>
      <c r="AE11" s="132"/>
      <c r="AF11" s="177"/>
      <c r="AG11" s="177"/>
      <c r="AH11" s="177"/>
      <c r="AI11" s="177"/>
      <c r="AJ11" s="177"/>
      <c r="AK11" s="177"/>
      <c r="AL11" s="177"/>
      <c r="AM11" s="177"/>
      <c r="AN11" s="177"/>
      <c r="AO11" s="177"/>
      <c r="AP11" s="177"/>
      <c r="AQ11" s="177"/>
      <c r="AR11" s="178"/>
      <c r="AS11" s="178"/>
      <c r="AT11" s="177"/>
      <c r="AU11" s="177"/>
      <c r="AV11" s="177"/>
      <c r="AW11" s="177"/>
    </row>
    <row r="12" spans="1:49" x14ac:dyDescent="0.2">
      <c r="A12" s="179" t="s">
        <v>368</v>
      </c>
      <c r="B12" s="180">
        <v>1</v>
      </c>
      <c r="C12" s="180">
        <v>1</v>
      </c>
      <c r="D12" s="180">
        <v>1</v>
      </c>
      <c r="E12" s="180">
        <v>1</v>
      </c>
      <c r="F12" s="180">
        <v>1</v>
      </c>
      <c r="G12" s="180">
        <v>1</v>
      </c>
      <c r="H12" s="169">
        <v>1</v>
      </c>
      <c r="I12" s="169">
        <v>1</v>
      </c>
      <c r="J12" s="169">
        <v>1</v>
      </c>
      <c r="K12" s="169">
        <v>1</v>
      </c>
      <c r="L12" s="169">
        <v>1</v>
      </c>
      <c r="M12" s="169">
        <v>1</v>
      </c>
      <c r="N12" s="169">
        <v>1</v>
      </c>
      <c r="O12" s="169">
        <v>1</v>
      </c>
      <c r="P12" s="169">
        <v>1</v>
      </c>
      <c r="Q12" s="169">
        <v>1</v>
      </c>
      <c r="R12" s="169">
        <v>1</v>
      </c>
      <c r="S12" s="169">
        <v>1</v>
      </c>
      <c r="T12" s="181">
        <v>1</v>
      </c>
      <c r="U12" s="181">
        <v>1</v>
      </c>
      <c r="V12" s="169">
        <v>1</v>
      </c>
      <c r="W12" s="169">
        <v>1</v>
      </c>
      <c r="X12" s="169">
        <v>1</v>
      </c>
      <c r="Y12" s="169">
        <v>1</v>
      </c>
      <c r="Z12" s="180">
        <v>1</v>
      </c>
      <c r="AA12" s="180">
        <v>1</v>
      </c>
      <c r="AB12" s="180">
        <v>1</v>
      </c>
      <c r="AC12" s="180">
        <v>1</v>
      </c>
      <c r="AD12" s="180">
        <v>1</v>
      </c>
      <c r="AE12" s="180"/>
      <c r="AF12" s="169"/>
      <c r="AG12" s="169"/>
      <c r="AH12" s="169"/>
      <c r="AI12" s="169"/>
      <c r="AJ12" s="169"/>
      <c r="AK12" s="169"/>
      <c r="AL12" s="169"/>
      <c r="AM12" s="169"/>
      <c r="AN12" s="169"/>
      <c r="AO12" s="169"/>
      <c r="AP12" s="169"/>
      <c r="AQ12" s="169"/>
      <c r="AR12" s="181"/>
      <c r="AS12" s="181"/>
      <c r="AT12" s="169"/>
      <c r="AU12" s="169"/>
      <c r="AV12" s="169"/>
      <c r="AW12" s="169"/>
    </row>
    <row r="13" spans="1:49" x14ac:dyDescent="0.2">
      <c r="A13" s="179" t="s">
        <v>369</v>
      </c>
      <c r="B13" s="180">
        <v>1</v>
      </c>
      <c r="C13" s="180">
        <v>1</v>
      </c>
      <c r="D13" s="180">
        <v>1</v>
      </c>
      <c r="E13" s="180">
        <v>1</v>
      </c>
      <c r="F13" s="180">
        <v>1</v>
      </c>
      <c r="G13" s="180">
        <v>1</v>
      </c>
      <c r="H13" s="169">
        <v>1</v>
      </c>
      <c r="I13" s="169">
        <v>1</v>
      </c>
      <c r="J13" s="169">
        <v>1</v>
      </c>
      <c r="K13" s="169">
        <v>1</v>
      </c>
      <c r="L13" s="169">
        <v>1</v>
      </c>
      <c r="M13" s="169">
        <v>1</v>
      </c>
      <c r="N13" s="169">
        <v>1</v>
      </c>
      <c r="O13" s="169">
        <v>1</v>
      </c>
      <c r="P13" s="169">
        <v>1</v>
      </c>
      <c r="Q13" s="169">
        <v>1</v>
      </c>
      <c r="R13" s="169">
        <v>1</v>
      </c>
      <c r="S13" s="169">
        <v>1</v>
      </c>
      <c r="T13" s="181">
        <v>1</v>
      </c>
      <c r="U13" s="181">
        <v>1</v>
      </c>
      <c r="V13" s="169">
        <v>1</v>
      </c>
      <c r="W13" s="169">
        <v>0.95833333333333337</v>
      </c>
      <c r="X13" s="169">
        <v>1</v>
      </c>
      <c r="Y13" s="169">
        <v>1</v>
      </c>
      <c r="Z13" s="180">
        <v>1</v>
      </c>
      <c r="AA13" s="180">
        <v>1</v>
      </c>
      <c r="AB13" s="180">
        <v>0.97899999999999998</v>
      </c>
      <c r="AC13" s="180">
        <v>1</v>
      </c>
      <c r="AD13" s="180">
        <v>1</v>
      </c>
      <c r="AE13" s="180"/>
      <c r="AF13" s="169"/>
      <c r="AG13" s="169"/>
      <c r="AH13" s="169"/>
      <c r="AI13" s="169"/>
      <c r="AJ13" s="169"/>
      <c r="AK13" s="169"/>
      <c r="AL13" s="169"/>
      <c r="AM13" s="169"/>
      <c r="AN13" s="169"/>
      <c r="AO13" s="169"/>
      <c r="AP13" s="169"/>
      <c r="AQ13" s="169"/>
      <c r="AR13" s="181"/>
      <c r="AS13" s="181"/>
      <c r="AT13" s="169"/>
      <c r="AU13" s="169"/>
      <c r="AV13" s="169"/>
      <c r="AW13" s="169"/>
    </row>
    <row r="14" spans="1:49" x14ac:dyDescent="0.2">
      <c r="A14" s="179" t="s">
        <v>370</v>
      </c>
      <c r="B14" s="180">
        <v>1</v>
      </c>
      <c r="C14" s="180">
        <v>1</v>
      </c>
      <c r="D14" s="180">
        <v>1</v>
      </c>
      <c r="E14" s="180" t="s">
        <v>372</v>
      </c>
      <c r="F14" s="180">
        <v>1</v>
      </c>
      <c r="G14" s="180">
        <v>1</v>
      </c>
      <c r="H14" s="169">
        <v>1</v>
      </c>
      <c r="I14" s="169">
        <v>1</v>
      </c>
      <c r="J14" s="169">
        <v>0.9</v>
      </c>
      <c r="K14" s="169">
        <v>1</v>
      </c>
      <c r="L14" s="169">
        <v>1</v>
      </c>
      <c r="M14" s="169">
        <v>0.8</v>
      </c>
      <c r="N14" s="169">
        <v>1</v>
      </c>
      <c r="O14" s="169">
        <v>1</v>
      </c>
      <c r="P14" s="169">
        <v>1</v>
      </c>
      <c r="Q14" s="169">
        <v>1</v>
      </c>
      <c r="R14" s="169">
        <v>1</v>
      </c>
      <c r="S14" s="169">
        <v>1</v>
      </c>
      <c r="T14" s="181">
        <v>1</v>
      </c>
      <c r="U14" s="181">
        <v>1</v>
      </c>
      <c r="V14" s="169" t="s">
        <v>372</v>
      </c>
      <c r="W14" s="169">
        <v>1</v>
      </c>
      <c r="X14" s="169">
        <v>1</v>
      </c>
      <c r="Y14" s="169">
        <v>1</v>
      </c>
      <c r="Z14" s="180">
        <v>1</v>
      </c>
      <c r="AA14" s="180">
        <v>1</v>
      </c>
      <c r="AB14" s="180">
        <v>1</v>
      </c>
      <c r="AC14" s="180">
        <v>1</v>
      </c>
      <c r="AD14" s="180">
        <v>0</v>
      </c>
      <c r="AE14" s="180"/>
      <c r="AF14" s="169"/>
      <c r="AG14" s="169"/>
      <c r="AH14" s="169"/>
      <c r="AI14" s="169"/>
      <c r="AJ14" s="169"/>
      <c r="AK14" s="169"/>
      <c r="AL14" s="169"/>
      <c r="AM14" s="169"/>
      <c r="AN14" s="169"/>
      <c r="AO14" s="169"/>
      <c r="AP14" s="169"/>
      <c r="AQ14" s="169"/>
      <c r="AR14" s="181"/>
      <c r="AS14" s="181"/>
      <c r="AT14" s="169"/>
      <c r="AU14" s="169"/>
      <c r="AV14" s="169"/>
      <c r="AW14" s="169"/>
    </row>
    <row r="15" spans="1:49" x14ac:dyDescent="0.2">
      <c r="A15" s="179" t="s">
        <v>371</v>
      </c>
      <c r="B15" s="180">
        <v>1</v>
      </c>
      <c r="C15" s="180" t="s">
        <v>372</v>
      </c>
      <c r="D15" s="180">
        <v>1</v>
      </c>
      <c r="E15" s="180">
        <v>1</v>
      </c>
      <c r="F15" s="180" t="s">
        <v>372</v>
      </c>
      <c r="G15" s="180" t="s">
        <v>372</v>
      </c>
      <c r="H15" s="169">
        <v>1</v>
      </c>
      <c r="I15" s="169">
        <v>1</v>
      </c>
      <c r="J15" s="169">
        <v>1</v>
      </c>
      <c r="K15" s="169">
        <v>1</v>
      </c>
      <c r="L15" s="169">
        <v>1</v>
      </c>
      <c r="M15" s="169">
        <v>1</v>
      </c>
      <c r="N15" s="169">
        <v>1</v>
      </c>
      <c r="O15" s="169">
        <v>1</v>
      </c>
      <c r="P15" s="169" t="s">
        <v>372</v>
      </c>
      <c r="Q15" s="169">
        <v>1</v>
      </c>
      <c r="R15" s="169">
        <v>1</v>
      </c>
      <c r="S15" s="169">
        <v>1</v>
      </c>
      <c r="T15" s="169" t="s">
        <v>372</v>
      </c>
      <c r="U15" s="169">
        <v>1</v>
      </c>
      <c r="V15" s="169" t="s">
        <v>372</v>
      </c>
      <c r="W15" s="169">
        <v>1</v>
      </c>
      <c r="X15" s="169" t="s">
        <v>372</v>
      </c>
      <c r="Y15" s="181">
        <v>0.5</v>
      </c>
      <c r="Z15" s="180">
        <v>0</v>
      </c>
      <c r="AA15" s="180">
        <v>1</v>
      </c>
      <c r="AB15" s="169" t="s">
        <v>372</v>
      </c>
      <c r="AC15" s="169" t="s">
        <v>372</v>
      </c>
      <c r="AD15" s="169" t="s">
        <v>372</v>
      </c>
      <c r="AE15" s="180"/>
      <c r="AF15" s="169"/>
      <c r="AG15" s="169"/>
      <c r="AH15" s="169"/>
      <c r="AI15" s="169"/>
      <c r="AJ15" s="169"/>
      <c r="AK15" s="169"/>
      <c r="AL15" s="169"/>
      <c r="AM15" s="169"/>
      <c r="AN15" s="169"/>
      <c r="AO15" s="169"/>
      <c r="AP15" s="169"/>
      <c r="AQ15" s="169"/>
      <c r="AR15" s="181"/>
      <c r="AS15" s="169"/>
      <c r="AT15" s="169"/>
      <c r="AU15" s="169"/>
      <c r="AV15" s="169"/>
      <c r="AW15" s="169"/>
    </row>
    <row r="16" spans="1:49" x14ac:dyDescent="0.2">
      <c r="A16" s="179" t="s">
        <v>373</v>
      </c>
      <c r="B16" s="180">
        <v>0.95</v>
      </c>
      <c r="C16" s="180">
        <v>0.89300000000000002</v>
      </c>
      <c r="D16" s="180">
        <v>1</v>
      </c>
      <c r="E16" s="180">
        <v>1</v>
      </c>
      <c r="F16" s="180">
        <v>0.93899999999999995</v>
      </c>
      <c r="G16" s="180">
        <v>1</v>
      </c>
      <c r="H16" s="169">
        <v>1</v>
      </c>
      <c r="I16" s="169">
        <v>0.96299999999999997</v>
      </c>
      <c r="J16" s="169">
        <v>0.97099999999999997</v>
      </c>
      <c r="K16" s="169">
        <v>0.90600000000000003</v>
      </c>
      <c r="L16" s="169">
        <v>0.97</v>
      </c>
      <c r="M16" s="169">
        <v>1</v>
      </c>
      <c r="N16" s="169">
        <v>0.89700000000000002</v>
      </c>
      <c r="O16" s="169">
        <v>1</v>
      </c>
      <c r="P16" s="169">
        <v>1</v>
      </c>
      <c r="Q16" s="169">
        <v>1</v>
      </c>
      <c r="R16" s="169">
        <v>0.84199999999999997</v>
      </c>
      <c r="S16" s="169">
        <v>0.90600000000000003</v>
      </c>
      <c r="T16" s="181">
        <v>0.96199999999999997</v>
      </c>
      <c r="U16" s="181">
        <v>0.9</v>
      </c>
      <c r="V16" s="169">
        <v>0.94099999999999995</v>
      </c>
      <c r="W16" s="169">
        <v>1</v>
      </c>
      <c r="X16" s="169">
        <v>0.89700000000000002</v>
      </c>
      <c r="Y16" s="181">
        <v>0.97674418604651159</v>
      </c>
      <c r="Z16" s="180">
        <v>0.96</v>
      </c>
      <c r="AA16" s="180">
        <v>0.95</v>
      </c>
      <c r="AB16" s="180">
        <v>0.89300000000000002</v>
      </c>
      <c r="AC16" s="180">
        <v>0.93300000000000005</v>
      </c>
      <c r="AD16" s="180">
        <v>0.84199999999999997</v>
      </c>
      <c r="AE16" s="180"/>
      <c r="AF16" s="169"/>
      <c r="AG16" s="169"/>
      <c r="AH16" s="169"/>
      <c r="AI16" s="169"/>
      <c r="AJ16" s="169"/>
      <c r="AK16" s="169"/>
      <c r="AL16" s="169"/>
      <c r="AM16" s="169"/>
      <c r="AN16" s="169"/>
      <c r="AO16" s="169"/>
      <c r="AP16" s="169"/>
      <c r="AQ16" s="169"/>
      <c r="AR16" s="181"/>
      <c r="AS16" s="181"/>
      <c r="AT16" s="169"/>
      <c r="AU16" s="169"/>
      <c r="AV16" s="169"/>
      <c r="AW16" s="169"/>
    </row>
    <row r="17" spans="1:49" x14ac:dyDescent="0.2">
      <c r="A17" s="179" t="s">
        <v>374</v>
      </c>
      <c r="B17" s="180">
        <v>1</v>
      </c>
      <c r="C17" s="180">
        <v>1</v>
      </c>
      <c r="D17" s="180">
        <v>0.75</v>
      </c>
      <c r="E17" s="180">
        <v>1</v>
      </c>
      <c r="F17" s="180">
        <v>0.5</v>
      </c>
      <c r="G17" s="180">
        <v>1</v>
      </c>
      <c r="H17" s="169">
        <v>0.81799999999999995</v>
      </c>
      <c r="I17" s="169">
        <v>1</v>
      </c>
      <c r="J17" s="169">
        <v>0.75</v>
      </c>
      <c r="K17" s="169">
        <v>0.83299999999999996</v>
      </c>
      <c r="L17" s="169">
        <v>0.83299999999999996</v>
      </c>
      <c r="M17" s="169">
        <v>1</v>
      </c>
      <c r="N17" s="169">
        <v>1</v>
      </c>
      <c r="O17" s="169">
        <v>0.8</v>
      </c>
      <c r="P17" s="169">
        <v>1</v>
      </c>
      <c r="Q17" s="169">
        <v>1</v>
      </c>
      <c r="R17" s="169">
        <v>0.66700000000000004</v>
      </c>
      <c r="S17" s="169">
        <v>1</v>
      </c>
      <c r="T17" s="181">
        <v>1</v>
      </c>
      <c r="U17" s="181">
        <v>0.72727272727272696</v>
      </c>
      <c r="V17" s="169">
        <v>0.8571428571428571</v>
      </c>
      <c r="W17" s="169">
        <v>0.66700000000000004</v>
      </c>
      <c r="X17" s="169">
        <v>1</v>
      </c>
      <c r="Y17" s="181">
        <v>1</v>
      </c>
      <c r="Z17" s="180">
        <v>0.85699999999999998</v>
      </c>
      <c r="AA17" s="180">
        <v>1</v>
      </c>
      <c r="AB17" s="180">
        <v>0.75</v>
      </c>
      <c r="AC17" s="180">
        <v>0.83299999999999996</v>
      </c>
      <c r="AD17" s="180">
        <v>0.66700000000000004</v>
      </c>
      <c r="AE17" s="180"/>
      <c r="AF17" s="169"/>
      <c r="AG17" s="169"/>
      <c r="AH17" s="169"/>
      <c r="AI17" s="169"/>
      <c r="AJ17" s="169"/>
      <c r="AK17" s="169"/>
      <c r="AL17" s="169"/>
      <c r="AM17" s="169"/>
      <c r="AN17" s="169"/>
      <c r="AO17" s="169"/>
      <c r="AP17" s="169"/>
      <c r="AQ17" s="169"/>
      <c r="AR17" s="181"/>
      <c r="AS17" s="181"/>
      <c r="AT17" s="169"/>
      <c r="AU17" s="169"/>
      <c r="AV17" s="169"/>
      <c r="AW17" s="169"/>
    </row>
    <row r="18" spans="1:49" x14ac:dyDescent="0.2">
      <c r="A18" s="179" t="s">
        <v>375</v>
      </c>
      <c r="B18" s="180">
        <v>1</v>
      </c>
      <c r="C18" s="180">
        <v>1</v>
      </c>
      <c r="D18" s="180">
        <v>1</v>
      </c>
      <c r="E18" s="180">
        <v>1</v>
      </c>
      <c r="F18" s="180">
        <v>0.93300000000000005</v>
      </c>
      <c r="G18" s="180">
        <v>1</v>
      </c>
      <c r="H18" s="169">
        <v>1</v>
      </c>
      <c r="I18" s="169">
        <v>1</v>
      </c>
      <c r="J18" s="169">
        <v>1</v>
      </c>
      <c r="K18" s="169">
        <v>1</v>
      </c>
      <c r="L18" s="169">
        <v>1</v>
      </c>
      <c r="M18" s="169">
        <v>1</v>
      </c>
      <c r="N18" s="169">
        <v>1</v>
      </c>
      <c r="O18" s="169">
        <v>1</v>
      </c>
      <c r="P18" s="169">
        <v>1</v>
      </c>
      <c r="Q18" s="169">
        <v>1</v>
      </c>
      <c r="R18" s="169">
        <v>1</v>
      </c>
      <c r="S18" s="169">
        <v>1</v>
      </c>
      <c r="T18" s="181">
        <v>0.95</v>
      </c>
      <c r="U18" s="181">
        <v>1</v>
      </c>
      <c r="V18" s="169">
        <v>1</v>
      </c>
      <c r="W18" s="169">
        <v>0.92300000000000004</v>
      </c>
      <c r="X18" s="169">
        <v>1</v>
      </c>
      <c r="Y18" s="181">
        <v>0.95238095238095233</v>
      </c>
      <c r="Z18" s="180">
        <v>1</v>
      </c>
      <c r="AA18" s="180">
        <v>0.95699999999999996</v>
      </c>
      <c r="AB18" s="180">
        <v>1</v>
      </c>
      <c r="AC18" s="180">
        <v>1</v>
      </c>
      <c r="AD18" s="180">
        <v>0.95699999999999996</v>
      </c>
      <c r="AE18" s="180"/>
      <c r="AF18" s="169"/>
      <c r="AG18" s="169"/>
      <c r="AH18" s="169"/>
      <c r="AI18" s="169"/>
      <c r="AJ18" s="169"/>
      <c r="AK18" s="169"/>
      <c r="AL18" s="169"/>
      <c r="AM18" s="169"/>
      <c r="AN18" s="169"/>
      <c r="AO18" s="169"/>
      <c r="AP18" s="169"/>
      <c r="AQ18" s="169"/>
      <c r="AR18" s="181"/>
      <c r="AS18" s="181"/>
      <c r="AT18" s="169"/>
      <c r="AU18" s="169"/>
      <c r="AV18" s="169"/>
      <c r="AW18" s="169"/>
    </row>
    <row r="19" spans="1:49" x14ac:dyDescent="0.2">
      <c r="A19" s="179" t="s">
        <v>376</v>
      </c>
      <c r="B19" s="180">
        <v>1</v>
      </c>
      <c r="C19" s="180">
        <v>1</v>
      </c>
      <c r="D19" s="180">
        <v>1</v>
      </c>
      <c r="E19" s="180">
        <v>1</v>
      </c>
      <c r="F19" s="180">
        <v>1</v>
      </c>
      <c r="G19" s="180">
        <v>1</v>
      </c>
      <c r="H19" s="169">
        <v>1</v>
      </c>
      <c r="I19" s="169">
        <v>1</v>
      </c>
      <c r="J19" s="169">
        <v>1</v>
      </c>
      <c r="K19" s="169">
        <v>1</v>
      </c>
      <c r="L19" s="169">
        <v>1</v>
      </c>
      <c r="M19" s="169">
        <v>1</v>
      </c>
      <c r="N19" s="169">
        <v>1</v>
      </c>
      <c r="O19" s="169">
        <v>0.98199999999999998</v>
      </c>
      <c r="P19" s="169">
        <v>0.98099999999999998</v>
      </c>
      <c r="Q19" s="169">
        <v>1</v>
      </c>
      <c r="R19" s="169">
        <v>1</v>
      </c>
      <c r="S19" s="169">
        <v>1</v>
      </c>
      <c r="T19" s="181">
        <v>1</v>
      </c>
      <c r="U19" s="181">
        <v>1</v>
      </c>
      <c r="V19" s="169">
        <v>1</v>
      </c>
      <c r="W19" s="169">
        <v>0.98699999999999999</v>
      </c>
      <c r="X19" s="169">
        <v>1</v>
      </c>
      <c r="Y19" s="181">
        <v>1</v>
      </c>
      <c r="Z19" s="180">
        <v>0.98499999999999999</v>
      </c>
      <c r="AA19" s="180">
        <v>0.98863636363636398</v>
      </c>
      <c r="AB19" s="180">
        <v>1</v>
      </c>
      <c r="AC19" s="180">
        <v>0.98399999999999999</v>
      </c>
      <c r="AD19" s="180">
        <v>1</v>
      </c>
      <c r="AE19" s="180"/>
      <c r="AF19" s="169"/>
      <c r="AG19" s="169"/>
      <c r="AH19" s="169"/>
      <c r="AI19" s="169"/>
      <c r="AJ19" s="169"/>
      <c r="AK19" s="169"/>
      <c r="AL19" s="169"/>
      <c r="AM19" s="169"/>
      <c r="AN19" s="169"/>
      <c r="AO19" s="169"/>
      <c r="AP19" s="169"/>
      <c r="AQ19" s="169"/>
      <c r="AR19" s="181"/>
      <c r="AS19" s="181"/>
      <c r="AT19" s="169"/>
      <c r="AU19" s="169"/>
      <c r="AV19" s="169"/>
      <c r="AW19" s="169"/>
    </row>
    <row r="20" spans="1:49" x14ac:dyDescent="0.2">
      <c r="A20" s="179" t="s">
        <v>377</v>
      </c>
      <c r="B20" s="180">
        <v>1</v>
      </c>
      <c r="C20" s="180">
        <v>1</v>
      </c>
      <c r="D20" s="180">
        <v>1</v>
      </c>
      <c r="E20" s="180">
        <v>1</v>
      </c>
      <c r="F20" s="180">
        <v>1</v>
      </c>
      <c r="G20" s="180">
        <v>1</v>
      </c>
      <c r="H20" s="169">
        <v>1</v>
      </c>
      <c r="I20" s="169">
        <v>1</v>
      </c>
      <c r="J20" s="169">
        <v>1</v>
      </c>
      <c r="K20" s="169">
        <v>1</v>
      </c>
      <c r="L20" s="169">
        <v>1</v>
      </c>
      <c r="M20" s="169">
        <v>1</v>
      </c>
      <c r="N20" s="169">
        <v>1</v>
      </c>
      <c r="O20" s="169">
        <v>1</v>
      </c>
      <c r="P20" s="169">
        <v>1</v>
      </c>
      <c r="Q20" s="169">
        <v>0.9</v>
      </c>
      <c r="R20" s="169">
        <v>1</v>
      </c>
      <c r="S20" s="169">
        <v>1</v>
      </c>
      <c r="T20" s="181">
        <v>1</v>
      </c>
      <c r="U20" s="181">
        <v>1</v>
      </c>
      <c r="V20" s="169">
        <v>1</v>
      </c>
      <c r="W20" s="169">
        <v>1</v>
      </c>
      <c r="X20" s="169">
        <v>1</v>
      </c>
      <c r="Y20" s="181">
        <v>1</v>
      </c>
      <c r="Z20" s="180">
        <v>1</v>
      </c>
      <c r="AA20" s="180">
        <v>1</v>
      </c>
      <c r="AB20" s="180">
        <v>1</v>
      </c>
      <c r="AC20" s="180">
        <v>1</v>
      </c>
      <c r="AD20" s="180">
        <v>1</v>
      </c>
      <c r="AE20" s="180"/>
      <c r="AF20" s="169"/>
      <c r="AG20" s="169"/>
      <c r="AH20" s="169"/>
      <c r="AI20" s="169"/>
      <c r="AJ20" s="169"/>
      <c r="AK20" s="169"/>
      <c r="AL20" s="169"/>
      <c r="AM20" s="169"/>
      <c r="AN20" s="169"/>
      <c r="AO20" s="169"/>
      <c r="AP20" s="169"/>
      <c r="AQ20" s="169"/>
      <c r="AR20" s="181"/>
      <c r="AS20" s="181"/>
      <c r="AT20" s="169"/>
      <c r="AU20" s="169"/>
      <c r="AV20" s="169"/>
      <c r="AW20" s="169"/>
    </row>
    <row r="21" spans="1:49" x14ac:dyDescent="0.2">
      <c r="A21" s="179" t="s">
        <v>378</v>
      </c>
      <c r="B21" s="180">
        <v>1</v>
      </c>
      <c r="C21" s="180">
        <v>1</v>
      </c>
      <c r="D21" s="180">
        <v>1</v>
      </c>
      <c r="E21" s="180">
        <v>1</v>
      </c>
      <c r="F21" s="180">
        <v>1</v>
      </c>
      <c r="G21" s="180">
        <v>1</v>
      </c>
      <c r="H21" s="169">
        <v>1</v>
      </c>
      <c r="I21" s="169">
        <v>1</v>
      </c>
      <c r="J21" s="169">
        <v>1</v>
      </c>
      <c r="K21" s="169">
        <v>1</v>
      </c>
      <c r="L21" s="169">
        <v>1</v>
      </c>
      <c r="M21" s="169">
        <v>1</v>
      </c>
      <c r="N21" s="169">
        <v>1</v>
      </c>
      <c r="O21" s="169">
        <v>1</v>
      </c>
      <c r="P21" s="169">
        <v>1</v>
      </c>
      <c r="Q21" s="169">
        <v>1</v>
      </c>
      <c r="R21" s="169">
        <v>1</v>
      </c>
      <c r="S21" s="169">
        <v>1</v>
      </c>
      <c r="T21" s="181">
        <v>1</v>
      </c>
      <c r="U21" s="181">
        <v>1</v>
      </c>
      <c r="V21" s="169">
        <v>1</v>
      </c>
      <c r="W21" s="169">
        <v>1</v>
      </c>
      <c r="X21" s="169">
        <v>1</v>
      </c>
      <c r="Y21" s="181">
        <v>1</v>
      </c>
      <c r="Z21" s="180">
        <v>1</v>
      </c>
      <c r="AA21" s="180">
        <v>1</v>
      </c>
      <c r="AB21" s="180">
        <v>1</v>
      </c>
      <c r="AC21" s="180">
        <v>1</v>
      </c>
      <c r="AD21" s="180">
        <v>1</v>
      </c>
      <c r="AE21" s="180"/>
      <c r="AF21" s="169"/>
      <c r="AG21" s="169"/>
      <c r="AH21" s="169"/>
      <c r="AI21" s="169"/>
      <c r="AJ21" s="169"/>
      <c r="AK21" s="169"/>
      <c r="AL21" s="169"/>
      <c r="AM21" s="169"/>
      <c r="AN21" s="169"/>
      <c r="AO21" s="169"/>
      <c r="AP21" s="169"/>
      <c r="AQ21" s="169"/>
      <c r="AR21" s="181"/>
      <c r="AS21" s="181"/>
      <c r="AT21" s="169"/>
      <c r="AU21" s="169"/>
      <c r="AV21" s="169"/>
      <c r="AW21" s="169"/>
    </row>
    <row r="22" spans="1:49" x14ac:dyDescent="0.2">
      <c r="A22" s="179" t="s">
        <v>379</v>
      </c>
      <c r="B22" s="180">
        <v>1</v>
      </c>
      <c r="C22" s="180">
        <v>1</v>
      </c>
      <c r="D22" s="180">
        <v>1</v>
      </c>
      <c r="E22" s="180">
        <v>1</v>
      </c>
      <c r="F22" s="180">
        <v>1</v>
      </c>
      <c r="G22" s="180">
        <v>0.75</v>
      </c>
      <c r="H22" s="169">
        <v>1</v>
      </c>
      <c r="I22" s="169">
        <v>0.66700000000000004</v>
      </c>
      <c r="J22" s="169">
        <v>1</v>
      </c>
      <c r="K22" s="169">
        <v>1</v>
      </c>
      <c r="L22" s="169">
        <v>1</v>
      </c>
      <c r="M22" s="169">
        <v>1</v>
      </c>
      <c r="N22" s="169">
        <v>0.75</v>
      </c>
      <c r="O22" s="169">
        <v>0.875</v>
      </c>
      <c r="P22" s="169">
        <v>0.85699999999999998</v>
      </c>
      <c r="Q22" s="169">
        <v>1</v>
      </c>
      <c r="R22" s="169">
        <v>1</v>
      </c>
      <c r="S22" s="169">
        <v>1</v>
      </c>
      <c r="T22" s="181">
        <v>0.8</v>
      </c>
      <c r="U22" s="181">
        <v>1</v>
      </c>
      <c r="V22" s="169">
        <v>1</v>
      </c>
      <c r="W22" s="169">
        <v>0.66700000000000004</v>
      </c>
      <c r="X22" s="169">
        <v>1</v>
      </c>
      <c r="Y22" s="181">
        <v>0.5</v>
      </c>
      <c r="Z22" s="180">
        <v>0.71399999999999997</v>
      </c>
      <c r="AA22" s="180">
        <v>0.75</v>
      </c>
      <c r="AB22" s="180">
        <v>0.66700000000000004</v>
      </c>
      <c r="AC22" s="180">
        <v>1</v>
      </c>
      <c r="AD22" s="180">
        <v>1</v>
      </c>
      <c r="AE22" s="180"/>
      <c r="AF22" s="169"/>
      <c r="AG22" s="169"/>
      <c r="AH22" s="169"/>
      <c r="AI22" s="169"/>
      <c r="AJ22" s="169"/>
      <c r="AK22" s="169"/>
      <c r="AL22" s="169"/>
      <c r="AM22" s="169"/>
      <c r="AN22" s="169"/>
      <c r="AO22" s="169"/>
      <c r="AP22" s="169"/>
      <c r="AQ22" s="169"/>
      <c r="AR22" s="181"/>
      <c r="AS22" s="181"/>
      <c r="AT22" s="169"/>
      <c r="AU22" s="169"/>
      <c r="AV22" s="169"/>
      <c r="AW22" s="169"/>
    </row>
    <row r="23" spans="1:49" x14ac:dyDescent="0.2">
      <c r="A23" s="179" t="s">
        <v>380</v>
      </c>
      <c r="B23" s="180">
        <v>0.95799999999999996</v>
      </c>
      <c r="C23" s="180">
        <v>1</v>
      </c>
      <c r="D23" s="180">
        <v>0.95499999999999996</v>
      </c>
      <c r="E23" s="180">
        <v>1</v>
      </c>
      <c r="F23" s="180">
        <v>1</v>
      </c>
      <c r="G23" s="180">
        <v>1</v>
      </c>
      <c r="H23" s="169">
        <v>0.96799999999999997</v>
      </c>
      <c r="I23" s="169">
        <v>1</v>
      </c>
      <c r="J23" s="169">
        <v>1</v>
      </c>
      <c r="K23" s="169">
        <v>1</v>
      </c>
      <c r="L23" s="169">
        <v>1</v>
      </c>
      <c r="M23" s="169">
        <v>1</v>
      </c>
      <c r="N23" s="169">
        <v>1</v>
      </c>
      <c r="O23" s="169">
        <v>1</v>
      </c>
      <c r="P23" s="169">
        <v>1</v>
      </c>
      <c r="Q23" s="169">
        <v>1</v>
      </c>
      <c r="R23" s="169">
        <v>0.96199999999999997</v>
      </c>
      <c r="S23" s="169">
        <v>0.875</v>
      </c>
      <c r="T23" s="181">
        <v>1</v>
      </c>
      <c r="U23" s="181">
        <v>0.94399999999999995</v>
      </c>
      <c r="V23" s="169">
        <v>1</v>
      </c>
      <c r="W23" s="169">
        <v>1</v>
      </c>
      <c r="X23" s="169">
        <v>1</v>
      </c>
      <c r="Y23" s="181">
        <v>1</v>
      </c>
      <c r="Z23" s="180">
        <v>1</v>
      </c>
      <c r="AA23" s="180">
        <v>0.94099999999999995</v>
      </c>
      <c r="AB23" s="180">
        <v>0.92300000000000004</v>
      </c>
      <c r="AC23" s="180">
        <v>1</v>
      </c>
      <c r="AD23" s="180">
        <v>0.88200000000000001</v>
      </c>
      <c r="AE23" s="180"/>
      <c r="AF23" s="169"/>
      <c r="AG23" s="169"/>
      <c r="AH23" s="169"/>
      <c r="AI23" s="169"/>
      <c r="AJ23" s="169"/>
      <c r="AK23" s="169"/>
      <c r="AL23" s="169"/>
      <c r="AM23" s="169"/>
      <c r="AN23" s="169"/>
      <c r="AO23" s="169"/>
      <c r="AP23" s="169"/>
      <c r="AQ23" s="169"/>
      <c r="AR23" s="181"/>
      <c r="AS23" s="181"/>
      <c r="AT23" s="169"/>
      <c r="AU23" s="169"/>
      <c r="AV23" s="169"/>
      <c r="AW23" s="169"/>
    </row>
    <row r="24" spans="1:49" x14ac:dyDescent="0.2">
      <c r="A24" s="179" t="s">
        <v>381</v>
      </c>
      <c r="B24" s="180">
        <v>0.90300000000000002</v>
      </c>
      <c r="C24" s="180">
        <v>0.82499999999999996</v>
      </c>
      <c r="D24" s="180">
        <v>0.86199999999999999</v>
      </c>
      <c r="E24" s="180">
        <v>0.873</v>
      </c>
      <c r="F24" s="180">
        <v>0.93</v>
      </c>
      <c r="G24" s="180">
        <v>0.92300000000000004</v>
      </c>
      <c r="H24" s="169">
        <v>0.93200000000000005</v>
      </c>
      <c r="I24" s="169">
        <v>0.85499999999999998</v>
      </c>
      <c r="J24" s="169">
        <v>0.80800000000000005</v>
      </c>
      <c r="K24" s="169">
        <v>0.82399999999999995</v>
      </c>
      <c r="L24" s="169">
        <v>0.78500000000000003</v>
      </c>
      <c r="M24" s="169">
        <v>0.75800000000000001</v>
      </c>
      <c r="N24" s="169">
        <v>0.75</v>
      </c>
      <c r="O24" s="169">
        <v>0.69799999999999995</v>
      </c>
      <c r="P24" s="169">
        <v>0.78700000000000003</v>
      </c>
      <c r="Q24" s="169">
        <v>0.75</v>
      </c>
      <c r="R24" s="169">
        <v>0.63600000000000001</v>
      </c>
      <c r="S24" s="169">
        <v>0.63600000000000001</v>
      </c>
      <c r="T24" s="181">
        <v>0.71199999999999997</v>
      </c>
      <c r="U24" s="181">
        <v>0.6</v>
      </c>
      <c r="V24" s="169">
        <v>0.77800000000000002</v>
      </c>
      <c r="W24" s="169">
        <v>0.64</v>
      </c>
      <c r="X24" s="169">
        <v>0.69699999999999995</v>
      </c>
      <c r="Y24" s="181">
        <v>0.8571428571428571</v>
      </c>
      <c r="Z24" s="180">
        <v>0.83</v>
      </c>
      <c r="AA24" s="180">
        <v>0.70699999999999996</v>
      </c>
      <c r="AB24" s="180">
        <v>0.84199999999999997</v>
      </c>
      <c r="AC24" s="180">
        <v>0.71899999999999997</v>
      </c>
      <c r="AD24" s="180">
        <v>0.60899999999999999</v>
      </c>
      <c r="AE24" s="180"/>
      <c r="AF24" s="169"/>
      <c r="AG24" s="169"/>
      <c r="AH24" s="169"/>
      <c r="AI24" s="169"/>
      <c r="AJ24" s="169"/>
      <c r="AK24" s="169"/>
      <c r="AL24" s="169"/>
      <c r="AM24" s="169"/>
      <c r="AN24" s="169"/>
      <c r="AO24" s="169"/>
      <c r="AP24" s="169"/>
      <c r="AQ24" s="169"/>
      <c r="AR24" s="181"/>
      <c r="AS24" s="181"/>
      <c r="AT24" s="169"/>
      <c r="AU24" s="169"/>
      <c r="AV24" s="169"/>
      <c r="AW24" s="169"/>
    </row>
    <row r="25" spans="1:49" x14ac:dyDescent="0.2">
      <c r="A25" s="182" t="s">
        <v>15</v>
      </c>
      <c r="B25" s="479">
        <v>0.95</v>
      </c>
      <c r="C25" s="479">
        <v>0.95</v>
      </c>
      <c r="D25" s="479">
        <v>0.95</v>
      </c>
      <c r="E25" s="479">
        <v>0.95</v>
      </c>
      <c r="F25" s="479">
        <v>0.95</v>
      </c>
      <c r="G25" s="479">
        <v>0.95</v>
      </c>
      <c r="H25" s="479">
        <v>0.95</v>
      </c>
      <c r="I25" s="479">
        <v>0.95</v>
      </c>
      <c r="J25" s="479">
        <v>0.95</v>
      </c>
      <c r="K25" s="479">
        <v>0.95</v>
      </c>
      <c r="L25" s="479">
        <v>0.95</v>
      </c>
      <c r="M25" s="479">
        <v>0.95</v>
      </c>
      <c r="N25" s="479">
        <v>0.95</v>
      </c>
      <c r="O25" s="479">
        <v>0.95</v>
      </c>
      <c r="P25" s="479">
        <v>0.95</v>
      </c>
      <c r="Q25" s="479">
        <v>0.95</v>
      </c>
      <c r="R25" s="479">
        <v>0.95</v>
      </c>
      <c r="S25" s="479">
        <v>0.95</v>
      </c>
      <c r="T25" s="479">
        <v>0.95</v>
      </c>
      <c r="U25" s="479">
        <v>0.95</v>
      </c>
      <c r="V25" s="479">
        <v>0.95</v>
      </c>
      <c r="W25" s="479">
        <v>0.95</v>
      </c>
      <c r="X25" s="479">
        <v>0.95</v>
      </c>
      <c r="Y25" s="479">
        <v>0.95</v>
      </c>
      <c r="Z25" s="479">
        <v>0.95</v>
      </c>
      <c r="AA25" s="479">
        <v>0.95</v>
      </c>
      <c r="AB25" s="479">
        <v>0.95</v>
      </c>
      <c r="AC25" s="479">
        <v>0.95</v>
      </c>
      <c r="AD25" s="479">
        <v>0.95</v>
      </c>
      <c r="AE25" s="479">
        <v>0.95</v>
      </c>
      <c r="AF25" s="479">
        <v>0.95</v>
      </c>
      <c r="AG25" s="479">
        <v>0.95</v>
      </c>
      <c r="AH25" s="479">
        <v>0.95</v>
      </c>
      <c r="AI25" s="479">
        <v>0.95</v>
      </c>
      <c r="AJ25" s="479">
        <v>0.95</v>
      </c>
      <c r="AK25" s="479">
        <v>0.95</v>
      </c>
      <c r="AL25" s="479">
        <v>0.95</v>
      </c>
      <c r="AM25" s="479">
        <v>0.95</v>
      </c>
      <c r="AN25" s="479">
        <v>0.95</v>
      </c>
      <c r="AO25" s="479">
        <v>0.95</v>
      </c>
      <c r="AP25" s="479">
        <v>0.95</v>
      </c>
      <c r="AQ25" s="479">
        <v>0.95</v>
      </c>
      <c r="AR25" s="479">
        <v>0.95</v>
      </c>
      <c r="AS25" s="479">
        <v>0.95</v>
      </c>
      <c r="AT25" s="479">
        <v>0.95</v>
      </c>
      <c r="AU25" s="479">
        <v>0.95</v>
      </c>
      <c r="AV25" s="479">
        <v>0.95</v>
      </c>
      <c r="AW25" s="479">
        <v>0.95</v>
      </c>
    </row>
    <row r="27" spans="1:49" ht="15.75" customHeight="1" x14ac:dyDescent="0.2">
      <c r="N27" s="590"/>
      <c r="O27" s="165"/>
      <c r="AC27" s="590"/>
    </row>
    <row r="28" spans="1:49" x14ac:dyDescent="0.2">
      <c r="A28" s="137" t="s">
        <v>599</v>
      </c>
      <c r="N28" s="669"/>
      <c r="AC28" s="669"/>
    </row>
    <row r="53" spans="1:14" ht="14.25" x14ac:dyDescent="0.2">
      <c r="A53" s="485" t="s">
        <v>722</v>
      </c>
      <c r="N53" s="485" t="s">
        <v>713</v>
      </c>
    </row>
    <row r="54" spans="1:14" ht="15" x14ac:dyDescent="0.25">
      <c r="N54"/>
    </row>
    <row r="55" spans="1:14" ht="15" x14ac:dyDescent="0.25">
      <c r="N55"/>
    </row>
    <row r="77" spans="1:25" ht="14.25" customHeight="1" x14ac:dyDescent="0.2">
      <c r="N77" s="978" t="s">
        <v>714</v>
      </c>
      <c r="O77" s="978"/>
      <c r="P77" s="978"/>
      <c r="Q77" s="978"/>
      <c r="R77" s="978"/>
      <c r="S77" s="978"/>
      <c r="T77" s="978"/>
      <c r="U77" s="978"/>
      <c r="V77" s="978"/>
      <c r="W77" s="978"/>
      <c r="X77" s="978"/>
      <c r="Y77" s="978"/>
    </row>
    <row r="78" spans="1:25" x14ac:dyDescent="0.2">
      <c r="A78" s="653" t="s">
        <v>712</v>
      </c>
      <c r="N78" s="978"/>
      <c r="O78" s="978"/>
      <c r="P78" s="978"/>
      <c r="Q78" s="978"/>
      <c r="R78" s="978"/>
      <c r="S78" s="978"/>
      <c r="T78" s="978"/>
      <c r="U78" s="978"/>
      <c r="V78" s="978"/>
      <c r="W78" s="978"/>
      <c r="X78" s="978"/>
      <c r="Y78" s="978"/>
    </row>
    <row r="79" spans="1:25" x14ac:dyDescent="0.2">
      <c r="N79" s="654"/>
      <c r="O79" s="654"/>
      <c r="P79" s="654"/>
      <c r="Q79" s="654"/>
      <c r="R79" s="654"/>
      <c r="S79" s="654"/>
      <c r="T79" s="654"/>
      <c r="U79" s="654"/>
      <c r="V79" s="654"/>
      <c r="W79" s="654"/>
      <c r="X79" s="654"/>
      <c r="Y79" s="654"/>
    </row>
    <row r="80" spans="1:25" x14ac:dyDescent="0.2">
      <c r="N80" s="654"/>
      <c r="O80" s="654"/>
      <c r="P80" s="654"/>
      <c r="Q80" s="654"/>
      <c r="R80" s="654"/>
      <c r="S80" s="654"/>
      <c r="T80" s="654"/>
      <c r="U80" s="654"/>
      <c r="V80" s="654"/>
      <c r="W80" s="654"/>
      <c r="X80" s="654"/>
      <c r="Y80" s="654"/>
    </row>
    <row r="81" spans="14:25" x14ac:dyDescent="0.2">
      <c r="N81" s="654"/>
      <c r="O81" s="654"/>
      <c r="P81" s="654"/>
      <c r="Q81" s="654"/>
      <c r="R81" s="654"/>
      <c r="S81" s="654"/>
      <c r="T81" s="654"/>
      <c r="U81" s="654"/>
      <c r="V81" s="654"/>
      <c r="W81" s="654"/>
      <c r="X81" s="654"/>
      <c r="Y81" s="654"/>
    </row>
    <row r="82" spans="14:25" x14ac:dyDescent="0.2">
      <c r="N82" s="654"/>
      <c r="O82" s="654"/>
      <c r="P82" s="654"/>
      <c r="Q82" s="654"/>
      <c r="R82" s="654"/>
      <c r="S82" s="654"/>
      <c r="T82" s="654"/>
      <c r="U82" s="654"/>
      <c r="V82" s="654"/>
      <c r="W82" s="654"/>
      <c r="X82" s="654"/>
      <c r="Y82" s="654"/>
    </row>
    <row r="83" spans="14:25" x14ac:dyDescent="0.2">
      <c r="N83" s="654"/>
      <c r="O83" s="654"/>
      <c r="P83" s="654"/>
      <c r="Q83" s="654"/>
      <c r="R83" s="654"/>
      <c r="S83" s="654"/>
      <c r="T83" s="654"/>
      <c r="U83" s="654"/>
      <c r="V83" s="654"/>
      <c r="W83" s="654"/>
      <c r="X83" s="654"/>
      <c r="Y83" s="654"/>
    </row>
    <row r="84" spans="14:25" x14ac:dyDescent="0.2">
      <c r="N84" s="654"/>
      <c r="O84" s="654"/>
      <c r="P84" s="654"/>
      <c r="Q84" s="654"/>
      <c r="R84" s="654"/>
      <c r="S84" s="654"/>
      <c r="T84" s="654"/>
      <c r="U84" s="654"/>
      <c r="V84" s="654"/>
      <c r="W84" s="654"/>
      <c r="X84" s="654"/>
      <c r="Y84" s="654"/>
    </row>
    <row r="85" spans="14:25" x14ac:dyDescent="0.2">
      <c r="N85" s="654"/>
      <c r="O85" s="654"/>
      <c r="P85" s="654"/>
      <c r="Q85" s="654"/>
      <c r="R85" s="654"/>
      <c r="S85" s="654"/>
      <c r="T85" s="654"/>
      <c r="U85" s="654"/>
      <c r="V85" s="654"/>
      <c r="W85" s="654"/>
      <c r="X85" s="654"/>
      <c r="Y85" s="654"/>
    </row>
    <row r="86" spans="14:25" x14ac:dyDescent="0.2">
      <c r="N86" s="654"/>
      <c r="O86" s="654"/>
      <c r="P86" s="654"/>
      <c r="Q86" s="654"/>
      <c r="R86" s="654"/>
      <c r="S86" s="654"/>
      <c r="T86" s="654"/>
      <c r="U86" s="654"/>
      <c r="V86" s="654"/>
      <c r="W86" s="654"/>
      <c r="X86" s="654"/>
      <c r="Y86" s="654"/>
    </row>
    <row r="87" spans="14:25" x14ac:dyDescent="0.2">
      <c r="N87" s="654"/>
      <c r="O87" s="654"/>
      <c r="P87" s="654"/>
      <c r="Q87" s="654"/>
      <c r="R87" s="654"/>
      <c r="S87" s="654"/>
      <c r="T87" s="654"/>
      <c r="U87" s="654"/>
      <c r="V87" s="654"/>
      <c r="W87" s="654"/>
      <c r="X87" s="654"/>
      <c r="Y87" s="654"/>
    </row>
    <row r="88" spans="14:25" x14ac:dyDescent="0.2">
      <c r="N88" s="654"/>
      <c r="O88" s="654"/>
      <c r="P88" s="654"/>
      <c r="Q88" s="654"/>
      <c r="R88" s="654"/>
      <c r="S88" s="654"/>
      <c r="T88" s="654"/>
      <c r="U88" s="654"/>
      <c r="V88" s="654"/>
      <c r="W88" s="654"/>
      <c r="X88" s="654"/>
      <c r="Y88" s="654"/>
    </row>
    <row r="89" spans="14:25" x14ac:dyDescent="0.2">
      <c r="N89" s="654"/>
      <c r="O89" s="654"/>
      <c r="P89" s="654"/>
      <c r="Q89" s="654"/>
      <c r="R89" s="654"/>
      <c r="S89" s="654"/>
      <c r="T89" s="654"/>
      <c r="U89" s="654"/>
      <c r="V89" s="654"/>
      <c r="W89" s="654"/>
      <c r="X89" s="654"/>
      <c r="Y89" s="654"/>
    </row>
    <row r="90" spans="14:25" x14ac:dyDescent="0.2">
      <c r="N90" s="654"/>
      <c r="O90" s="654"/>
      <c r="P90" s="654"/>
      <c r="Q90" s="654"/>
      <c r="R90" s="654"/>
      <c r="S90" s="654"/>
      <c r="T90" s="654"/>
      <c r="U90" s="654"/>
      <c r="V90" s="654"/>
      <c r="W90" s="654"/>
      <c r="X90" s="654"/>
      <c r="Y90" s="654"/>
    </row>
    <row r="91" spans="14:25" x14ac:dyDescent="0.2">
      <c r="N91" s="654"/>
      <c r="O91" s="654"/>
      <c r="P91" s="654"/>
      <c r="Q91" s="654"/>
      <c r="R91" s="654"/>
      <c r="S91" s="654"/>
      <c r="T91" s="654"/>
      <c r="U91" s="654"/>
      <c r="V91" s="654"/>
      <c r="W91" s="654"/>
      <c r="X91" s="654"/>
      <c r="Y91" s="654"/>
    </row>
    <row r="92" spans="14:25" x14ac:dyDescent="0.2">
      <c r="N92" s="654"/>
      <c r="O92" s="654"/>
      <c r="P92" s="654"/>
      <c r="Q92" s="654"/>
      <c r="R92" s="654"/>
      <c r="S92" s="654"/>
      <c r="T92" s="654"/>
      <c r="U92" s="654"/>
      <c r="V92" s="654"/>
      <c r="W92" s="654"/>
      <c r="X92" s="654"/>
      <c r="Y92" s="654"/>
    </row>
    <row r="93" spans="14:25" x14ac:dyDescent="0.2">
      <c r="N93" s="654"/>
      <c r="O93" s="654"/>
      <c r="P93" s="654"/>
      <c r="Q93" s="654"/>
      <c r="R93" s="654"/>
      <c r="S93" s="654"/>
      <c r="T93" s="654"/>
      <c r="U93" s="654"/>
      <c r="V93" s="654"/>
      <c r="W93" s="654"/>
      <c r="X93" s="654"/>
      <c r="Y93" s="654"/>
    </row>
    <row r="94" spans="14:25" x14ac:dyDescent="0.2">
      <c r="N94" s="654"/>
      <c r="O94" s="654"/>
      <c r="P94" s="654"/>
      <c r="Q94" s="654"/>
      <c r="R94" s="654"/>
      <c r="S94" s="654"/>
      <c r="T94" s="654"/>
      <c r="U94" s="654"/>
      <c r="V94" s="654"/>
      <c r="W94" s="654"/>
      <c r="X94" s="654"/>
      <c r="Y94" s="654"/>
    </row>
    <row r="95" spans="14:25" x14ac:dyDescent="0.2">
      <c r="N95" s="654"/>
      <c r="O95" s="654"/>
      <c r="P95" s="654"/>
      <c r="Q95" s="654"/>
      <c r="R95" s="654"/>
      <c r="S95" s="654"/>
      <c r="T95" s="654"/>
      <c r="U95" s="654"/>
      <c r="V95" s="654"/>
      <c r="W95" s="654"/>
      <c r="X95" s="654"/>
      <c r="Y95" s="654"/>
    </row>
    <row r="96" spans="14:25" x14ac:dyDescent="0.2">
      <c r="N96" s="654"/>
      <c r="O96" s="654"/>
      <c r="P96" s="654"/>
      <c r="Q96" s="654"/>
      <c r="R96" s="654"/>
      <c r="S96" s="654"/>
      <c r="T96" s="654"/>
      <c r="U96" s="654"/>
      <c r="V96" s="654"/>
      <c r="W96" s="654"/>
      <c r="X96" s="654"/>
      <c r="Y96" s="654"/>
    </row>
    <row r="97" spans="1:49" x14ac:dyDescent="0.2">
      <c r="N97" s="654"/>
      <c r="O97" s="654"/>
      <c r="P97" s="654"/>
      <c r="Q97" s="654"/>
      <c r="R97" s="654"/>
      <c r="S97" s="654"/>
      <c r="T97" s="654"/>
      <c r="U97" s="654"/>
      <c r="V97" s="654"/>
      <c r="W97" s="654"/>
      <c r="X97" s="654"/>
      <c r="Y97" s="654"/>
    </row>
    <row r="98" spans="1:49" x14ac:dyDescent="0.2">
      <c r="N98" s="654"/>
      <c r="O98" s="654"/>
      <c r="P98" s="654"/>
      <c r="Q98" s="654"/>
      <c r="R98" s="654"/>
      <c r="S98" s="654"/>
      <c r="T98" s="654"/>
      <c r="U98" s="654"/>
      <c r="V98" s="654"/>
      <c r="W98" s="654"/>
      <c r="X98" s="654"/>
      <c r="Y98" s="654"/>
    </row>
    <row r="99" spans="1:49" x14ac:dyDescent="0.2">
      <c r="N99" s="654"/>
      <c r="O99" s="654"/>
      <c r="P99" s="654"/>
      <c r="Q99" s="654"/>
      <c r="R99" s="654"/>
      <c r="S99" s="654"/>
      <c r="T99" s="654"/>
      <c r="U99" s="654"/>
      <c r="V99" s="654"/>
      <c r="W99" s="654"/>
      <c r="X99" s="654"/>
      <c r="Y99" s="654"/>
    </row>
    <row r="100" spans="1:49" x14ac:dyDescent="0.2">
      <c r="N100" s="654"/>
      <c r="O100" s="654"/>
      <c r="P100" s="654"/>
      <c r="Q100" s="654"/>
      <c r="R100" s="654"/>
      <c r="S100" s="654"/>
      <c r="T100" s="654"/>
      <c r="U100" s="654"/>
      <c r="V100" s="654"/>
      <c r="W100" s="654"/>
      <c r="X100" s="654"/>
      <c r="Y100" s="654"/>
    </row>
    <row r="101" spans="1:49" x14ac:dyDescent="0.2">
      <c r="N101" s="654"/>
      <c r="O101" s="654"/>
      <c r="P101" s="654"/>
      <c r="Q101" s="654"/>
      <c r="R101" s="654"/>
      <c r="S101" s="654"/>
      <c r="T101" s="654"/>
      <c r="U101" s="654"/>
      <c r="V101" s="654"/>
      <c r="W101" s="654"/>
      <c r="X101" s="654"/>
      <c r="Y101" s="654"/>
    </row>
    <row r="103" spans="1:49" s="672" customFormat="1" x14ac:dyDescent="0.2">
      <c r="A103" s="671" t="s">
        <v>39</v>
      </c>
    </row>
    <row r="104" spans="1:49" s="672" customFormat="1" x14ac:dyDescent="0.2">
      <c r="A104" s="672" t="s">
        <v>131</v>
      </c>
      <c r="B104" s="673">
        <f t="shared" ref="B104:G104" si="0">MEDIAN($B$11:$G$11)</f>
        <v>0.97099999999999997</v>
      </c>
      <c r="C104" s="673">
        <f t="shared" si="0"/>
        <v>0.97099999999999997</v>
      </c>
      <c r="D104" s="673">
        <f t="shared" si="0"/>
        <v>0.97099999999999997</v>
      </c>
      <c r="E104" s="673">
        <f t="shared" si="0"/>
        <v>0.97099999999999997</v>
      </c>
      <c r="F104" s="673">
        <f t="shared" si="0"/>
        <v>0.97099999999999997</v>
      </c>
      <c r="G104" s="673">
        <f t="shared" si="0"/>
        <v>0.97099999999999997</v>
      </c>
      <c r="M104" s="672" t="s">
        <v>385</v>
      </c>
      <c r="Z104" s="673"/>
      <c r="AA104" s="673"/>
      <c r="AB104" s="673"/>
      <c r="AC104" s="673"/>
      <c r="AD104" s="673"/>
      <c r="AE104" s="673"/>
    </row>
    <row r="105" spans="1:49" s="672" customFormat="1" x14ac:dyDescent="0.2">
      <c r="A105" s="672" t="s">
        <v>184</v>
      </c>
      <c r="G105" s="673">
        <f>MEDIAN($B$11:$G$11)</f>
        <v>0.97099999999999997</v>
      </c>
      <c r="H105" s="673">
        <f>MEDIAN($B$11:$G$11)</f>
        <v>0.97099999999999997</v>
      </c>
      <c r="I105" s="673"/>
      <c r="J105" s="673"/>
      <c r="K105" s="673" t="s">
        <v>385</v>
      </c>
      <c r="L105" s="673" t="s">
        <v>385</v>
      </c>
      <c r="M105" s="673" t="s">
        <v>385</v>
      </c>
      <c r="N105" s="673" t="s">
        <v>385</v>
      </c>
      <c r="O105" s="673" t="s">
        <v>385</v>
      </c>
      <c r="P105" s="673" t="s">
        <v>385</v>
      </c>
      <c r="Q105" s="673" t="s">
        <v>385</v>
      </c>
      <c r="R105" s="673" t="s">
        <v>385</v>
      </c>
      <c r="S105" s="673" t="s">
        <v>385</v>
      </c>
      <c r="T105" s="673" t="s">
        <v>385</v>
      </c>
      <c r="U105" s="673" t="s">
        <v>385</v>
      </c>
      <c r="V105" s="673" t="s">
        <v>385</v>
      </c>
      <c r="W105" s="673" t="s">
        <v>385</v>
      </c>
      <c r="X105" s="673" t="s">
        <v>385</v>
      </c>
      <c r="Y105" s="673" t="s">
        <v>385</v>
      </c>
      <c r="AE105" s="673"/>
      <c r="AF105" s="673"/>
      <c r="AG105" s="673"/>
      <c r="AH105" s="673"/>
      <c r="AI105" s="673"/>
      <c r="AJ105" s="673"/>
      <c r="AK105" s="673"/>
      <c r="AL105" s="673"/>
      <c r="AM105" s="673"/>
      <c r="AN105" s="673"/>
      <c r="AO105" s="673"/>
      <c r="AP105" s="673"/>
      <c r="AQ105" s="673"/>
      <c r="AR105" s="673"/>
      <c r="AS105" s="673"/>
      <c r="AT105" s="673"/>
      <c r="AU105" s="673"/>
      <c r="AV105" s="673"/>
      <c r="AW105" s="673"/>
    </row>
    <row r="106" spans="1:49" s="672" customFormat="1" x14ac:dyDescent="0.2">
      <c r="A106" s="672" t="s">
        <v>318</v>
      </c>
      <c r="I106" s="673">
        <f>MEDIAN($I$11:$N$11)</f>
        <v>0.94950000000000001</v>
      </c>
      <c r="J106" s="673">
        <f>MEDIAN($I$11:$N$11)</f>
        <v>0.94950000000000001</v>
      </c>
      <c r="K106" s="673">
        <f t="shared" ref="K106:Z107" si="1">MEDIAN($I$11:$N$11)</f>
        <v>0.94950000000000001</v>
      </c>
      <c r="L106" s="673">
        <f t="shared" si="1"/>
        <v>0.94950000000000001</v>
      </c>
      <c r="M106" s="673">
        <f t="shared" si="1"/>
        <v>0.94950000000000001</v>
      </c>
      <c r="N106" s="673">
        <f t="shared" si="1"/>
        <v>0.94950000000000001</v>
      </c>
      <c r="O106" s="673"/>
      <c r="AH106" s="673"/>
      <c r="AI106" s="673"/>
      <c r="AJ106" s="673"/>
      <c r="AK106" s="673"/>
      <c r="AL106" s="673"/>
      <c r="AM106" s="673"/>
    </row>
    <row r="107" spans="1:49" s="672" customFormat="1" x14ac:dyDescent="0.2">
      <c r="A107" s="672" t="s">
        <v>319</v>
      </c>
      <c r="N107" s="673">
        <f t="shared" si="1"/>
        <v>0.94950000000000001</v>
      </c>
      <c r="O107" s="673">
        <f t="shared" si="1"/>
        <v>0.94950000000000001</v>
      </c>
      <c r="P107" s="673">
        <f t="shared" si="1"/>
        <v>0.94950000000000001</v>
      </c>
      <c r="Q107" s="673">
        <f t="shared" si="1"/>
        <v>0.94950000000000001</v>
      </c>
      <c r="R107" s="673">
        <f t="shared" si="1"/>
        <v>0.94950000000000001</v>
      </c>
      <c r="S107" s="673">
        <f t="shared" si="1"/>
        <v>0.94950000000000001</v>
      </c>
      <c r="T107" s="673">
        <f t="shared" si="1"/>
        <v>0.94950000000000001</v>
      </c>
      <c r="U107" s="673">
        <f t="shared" si="1"/>
        <v>0.94950000000000001</v>
      </c>
      <c r="V107" s="673">
        <f t="shared" si="1"/>
        <v>0.94950000000000001</v>
      </c>
      <c r="W107" s="673">
        <f t="shared" si="1"/>
        <v>0.94950000000000001</v>
      </c>
      <c r="X107" s="673">
        <f t="shared" si="1"/>
        <v>0.94950000000000001</v>
      </c>
      <c r="Y107" s="673">
        <f t="shared" si="1"/>
        <v>0.94950000000000001</v>
      </c>
      <c r="Z107" s="673">
        <f t="shared" si="1"/>
        <v>0.94950000000000001</v>
      </c>
      <c r="AA107" s="673">
        <f t="shared" ref="AA107:AW107" si="2">MEDIAN($I$11:$N$11)</f>
        <v>0.94950000000000001</v>
      </c>
      <c r="AB107" s="673">
        <f t="shared" si="2"/>
        <v>0.94950000000000001</v>
      </c>
      <c r="AC107" s="673">
        <f t="shared" si="2"/>
        <v>0.94950000000000001</v>
      </c>
      <c r="AD107" s="673">
        <f t="shared" si="2"/>
        <v>0.94950000000000001</v>
      </c>
      <c r="AE107" s="673">
        <f t="shared" si="2"/>
        <v>0.94950000000000001</v>
      </c>
      <c r="AF107" s="673">
        <f t="shared" si="2"/>
        <v>0.94950000000000001</v>
      </c>
      <c r="AG107" s="673">
        <f t="shared" si="2"/>
        <v>0.94950000000000001</v>
      </c>
      <c r="AH107" s="673">
        <f t="shared" si="2"/>
        <v>0.94950000000000001</v>
      </c>
      <c r="AI107" s="673">
        <f t="shared" si="2"/>
        <v>0.94950000000000001</v>
      </c>
      <c r="AJ107" s="673">
        <f t="shared" si="2"/>
        <v>0.94950000000000001</v>
      </c>
      <c r="AK107" s="673">
        <f t="shared" si="2"/>
        <v>0.94950000000000001</v>
      </c>
      <c r="AL107" s="673">
        <f t="shared" si="2"/>
        <v>0.94950000000000001</v>
      </c>
      <c r="AM107" s="673">
        <f t="shared" si="2"/>
        <v>0.94950000000000001</v>
      </c>
      <c r="AN107" s="673">
        <f t="shared" si="2"/>
        <v>0.94950000000000001</v>
      </c>
      <c r="AO107" s="673">
        <f t="shared" si="2"/>
        <v>0.94950000000000001</v>
      </c>
      <c r="AP107" s="673">
        <f t="shared" si="2"/>
        <v>0.94950000000000001</v>
      </c>
      <c r="AQ107" s="673">
        <f t="shared" si="2"/>
        <v>0.94950000000000001</v>
      </c>
      <c r="AR107" s="673">
        <f t="shared" si="2"/>
        <v>0.94950000000000001</v>
      </c>
      <c r="AS107" s="673">
        <f t="shared" si="2"/>
        <v>0.94950000000000001</v>
      </c>
      <c r="AT107" s="673">
        <f t="shared" si="2"/>
        <v>0.94950000000000001</v>
      </c>
      <c r="AU107" s="673">
        <f t="shared" si="2"/>
        <v>0.94950000000000001</v>
      </c>
      <c r="AV107" s="673">
        <f t="shared" si="2"/>
        <v>0.94950000000000001</v>
      </c>
      <c r="AW107" s="673">
        <f t="shared" si="2"/>
        <v>0.94950000000000001</v>
      </c>
    </row>
    <row r="108" spans="1:49" s="672" customFormat="1" x14ac:dyDescent="0.2"/>
    <row r="109" spans="1:49" s="672" customFormat="1" x14ac:dyDescent="0.2"/>
    <row r="110" spans="1:49" s="672" customFormat="1" x14ac:dyDescent="0.2"/>
    <row r="111" spans="1:49" s="672" customFormat="1" x14ac:dyDescent="0.2">
      <c r="A111" s="671" t="s">
        <v>40</v>
      </c>
    </row>
    <row r="112" spans="1:49" s="672" customFormat="1" x14ac:dyDescent="0.2">
      <c r="A112" s="672" t="s">
        <v>131</v>
      </c>
      <c r="B112" s="673">
        <f t="shared" ref="B112:G112" si="3">MEDIAN($B$24:$G$24)</f>
        <v>0.88800000000000001</v>
      </c>
      <c r="C112" s="673">
        <f t="shared" si="3"/>
        <v>0.88800000000000001</v>
      </c>
      <c r="D112" s="673">
        <f t="shared" si="3"/>
        <v>0.88800000000000001</v>
      </c>
      <c r="E112" s="673">
        <f t="shared" si="3"/>
        <v>0.88800000000000001</v>
      </c>
      <c r="F112" s="673">
        <f t="shared" si="3"/>
        <v>0.88800000000000001</v>
      </c>
      <c r="G112" s="673">
        <f t="shared" si="3"/>
        <v>0.88800000000000001</v>
      </c>
      <c r="Z112" s="673"/>
      <c r="AA112" s="673"/>
      <c r="AB112" s="673"/>
      <c r="AC112" s="673"/>
      <c r="AD112" s="673"/>
      <c r="AE112" s="673"/>
    </row>
    <row r="113" spans="1:49" s="672" customFormat="1" x14ac:dyDescent="0.2">
      <c r="A113" s="672" t="s">
        <v>184</v>
      </c>
      <c r="G113" s="673">
        <f>MEDIAN($B$24:$G$24)</f>
        <v>0.88800000000000001</v>
      </c>
      <c r="H113" s="673">
        <f>MEDIAN($B$24:$G$24)</f>
        <v>0.88800000000000001</v>
      </c>
      <c r="I113" s="673"/>
      <c r="J113" s="673"/>
      <c r="K113" s="673"/>
      <c r="L113" s="673"/>
      <c r="M113" s="673"/>
      <c r="N113" s="673"/>
      <c r="O113" s="673"/>
      <c r="P113" s="673"/>
      <c r="Q113" s="673"/>
      <c r="R113" s="673"/>
      <c r="S113" s="673"/>
      <c r="T113" s="673"/>
      <c r="U113" s="673"/>
      <c r="V113" s="673"/>
      <c r="W113" s="673"/>
      <c r="X113" s="673"/>
      <c r="Y113" s="673"/>
      <c r="AE113" s="673"/>
      <c r="AF113" s="673"/>
      <c r="AG113" s="673"/>
      <c r="AH113" s="673"/>
      <c r="AI113" s="673"/>
      <c r="AJ113" s="673"/>
      <c r="AK113" s="673"/>
      <c r="AL113" s="673"/>
      <c r="AM113" s="673"/>
      <c r="AN113" s="673"/>
      <c r="AO113" s="673"/>
      <c r="AP113" s="673"/>
      <c r="AQ113" s="673"/>
      <c r="AR113" s="673"/>
      <c r="AS113" s="673"/>
      <c r="AT113" s="673"/>
      <c r="AU113" s="673"/>
      <c r="AV113" s="673"/>
      <c r="AW113" s="673"/>
    </row>
    <row r="114" spans="1:49" s="672" customFormat="1" x14ac:dyDescent="0.2">
      <c r="A114" s="672" t="s">
        <v>318</v>
      </c>
      <c r="I114" s="673">
        <f>MEDIAN($I$24:$N$24)</f>
        <v>0.79649999999999999</v>
      </c>
      <c r="J114" s="673">
        <f t="shared" ref="J114:N114" si="4">MEDIAN($I$24:$N$24)</f>
        <v>0.79649999999999999</v>
      </c>
      <c r="K114" s="673">
        <f t="shared" si="4"/>
        <v>0.79649999999999999</v>
      </c>
      <c r="L114" s="673">
        <f t="shared" si="4"/>
        <v>0.79649999999999999</v>
      </c>
      <c r="M114" s="673">
        <f t="shared" si="4"/>
        <v>0.79649999999999999</v>
      </c>
      <c r="N114" s="673">
        <f t="shared" si="4"/>
        <v>0.79649999999999999</v>
      </c>
      <c r="O114" s="673"/>
      <c r="AG114" s="673"/>
      <c r="AH114" s="673"/>
      <c r="AI114" s="673"/>
      <c r="AJ114" s="673"/>
      <c r="AK114" s="673"/>
      <c r="AL114" s="673"/>
      <c r="AM114" s="673"/>
    </row>
    <row r="115" spans="1:49" s="672" customFormat="1" x14ac:dyDescent="0.2">
      <c r="A115" s="672" t="s">
        <v>320</v>
      </c>
      <c r="O115" s="673">
        <f>MEDIAN($O$24:$T$24)</f>
        <v>0.70499999999999996</v>
      </c>
      <c r="P115" s="673">
        <f t="shared" ref="P115:AE116" si="5">MEDIAN($O$24:$T$24)</f>
        <v>0.70499999999999996</v>
      </c>
      <c r="Q115" s="673">
        <f t="shared" si="5"/>
        <v>0.70499999999999996</v>
      </c>
      <c r="R115" s="673">
        <f t="shared" si="5"/>
        <v>0.70499999999999996</v>
      </c>
      <c r="S115" s="673">
        <f t="shared" si="5"/>
        <v>0.70499999999999996</v>
      </c>
      <c r="T115" s="673">
        <f t="shared" si="5"/>
        <v>0.70499999999999996</v>
      </c>
    </row>
    <row r="116" spans="1:49" s="672" customFormat="1" x14ac:dyDescent="0.2">
      <c r="A116" s="672" t="s">
        <v>321</v>
      </c>
      <c r="T116" s="673">
        <f t="shared" si="5"/>
        <v>0.70499999999999996</v>
      </c>
      <c r="U116" s="673">
        <f t="shared" si="5"/>
        <v>0.70499999999999996</v>
      </c>
      <c r="V116" s="673">
        <f t="shared" si="5"/>
        <v>0.70499999999999996</v>
      </c>
      <c r="W116" s="673">
        <f t="shared" si="5"/>
        <v>0.70499999999999996</v>
      </c>
      <c r="X116" s="673">
        <f t="shared" si="5"/>
        <v>0.70499999999999996</v>
      </c>
      <c r="Y116" s="673">
        <f t="shared" si="5"/>
        <v>0.70499999999999996</v>
      </c>
      <c r="Z116" s="673">
        <f t="shared" si="5"/>
        <v>0.70499999999999996</v>
      </c>
      <c r="AA116" s="673">
        <f t="shared" si="5"/>
        <v>0.70499999999999996</v>
      </c>
      <c r="AB116" s="673">
        <f t="shared" si="5"/>
        <v>0.70499999999999996</v>
      </c>
      <c r="AC116" s="673">
        <f t="shared" si="5"/>
        <v>0.70499999999999996</v>
      </c>
      <c r="AD116" s="673">
        <f t="shared" si="5"/>
        <v>0.70499999999999996</v>
      </c>
      <c r="AE116" s="673">
        <f t="shared" si="5"/>
        <v>0.70499999999999996</v>
      </c>
      <c r="AF116" s="673">
        <f t="shared" ref="AF116:AW116" si="6">MEDIAN($O$24:$T$24)</f>
        <v>0.70499999999999996</v>
      </c>
      <c r="AG116" s="673">
        <f t="shared" si="6"/>
        <v>0.70499999999999996</v>
      </c>
      <c r="AH116" s="673">
        <f t="shared" si="6"/>
        <v>0.70499999999999996</v>
      </c>
      <c r="AI116" s="673">
        <f t="shared" si="6"/>
        <v>0.70499999999999996</v>
      </c>
      <c r="AJ116" s="673">
        <f t="shared" si="6"/>
        <v>0.70499999999999996</v>
      </c>
      <c r="AK116" s="673">
        <f t="shared" si="6"/>
        <v>0.70499999999999996</v>
      </c>
      <c r="AL116" s="673">
        <f t="shared" si="6"/>
        <v>0.70499999999999996</v>
      </c>
      <c r="AM116" s="673">
        <f t="shared" si="6"/>
        <v>0.70499999999999996</v>
      </c>
      <c r="AN116" s="673">
        <f t="shared" si="6"/>
        <v>0.70499999999999996</v>
      </c>
      <c r="AO116" s="673">
        <f t="shared" si="6"/>
        <v>0.70499999999999996</v>
      </c>
      <c r="AP116" s="673">
        <f t="shared" si="6"/>
        <v>0.70499999999999996</v>
      </c>
      <c r="AQ116" s="673">
        <f t="shared" si="6"/>
        <v>0.70499999999999996</v>
      </c>
      <c r="AR116" s="673">
        <f t="shared" si="6"/>
        <v>0.70499999999999996</v>
      </c>
      <c r="AS116" s="673">
        <f t="shared" si="6"/>
        <v>0.70499999999999996</v>
      </c>
      <c r="AT116" s="673">
        <f t="shared" si="6"/>
        <v>0.70499999999999996</v>
      </c>
      <c r="AU116" s="673">
        <f t="shared" si="6"/>
        <v>0.70499999999999996</v>
      </c>
      <c r="AV116" s="673">
        <f t="shared" si="6"/>
        <v>0.70499999999999996</v>
      </c>
      <c r="AW116" s="673">
        <f t="shared" si="6"/>
        <v>0.70499999999999996</v>
      </c>
    </row>
    <row r="117" spans="1:49" s="672" customFormat="1" x14ac:dyDescent="0.2"/>
    <row r="118" spans="1:49" s="672" customFormat="1" x14ac:dyDescent="0.2"/>
    <row r="119" spans="1:49" s="672" customFormat="1" x14ac:dyDescent="0.2"/>
    <row r="120" spans="1:49" s="672" customFormat="1" x14ac:dyDescent="0.2">
      <c r="A120" s="672" t="s">
        <v>734</v>
      </c>
    </row>
    <row r="121" spans="1:49" s="672" customFormat="1" x14ac:dyDescent="0.2">
      <c r="A121" s="674" t="s">
        <v>720</v>
      </c>
      <c r="G121" s="671"/>
    </row>
    <row r="122" spans="1:49" s="672" customFormat="1" ht="102" x14ac:dyDescent="0.2">
      <c r="A122" s="671" t="s">
        <v>365</v>
      </c>
      <c r="B122" s="675" t="s">
        <v>719</v>
      </c>
      <c r="C122" s="675" t="s">
        <v>715</v>
      </c>
      <c r="D122" s="675" t="s">
        <v>723</v>
      </c>
      <c r="E122" s="676" t="s">
        <v>718</v>
      </c>
      <c r="F122" s="677" t="s">
        <v>248</v>
      </c>
    </row>
    <row r="123" spans="1:49" s="672" customFormat="1" ht="15" x14ac:dyDescent="0.25">
      <c r="A123" s="672" t="s">
        <v>376</v>
      </c>
      <c r="B123" s="672">
        <v>1423</v>
      </c>
      <c r="C123" s="678">
        <v>1420</v>
      </c>
      <c r="D123" s="670">
        <v>3</v>
      </c>
      <c r="E123" s="679">
        <f t="shared" ref="E123:E135" si="7">SUM($C123/$C$136)</f>
        <v>0.20573746740075341</v>
      </c>
      <c r="F123" s="680">
        <f>E123</f>
        <v>0.20573746740075341</v>
      </c>
    </row>
    <row r="124" spans="1:49" s="672" customFormat="1" ht="15" x14ac:dyDescent="0.25">
      <c r="A124" s="672" t="s">
        <v>381</v>
      </c>
      <c r="B124" s="672">
        <v>1383</v>
      </c>
      <c r="C124" s="678">
        <v>1097</v>
      </c>
      <c r="D124" s="670">
        <v>286</v>
      </c>
      <c r="E124" s="679">
        <f t="shared" si="7"/>
        <v>0.15893943784410317</v>
      </c>
      <c r="F124" s="679">
        <f>SUM(F123+E124)</f>
        <v>0.36467690524485658</v>
      </c>
    </row>
    <row r="125" spans="1:49" s="672" customFormat="1" ht="15" x14ac:dyDescent="0.25">
      <c r="A125" s="672" t="s">
        <v>368</v>
      </c>
      <c r="B125" s="672">
        <v>957</v>
      </c>
      <c r="C125" s="678">
        <v>957</v>
      </c>
      <c r="D125" s="670">
        <v>0</v>
      </c>
      <c r="E125" s="679">
        <f t="shared" si="7"/>
        <v>0.13865546218487396</v>
      </c>
      <c r="F125" s="679">
        <f t="shared" ref="F125:F135" si="8">SUM(F124+E125)</f>
        <v>0.50333236742973053</v>
      </c>
    </row>
    <row r="126" spans="1:49" s="672" customFormat="1" ht="15" x14ac:dyDescent="0.25">
      <c r="A126" s="672" t="s">
        <v>369</v>
      </c>
      <c r="B126" s="672">
        <v>764</v>
      </c>
      <c r="C126" s="678">
        <v>763</v>
      </c>
      <c r="D126" s="670">
        <v>1</v>
      </c>
      <c r="E126" s="679">
        <f t="shared" si="7"/>
        <v>0.11054766734279919</v>
      </c>
      <c r="F126" s="679">
        <f t="shared" si="8"/>
        <v>0.61388003477252973</v>
      </c>
    </row>
    <row r="127" spans="1:49" s="672" customFormat="1" ht="15" x14ac:dyDescent="0.25">
      <c r="A127" s="672" t="s">
        <v>373</v>
      </c>
      <c r="B127" s="672">
        <v>692</v>
      </c>
      <c r="C127" s="678">
        <v>661</v>
      </c>
      <c r="D127" s="670">
        <v>31</v>
      </c>
      <c r="E127" s="679">
        <f t="shared" si="7"/>
        <v>9.5769342219646475E-2</v>
      </c>
      <c r="F127" s="679">
        <f t="shared" si="8"/>
        <v>0.70964937699217623</v>
      </c>
    </row>
    <row r="128" spans="1:49" s="672" customFormat="1" ht="15" x14ac:dyDescent="0.25">
      <c r="A128" s="672" t="s">
        <v>716</v>
      </c>
      <c r="B128" s="672">
        <v>564</v>
      </c>
      <c r="C128" s="678">
        <v>557</v>
      </c>
      <c r="D128" s="670">
        <v>7</v>
      </c>
      <c r="E128" s="679">
        <f t="shared" si="7"/>
        <v>8.070124601564764E-2</v>
      </c>
      <c r="F128" s="679">
        <f t="shared" si="8"/>
        <v>0.79035062300782388</v>
      </c>
    </row>
    <row r="129" spans="1:7" s="672" customFormat="1" ht="15" x14ac:dyDescent="0.25">
      <c r="A129" s="672" t="s">
        <v>378</v>
      </c>
      <c r="B129" s="672">
        <v>407</v>
      </c>
      <c r="C129" s="678">
        <v>407</v>
      </c>
      <c r="D129" s="670">
        <v>0</v>
      </c>
      <c r="E129" s="679">
        <f t="shared" si="7"/>
        <v>5.896841495218777E-2</v>
      </c>
      <c r="F129" s="679">
        <f t="shared" si="8"/>
        <v>0.84931903796001162</v>
      </c>
    </row>
    <row r="130" spans="1:7" s="672" customFormat="1" ht="15" x14ac:dyDescent="0.25">
      <c r="A130" s="672" t="s">
        <v>375</v>
      </c>
      <c r="B130" s="672">
        <v>406</v>
      </c>
      <c r="C130" s="678">
        <v>402</v>
      </c>
      <c r="D130" s="670">
        <v>4</v>
      </c>
      <c r="E130" s="679">
        <f t="shared" si="7"/>
        <v>5.8243987250072446E-2</v>
      </c>
      <c r="F130" s="679">
        <f t="shared" si="8"/>
        <v>0.90756302521008403</v>
      </c>
    </row>
    <row r="131" spans="1:7" s="672" customFormat="1" ht="15" x14ac:dyDescent="0.25">
      <c r="A131" s="672" t="s">
        <v>377</v>
      </c>
      <c r="B131" s="672">
        <v>304</v>
      </c>
      <c r="C131" s="678">
        <v>303</v>
      </c>
      <c r="D131" s="670">
        <v>1</v>
      </c>
      <c r="E131" s="679">
        <f t="shared" si="7"/>
        <v>4.3900318748188928E-2</v>
      </c>
      <c r="F131" s="679">
        <f t="shared" si="8"/>
        <v>0.95146334395827292</v>
      </c>
    </row>
    <row r="132" spans="1:7" s="672" customFormat="1" ht="15" x14ac:dyDescent="0.25">
      <c r="A132" s="672" t="s">
        <v>374</v>
      </c>
      <c r="B132" s="672">
        <v>139</v>
      </c>
      <c r="C132" s="678">
        <v>123</v>
      </c>
      <c r="D132" s="670">
        <v>16</v>
      </c>
      <c r="E132" s="679">
        <f t="shared" si="7"/>
        <v>1.782092147203709E-2</v>
      </c>
      <c r="F132" s="679">
        <f t="shared" si="8"/>
        <v>0.96928426543030999</v>
      </c>
    </row>
    <row r="133" spans="1:7" s="672" customFormat="1" ht="15" x14ac:dyDescent="0.25">
      <c r="A133" s="672" t="s">
        <v>379</v>
      </c>
      <c r="B133" s="672">
        <v>106</v>
      </c>
      <c r="C133" s="678">
        <v>96</v>
      </c>
      <c r="D133" s="670">
        <v>10</v>
      </c>
      <c r="E133" s="679">
        <f t="shared" si="7"/>
        <v>1.3909011880614315E-2</v>
      </c>
      <c r="F133" s="679">
        <f t="shared" si="8"/>
        <v>0.98319327731092432</v>
      </c>
    </row>
    <row r="134" spans="1:7" s="672" customFormat="1" ht="15" x14ac:dyDescent="0.25">
      <c r="A134" s="672" t="s">
        <v>370</v>
      </c>
      <c r="B134" s="672">
        <v>87</v>
      </c>
      <c r="C134" s="678">
        <v>85</v>
      </c>
      <c r="D134" s="670">
        <v>2</v>
      </c>
      <c r="E134" s="679">
        <f t="shared" si="7"/>
        <v>1.2315270935960592E-2</v>
      </c>
      <c r="F134" s="679">
        <f t="shared" si="8"/>
        <v>0.99550854824688495</v>
      </c>
    </row>
    <row r="135" spans="1:7" s="672" customFormat="1" ht="15" x14ac:dyDescent="0.25">
      <c r="A135" s="672" t="s">
        <v>371</v>
      </c>
      <c r="B135" s="672">
        <v>32</v>
      </c>
      <c r="C135" s="678">
        <v>31</v>
      </c>
      <c r="D135" s="670">
        <v>1</v>
      </c>
      <c r="E135" s="679">
        <f t="shared" si="7"/>
        <v>4.4914517531150396E-3</v>
      </c>
      <c r="F135" s="679">
        <f t="shared" si="8"/>
        <v>1</v>
      </c>
    </row>
    <row r="136" spans="1:7" s="672" customFormat="1" ht="15" x14ac:dyDescent="0.25">
      <c r="A136" s="672" t="s">
        <v>717</v>
      </c>
      <c r="B136" s="681">
        <f>SUM(B123:B135)</f>
        <v>7264</v>
      </c>
      <c r="C136" s="681">
        <f>SUM(C123:C135)</f>
        <v>6902</v>
      </c>
      <c r="D136" s="681">
        <f>SUM(D123:D135)</f>
        <v>362</v>
      </c>
      <c r="G136" s="670"/>
    </row>
    <row r="137" spans="1:7" s="672" customFormat="1" x14ac:dyDescent="0.2"/>
    <row r="138" spans="1:7" s="672" customFormat="1" x14ac:dyDescent="0.2">
      <c r="A138" s="674" t="s">
        <v>721</v>
      </c>
    </row>
    <row r="139" spans="1:7" s="672" customFormat="1" ht="102" x14ac:dyDescent="0.2">
      <c r="A139" s="671" t="s">
        <v>365</v>
      </c>
      <c r="B139" s="675" t="s">
        <v>723</v>
      </c>
      <c r="C139" s="676" t="s">
        <v>718</v>
      </c>
      <c r="D139" s="677" t="s">
        <v>248</v>
      </c>
    </row>
    <row r="140" spans="1:7" s="672" customFormat="1" ht="15" x14ac:dyDescent="0.25">
      <c r="A140" s="672" t="s">
        <v>381</v>
      </c>
      <c r="B140" s="678">
        <v>286</v>
      </c>
      <c r="C140" s="679">
        <f t="shared" ref="C140:C152" si="9">SUM($B140/$B$153)</f>
        <v>0.79005524861878451</v>
      </c>
      <c r="D140" s="680">
        <f>C140</f>
        <v>0.79005524861878451</v>
      </c>
    </row>
    <row r="141" spans="1:7" s="672" customFormat="1" ht="15" x14ac:dyDescent="0.25">
      <c r="A141" s="672" t="s">
        <v>373</v>
      </c>
      <c r="B141" s="678">
        <v>31</v>
      </c>
      <c r="C141" s="679">
        <f t="shared" si="9"/>
        <v>8.5635359116022103E-2</v>
      </c>
      <c r="D141" s="679">
        <f>SUM(D140+C141)</f>
        <v>0.87569060773480656</v>
      </c>
    </row>
    <row r="142" spans="1:7" s="672" customFormat="1" ht="15" x14ac:dyDescent="0.25">
      <c r="A142" s="672" t="s">
        <v>374</v>
      </c>
      <c r="B142" s="678">
        <v>16</v>
      </c>
      <c r="C142" s="679">
        <f t="shared" si="9"/>
        <v>4.4198895027624308E-2</v>
      </c>
      <c r="D142" s="679">
        <f t="shared" ref="D142:D152" si="10">SUM(D141+C142)</f>
        <v>0.91988950276243087</v>
      </c>
    </row>
    <row r="143" spans="1:7" s="672" customFormat="1" ht="15" x14ac:dyDescent="0.25">
      <c r="A143" s="672" t="s">
        <v>379</v>
      </c>
      <c r="B143" s="678">
        <v>10</v>
      </c>
      <c r="C143" s="679">
        <f t="shared" si="9"/>
        <v>2.7624309392265192E-2</v>
      </c>
      <c r="D143" s="679">
        <f t="shared" si="10"/>
        <v>0.9475138121546961</v>
      </c>
    </row>
    <row r="144" spans="1:7" s="672" customFormat="1" ht="15" x14ac:dyDescent="0.25">
      <c r="A144" s="672" t="s">
        <v>716</v>
      </c>
      <c r="B144" s="678">
        <v>7</v>
      </c>
      <c r="C144" s="679">
        <f t="shared" si="9"/>
        <v>1.9337016574585635E-2</v>
      </c>
      <c r="D144" s="679">
        <f t="shared" si="10"/>
        <v>0.96685082872928174</v>
      </c>
    </row>
    <row r="145" spans="1:4" s="672" customFormat="1" ht="15" x14ac:dyDescent="0.25">
      <c r="A145" s="672" t="s">
        <v>375</v>
      </c>
      <c r="B145" s="678">
        <v>4</v>
      </c>
      <c r="C145" s="679">
        <f t="shared" si="9"/>
        <v>1.1049723756906077E-2</v>
      </c>
      <c r="D145" s="679">
        <f t="shared" si="10"/>
        <v>0.97790055248618779</v>
      </c>
    </row>
    <row r="146" spans="1:4" s="672" customFormat="1" ht="15" x14ac:dyDescent="0.25">
      <c r="A146" s="672" t="s">
        <v>376</v>
      </c>
      <c r="B146" s="678">
        <v>3</v>
      </c>
      <c r="C146" s="679">
        <f t="shared" si="9"/>
        <v>8.2872928176795577E-3</v>
      </c>
      <c r="D146" s="679">
        <f t="shared" si="10"/>
        <v>0.98618784530386738</v>
      </c>
    </row>
    <row r="147" spans="1:4" s="672" customFormat="1" ht="15" x14ac:dyDescent="0.25">
      <c r="A147" s="672" t="s">
        <v>370</v>
      </c>
      <c r="B147" s="678">
        <v>2</v>
      </c>
      <c r="C147" s="679">
        <f t="shared" si="9"/>
        <v>5.5248618784530384E-3</v>
      </c>
      <c r="D147" s="679">
        <f t="shared" si="10"/>
        <v>0.99171270718232041</v>
      </c>
    </row>
    <row r="148" spans="1:4" s="672" customFormat="1" ht="15" x14ac:dyDescent="0.25">
      <c r="A148" s="672" t="s">
        <v>369</v>
      </c>
      <c r="B148" s="678">
        <v>1</v>
      </c>
      <c r="C148" s="679">
        <f t="shared" si="9"/>
        <v>2.7624309392265192E-3</v>
      </c>
      <c r="D148" s="679">
        <f t="shared" si="10"/>
        <v>0.99447513812154698</v>
      </c>
    </row>
    <row r="149" spans="1:4" s="672" customFormat="1" ht="15" x14ac:dyDescent="0.25">
      <c r="A149" s="672" t="s">
        <v>377</v>
      </c>
      <c r="B149" s="678">
        <v>1</v>
      </c>
      <c r="C149" s="679">
        <f t="shared" si="9"/>
        <v>2.7624309392265192E-3</v>
      </c>
      <c r="D149" s="679">
        <f t="shared" si="10"/>
        <v>0.99723756906077354</v>
      </c>
    </row>
    <row r="150" spans="1:4" s="672" customFormat="1" ht="15" x14ac:dyDescent="0.25">
      <c r="A150" s="672" t="s">
        <v>371</v>
      </c>
      <c r="B150" s="678">
        <v>1</v>
      </c>
      <c r="C150" s="679">
        <f t="shared" si="9"/>
        <v>2.7624309392265192E-3</v>
      </c>
      <c r="D150" s="679">
        <f t="shared" si="10"/>
        <v>1</v>
      </c>
    </row>
    <row r="151" spans="1:4" s="672" customFormat="1" ht="15" x14ac:dyDescent="0.25">
      <c r="A151" s="672" t="s">
        <v>368</v>
      </c>
      <c r="B151" s="678">
        <v>0</v>
      </c>
      <c r="C151" s="679">
        <f t="shared" si="9"/>
        <v>0</v>
      </c>
      <c r="D151" s="679">
        <f t="shared" si="10"/>
        <v>1</v>
      </c>
    </row>
    <row r="152" spans="1:4" s="672" customFormat="1" ht="15" x14ac:dyDescent="0.25">
      <c r="A152" s="672" t="s">
        <v>378</v>
      </c>
      <c r="B152" s="678">
        <v>0</v>
      </c>
      <c r="C152" s="679">
        <f t="shared" si="9"/>
        <v>0</v>
      </c>
      <c r="D152" s="679">
        <f t="shared" si="10"/>
        <v>1</v>
      </c>
    </row>
    <row r="153" spans="1:4" s="672" customFormat="1" x14ac:dyDescent="0.2">
      <c r="A153" s="672" t="s">
        <v>717</v>
      </c>
      <c r="B153" s="681">
        <f>SUM(B140:B152)</f>
        <v>362</v>
      </c>
    </row>
    <row r="154" spans="1:4" s="672" customFormat="1" x14ac:dyDescent="0.2"/>
  </sheetData>
  <mergeCells count="1">
    <mergeCell ref="N77:Y78"/>
  </mergeCells>
  <phoneticPr fontId="0" type="noConversion"/>
  <conditionalFormatting sqref="B11:Y24">
    <cfRule type="cellIs" dxfId="14" priority="11" operator="lessThan">
      <formula>0.9495</formula>
    </cfRule>
  </conditionalFormatting>
  <conditionalFormatting sqref="Z11:AW14 Z16:AW24 Z15:AA15 AE15:AW15">
    <cfRule type="cellIs" dxfId="13" priority="9" operator="lessThan">
      <formula>0.9495</formula>
    </cfRule>
  </conditionalFormatting>
  <conditionalFormatting sqref="AB15">
    <cfRule type="cellIs" dxfId="12" priority="5" operator="lessThan">
      <formula>0.9495</formula>
    </cfRule>
  </conditionalFormatting>
  <conditionalFormatting sqref="AD15">
    <cfRule type="cellIs" dxfId="11" priority="1" operator="lessThan">
      <formula>0.9495</formula>
    </cfRule>
  </conditionalFormatting>
  <conditionalFormatting sqref="AC15">
    <cfRule type="cellIs" dxfId="10" priority="3" operator="lessThan">
      <formula>0.9495</formula>
    </cfRule>
  </conditionalFormatting>
  <hyperlinks>
    <hyperlink ref="A1" location="Content!A1" display="Return to Content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W156"/>
  <sheetViews>
    <sheetView workbookViewId="0">
      <pane xSplit="1" topLeftCell="B1" activePane="topRight" state="frozen"/>
      <selection pane="topRight"/>
    </sheetView>
  </sheetViews>
  <sheetFormatPr defaultColWidth="9.140625" defaultRowHeight="12.75" x14ac:dyDescent="0.2"/>
  <cols>
    <col min="1" max="1" width="28.28515625" style="117" customWidth="1"/>
    <col min="2" max="6" width="9.85546875" style="117" customWidth="1"/>
    <col min="7" max="24" width="9.140625" style="117" customWidth="1"/>
    <col min="25" max="16384" width="9.140625" style="117"/>
  </cols>
  <sheetData>
    <row r="1" spans="1:49" x14ac:dyDescent="0.2">
      <c r="A1" s="298" t="s">
        <v>360</v>
      </c>
    </row>
    <row r="2" spans="1:49" x14ac:dyDescent="0.2">
      <c r="A2" s="116"/>
    </row>
    <row r="3" spans="1:49" x14ac:dyDescent="0.2">
      <c r="A3" s="118" t="s">
        <v>454</v>
      </c>
      <c r="B3" s="117" t="s">
        <v>43</v>
      </c>
    </row>
    <row r="4" spans="1:49" x14ac:dyDescent="0.2">
      <c r="A4" s="118"/>
      <c r="B4" s="117" t="s">
        <v>44</v>
      </c>
    </row>
    <row r="5" spans="1:49" x14ac:dyDescent="0.2">
      <c r="A5" s="118"/>
      <c r="B5" s="117" t="s">
        <v>45</v>
      </c>
    </row>
    <row r="6" spans="1:49" x14ac:dyDescent="0.2">
      <c r="A6" s="118"/>
      <c r="B6" s="117" t="s">
        <v>46</v>
      </c>
    </row>
    <row r="7" spans="1:49" x14ac:dyDescent="0.2">
      <c r="A7" s="118" t="s">
        <v>147</v>
      </c>
      <c r="B7" s="172">
        <f>HLOOKUP(MAX(B13:AW13),B13:AW27,2,0)</f>
        <v>0.85299999999999998</v>
      </c>
    </row>
    <row r="8" spans="1:49" x14ac:dyDescent="0.2">
      <c r="A8" s="118" t="s">
        <v>119</v>
      </c>
      <c r="B8" s="121">
        <f>MAX(B13:AW13)</f>
        <v>42948</v>
      </c>
    </row>
    <row r="9" spans="1:49" x14ac:dyDescent="0.2">
      <c r="A9" s="118" t="s">
        <v>201</v>
      </c>
      <c r="B9" s="155" t="s">
        <v>182</v>
      </c>
    </row>
    <row r="10" spans="1:49" x14ac:dyDescent="0.2">
      <c r="A10" s="118" t="s">
        <v>456</v>
      </c>
      <c r="B10" s="508" t="s">
        <v>143</v>
      </c>
    </row>
    <row r="12" spans="1:49" x14ac:dyDescent="0.2">
      <c r="A12" s="137" t="s">
        <v>382</v>
      </c>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row>
    <row r="13" spans="1:49" x14ac:dyDescent="0.2">
      <c r="A13" s="35" t="s">
        <v>365</v>
      </c>
      <c r="B13" s="36">
        <v>42095</v>
      </c>
      <c r="C13" s="36">
        <v>42125</v>
      </c>
      <c r="D13" s="36">
        <v>42156</v>
      </c>
      <c r="E13" s="36">
        <v>42186</v>
      </c>
      <c r="F13" s="36">
        <v>42217</v>
      </c>
      <c r="G13" s="36">
        <v>42248</v>
      </c>
      <c r="H13" s="36">
        <v>42278</v>
      </c>
      <c r="I13" s="36">
        <v>42309</v>
      </c>
      <c r="J13" s="36">
        <v>42339</v>
      </c>
      <c r="K13" s="36">
        <v>42370</v>
      </c>
      <c r="L13" s="36">
        <v>42401</v>
      </c>
      <c r="M13" s="36">
        <v>42430</v>
      </c>
      <c r="N13" s="36">
        <v>42461</v>
      </c>
      <c r="O13" s="36">
        <v>42491</v>
      </c>
      <c r="P13" s="36">
        <v>42522</v>
      </c>
      <c r="Q13" s="36">
        <v>42552</v>
      </c>
      <c r="R13" s="36">
        <v>42583</v>
      </c>
      <c r="S13" s="36">
        <v>42614</v>
      </c>
      <c r="T13" s="36">
        <v>42644</v>
      </c>
      <c r="U13" s="36">
        <v>42675</v>
      </c>
      <c r="V13" s="36">
        <v>42705</v>
      </c>
      <c r="W13" s="36">
        <v>42736</v>
      </c>
      <c r="X13" s="167">
        <v>42767</v>
      </c>
      <c r="Y13" s="36">
        <v>42795</v>
      </c>
      <c r="Z13" s="167">
        <v>42826</v>
      </c>
      <c r="AA13" s="36">
        <v>42856</v>
      </c>
      <c r="AB13" s="549">
        <v>42887</v>
      </c>
      <c r="AC13" s="36">
        <v>42917</v>
      </c>
      <c r="AD13" s="549">
        <v>42948</v>
      </c>
      <c r="AE13" s="36"/>
      <c r="AF13" s="36"/>
      <c r="AG13" s="36"/>
      <c r="AH13" s="36"/>
      <c r="AI13" s="36"/>
      <c r="AJ13" s="36"/>
      <c r="AK13" s="36"/>
      <c r="AL13" s="36"/>
      <c r="AM13" s="36"/>
      <c r="AN13" s="36"/>
      <c r="AO13" s="36"/>
      <c r="AP13" s="36"/>
      <c r="AQ13" s="36"/>
      <c r="AR13" s="36"/>
      <c r="AS13" s="36"/>
      <c r="AT13" s="36"/>
      <c r="AU13" s="36"/>
      <c r="AV13" s="184"/>
      <c r="AW13" s="184"/>
    </row>
    <row r="14" spans="1:49" x14ac:dyDescent="0.2">
      <c r="A14" s="69" t="s">
        <v>367</v>
      </c>
      <c r="B14" s="67">
        <v>0.96199999999999997</v>
      </c>
      <c r="C14" s="67">
        <v>0.93100000000000005</v>
      </c>
      <c r="D14" s="67">
        <v>0.92500000000000004</v>
      </c>
      <c r="E14" s="67">
        <v>0.96199999999999997</v>
      </c>
      <c r="F14" s="67">
        <v>0.93600000000000005</v>
      </c>
      <c r="G14" s="67">
        <v>0.92300000000000004</v>
      </c>
      <c r="H14" s="67">
        <v>0.94899999999999995</v>
      </c>
      <c r="I14" s="67">
        <v>0.93899999999999995</v>
      </c>
      <c r="J14" s="67">
        <v>0.90800000000000003</v>
      </c>
      <c r="K14" s="67">
        <v>0.94299999999999995</v>
      </c>
      <c r="L14" s="67">
        <v>0.89400000000000002</v>
      </c>
      <c r="M14" s="67">
        <v>0.92600000000000005</v>
      </c>
      <c r="N14" s="67">
        <v>0.89800000000000002</v>
      </c>
      <c r="O14" s="67">
        <v>0.91600000000000004</v>
      </c>
      <c r="P14" s="67">
        <v>0.97799999999999998</v>
      </c>
      <c r="Q14" s="67">
        <v>0.91800000000000004</v>
      </c>
      <c r="R14" s="67">
        <v>0.877</v>
      </c>
      <c r="S14" s="68">
        <v>0.84899999999999998</v>
      </c>
      <c r="T14" s="68">
        <v>0.81499999999999995</v>
      </c>
      <c r="U14" s="71">
        <v>0.85299999999999998</v>
      </c>
      <c r="V14" s="67">
        <v>0.84199999999999997</v>
      </c>
      <c r="W14" s="67">
        <v>0.85899999999999999</v>
      </c>
      <c r="X14" s="177">
        <v>0.91200000000000003</v>
      </c>
      <c r="Y14" s="458">
        <v>0.93799999999999994</v>
      </c>
      <c r="Z14" s="67">
        <v>0.85</v>
      </c>
      <c r="AA14" s="67">
        <v>0.91</v>
      </c>
      <c r="AB14" s="67">
        <v>0.875</v>
      </c>
      <c r="AC14" s="67">
        <v>0.89</v>
      </c>
      <c r="AD14" s="67">
        <v>0.85299999999999998</v>
      </c>
      <c r="AE14" s="67"/>
      <c r="AF14" s="67"/>
      <c r="AG14" s="67"/>
      <c r="AH14" s="67"/>
      <c r="AI14" s="67"/>
      <c r="AJ14" s="67"/>
      <c r="AK14" s="67"/>
      <c r="AL14" s="67"/>
      <c r="AM14" s="67"/>
      <c r="AN14" s="67"/>
      <c r="AO14" s="67"/>
      <c r="AP14" s="67"/>
      <c r="AQ14" s="68"/>
      <c r="AR14" s="68"/>
      <c r="AS14" s="71"/>
      <c r="AT14" s="67"/>
      <c r="AU14" s="67"/>
      <c r="AV14" s="177"/>
      <c r="AW14" s="177"/>
    </row>
    <row r="15" spans="1:49" x14ac:dyDescent="0.2">
      <c r="A15" s="171" t="s">
        <v>368</v>
      </c>
      <c r="B15" s="37">
        <v>1</v>
      </c>
      <c r="C15" s="37">
        <v>1</v>
      </c>
      <c r="D15" s="37">
        <v>0.96799999999999997</v>
      </c>
      <c r="E15" s="37">
        <v>1</v>
      </c>
      <c r="F15" s="37">
        <v>1</v>
      </c>
      <c r="G15" s="38">
        <v>1</v>
      </c>
      <c r="H15" s="38">
        <v>1</v>
      </c>
      <c r="I15" s="38">
        <v>1</v>
      </c>
      <c r="J15" s="38">
        <v>1</v>
      </c>
      <c r="K15" s="38">
        <v>1</v>
      </c>
      <c r="L15" s="38">
        <v>1</v>
      </c>
      <c r="M15" s="38">
        <v>1</v>
      </c>
      <c r="N15" s="38">
        <v>1</v>
      </c>
      <c r="O15" s="38">
        <v>1</v>
      </c>
      <c r="P15" s="38">
        <v>1</v>
      </c>
      <c r="Q15" s="38">
        <v>1</v>
      </c>
      <c r="R15" s="38">
        <v>1</v>
      </c>
      <c r="S15" s="61">
        <v>1</v>
      </c>
      <c r="T15" s="61">
        <v>1</v>
      </c>
      <c r="U15" s="61">
        <v>1</v>
      </c>
      <c r="V15" s="38">
        <v>1</v>
      </c>
      <c r="W15" s="38">
        <v>1</v>
      </c>
      <c r="X15" s="169">
        <v>0.96599999999999997</v>
      </c>
      <c r="Y15" s="61">
        <v>0.95833333333333337</v>
      </c>
      <c r="Z15" s="37">
        <v>1</v>
      </c>
      <c r="AA15" s="37">
        <v>1</v>
      </c>
      <c r="AB15" s="37">
        <v>1</v>
      </c>
      <c r="AC15" s="37">
        <v>1</v>
      </c>
      <c r="AD15" s="37">
        <v>1</v>
      </c>
      <c r="AE15" s="38"/>
      <c r="AF15" s="38"/>
      <c r="AG15" s="38"/>
      <c r="AH15" s="38"/>
      <c r="AI15" s="38"/>
      <c r="AJ15" s="38"/>
      <c r="AK15" s="38"/>
      <c r="AL15" s="38"/>
      <c r="AM15" s="38"/>
      <c r="AN15" s="38"/>
      <c r="AO15" s="38"/>
      <c r="AP15" s="38"/>
      <c r="AQ15" s="61"/>
      <c r="AR15" s="61"/>
      <c r="AS15" s="61"/>
      <c r="AT15" s="38"/>
      <c r="AU15" s="38"/>
      <c r="AV15" s="169"/>
      <c r="AW15" s="169"/>
    </row>
    <row r="16" spans="1:49" x14ac:dyDescent="0.2">
      <c r="A16" s="171" t="s">
        <v>369</v>
      </c>
      <c r="B16" s="37">
        <v>1</v>
      </c>
      <c r="C16" s="37">
        <v>1</v>
      </c>
      <c r="D16" s="37">
        <v>1</v>
      </c>
      <c r="E16" s="37">
        <v>1</v>
      </c>
      <c r="F16" s="37">
        <v>1</v>
      </c>
      <c r="G16" s="38">
        <v>1</v>
      </c>
      <c r="H16" s="38">
        <v>1</v>
      </c>
      <c r="I16" s="38">
        <v>1</v>
      </c>
      <c r="J16" s="38">
        <v>1</v>
      </c>
      <c r="K16" s="38">
        <v>1</v>
      </c>
      <c r="L16" s="38">
        <v>1</v>
      </c>
      <c r="M16" s="38">
        <v>1</v>
      </c>
      <c r="N16" s="38">
        <v>1</v>
      </c>
      <c r="O16" s="38">
        <v>1</v>
      </c>
      <c r="P16" s="38">
        <v>1</v>
      </c>
      <c r="Q16" s="38">
        <v>1</v>
      </c>
      <c r="R16" s="38">
        <v>1</v>
      </c>
      <c r="S16" s="61">
        <v>1</v>
      </c>
      <c r="T16" s="61">
        <v>1</v>
      </c>
      <c r="U16" s="61">
        <v>1</v>
      </c>
      <c r="V16" s="38">
        <v>0.96666666666666667</v>
      </c>
      <c r="W16" s="38">
        <v>1</v>
      </c>
      <c r="X16" s="169">
        <v>0.97</v>
      </c>
      <c r="Y16" s="61">
        <v>1</v>
      </c>
      <c r="Z16" s="37">
        <v>1</v>
      </c>
      <c r="AA16" s="37">
        <v>1</v>
      </c>
      <c r="AB16" s="37">
        <v>0.98</v>
      </c>
      <c r="AC16" s="37">
        <v>1</v>
      </c>
      <c r="AD16" s="37">
        <v>1</v>
      </c>
      <c r="AE16" s="38"/>
      <c r="AF16" s="38"/>
      <c r="AG16" s="38"/>
      <c r="AH16" s="38"/>
      <c r="AI16" s="38"/>
      <c r="AJ16" s="38"/>
      <c r="AK16" s="38"/>
      <c r="AL16" s="38"/>
      <c r="AM16" s="38"/>
      <c r="AN16" s="38"/>
      <c r="AO16" s="38"/>
      <c r="AP16" s="38"/>
      <c r="AQ16" s="61"/>
      <c r="AR16" s="61"/>
      <c r="AS16" s="61"/>
      <c r="AT16" s="38"/>
      <c r="AU16" s="38"/>
      <c r="AV16" s="169"/>
      <c r="AW16" s="169"/>
    </row>
    <row r="17" spans="1:49" x14ac:dyDescent="0.2">
      <c r="A17" s="171" t="s">
        <v>370</v>
      </c>
      <c r="B17" s="37" t="s">
        <v>372</v>
      </c>
      <c r="C17" s="37">
        <v>1</v>
      </c>
      <c r="D17" s="37">
        <v>1</v>
      </c>
      <c r="E17" s="37" t="s">
        <v>372</v>
      </c>
      <c r="F17" s="37">
        <v>1</v>
      </c>
      <c r="G17" s="38">
        <v>1</v>
      </c>
      <c r="H17" s="38">
        <v>1</v>
      </c>
      <c r="I17" s="38">
        <v>1</v>
      </c>
      <c r="J17" s="38">
        <v>1</v>
      </c>
      <c r="K17" s="38">
        <v>1</v>
      </c>
      <c r="L17" s="38">
        <v>1</v>
      </c>
      <c r="M17" s="38">
        <v>1</v>
      </c>
      <c r="N17" s="38">
        <v>1</v>
      </c>
      <c r="O17" s="38" t="s">
        <v>372</v>
      </c>
      <c r="P17" s="38">
        <v>1</v>
      </c>
      <c r="Q17" s="38">
        <v>1</v>
      </c>
      <c r="R17" s="38">
        <v>1</v>
      </c>
      <c r="S17" s="38" t="s">
        <v>372</v>
      </c>
      <c r="T17" s="38" t="s">
        <v>372</v>
      </c>
      <c r="U17" s="38" t="s">
        <v>372</v>
      </c>
      <c r="V17" s="38" t="s">
        <v>372</v>
      </c>
      <c r="W17" s="38" t="s">
        <v>372</v>
      </c>
      <c r="X17" s="169">
        <v>1</v>
      </c>
      <c r="Y17" s="61">
        <v>1</v>
      </c>
      <c r="Z17" s="38" t="s">
        <v>372</v>
      </c>
      <c r="AA17" s="37">
        <v>1</v>
      </c>
      <c r="AB17" s="38" t="s">
        <v>372</v>
      </c>
      <c r="AC17" s="37">
        <v>1</v>
      </c>
      <c r="AD17" s="38" t="s">
        <v>372</v>
      </c>
      <c r="AE17" s="38"/>
      <c r="AF17" s="38"/>
      <c r="AG17" s="38"/>
      <c r="AH17" s="38"/>
      <c r="AI17" s="38"/>
      <c r="AJ17" s="38"/>
      <c r="AK17" s="38"/>
      <c r="AL17" s="38"/>
      <c r="AM17" s="38"/>
      <c r="AN17" s="38"/>
      <c r="AO17" s="38"/>
      <c r="AP17" s="38"/>
      <c r="AQ17" s="38"/>
      <c r="AR17" s="38"/>
      <c r="AS17" s="38"/>
      <c r="AT17" s="38"/>
      <c r="AU17" s="38"/>
      <c r="AV17" s="169"/>
      <c r="AW17" s="169"/>
    </row>
    <row r="18" spans="1:49" x14ac:dyDescent="0.2">
      <c r="A18" s="171" t="s">
        <v>371</v>
      </c>
      <c r="B18" s="37">
        <v>1</v>
      </c>
      <c r="C18" s="37" t="s">
        <v>372</v>
      </c>
      <c r="D18" s="37">
        <v>1</v>
      </c>
      <c r="E18" s="37">
        <v>1</v>
      </c>
      <c r="F18" s="37" t="s">
        <v>372</v>
      </c>
      <c r="G18" s="37" t="s">
        <v>372</v>
      </c>
      <c r="H18" s="38">
        <v>1</v>
      </c>
      <c r="I18" s="38">
        <v>1</v>
      </c>
      <c r="J18" s="38">
        <v>1</v>
      </c>
      <c r="K18" s="38">
        <v>1</v>
      </c>
      <c r="L18" s="38">
        <v>1</v>
      </c>
      <c r="M18" s="38">
        <v>1</v>
      </c>
      <c r="N18" s="38">
        <v>1</v>
      </c>
      <c r="O18" s="38">
        <v>1</v>
      </c>
      <c r="P18" s="38" t="s">
        <v>372</v>
      </c>
      <c r="Q18" s="38" t="s">
        <v>372</v>
      </c>
      <c r="R18" s="38" t="s">
        <v>372</v>
      </c>
      <c r="S18" s="38" t="s">
        <v>372</v>
      </c>
      <c r="T18" s="38" t="s">
        <v>372</v>
      </c>
      <c r="U18" s="38">
        <v>1</v>
      </c>
      <c r="V18" s="38" t="s">
        <v>372</v>
      </c>
      <c r="W18" s="38">
        <v>1</v>
      </c>
      <c r="X18" s="169" t="s">
        <v>372</v>
      </c>
      <c r="Y18" s="61">
        <v>0</v>
      </c>
      <c r="Z18" s="37">
        <v>1</v>
      </c>
      <c r="AA18" s="37">
        <v>1</v>
      </c>
      <c r="AB18" s="38" t="s">
        <v>372</v>
      </c>
      <c r="AC18" s="38" t="s">
        <v>372</v>
      </c>
      <c r="AD18" s="38" t="s">
        <v>372</v>
      </c>
      <c r="AE18" s="38"/>
      <c r="AF18" s="38"/>
      <c r="AG18" s="38"/>
      <c r="AH18" s="38"/>
      <c r="AI18" s="38"/>
      <c r="AJ18" s="38"/>
      <c r="AK18" s="38"/>
      <c r="AL18" s="38"/>
      <c r="AM18" s="38"/>
      <c r="AN18" s="38"/>
      <c r="AO18" s="38"/>
      <c r="AP18" s="38"/>
      <c r="AQ18" s="38"/>
      <c r="AR18" s="61"/>
      <c r="AS18" s="38"/>
      <c r="AT18" s="38"/>
      <c r="AU18" s="38"/>
      <c r="AV18" s="169"/>
      <c r="AW18" s="169"/>
    </row>
    <row r="19" spans="1:49" x14ac:dyDescent="0.2">
      <c r="A19" s="171" t="s">
        <v>373</v>
      </c>
      <c r="B19" s="37">
        <v>0.90900000000000003</v>
      </c>
      <c r="C19" s="37">
        <v>0.91700000000000004</v>
      </c>
      <c r="D19" s="37">
        <v>0.84199999999999997</v>
      </c>
      <c r="E19" s="37">
        <v>1</v>
      </c>
      <c r="F19" s="37">
        <v>0.86699999999999999</v>
      </c>
      <c r="G19" s="38">
        <v>0.92900000000000005</v>
      </c>
      <c r="H19" s="38">
        <v>0.94399999999999995</v>
      </c>
      <c r="I19" s="38">
        <v>0.86699999999999999</v>
      </c>
      <c r="J19" s="38">
        <v>0.84199999999999997</v>
      </c>
      <c r="K19" s="38">
        <v>0.88200000000000001</v>
      </c>
      <c r="L19" s="38">
        <v>0.8</v>
      </c>
      <c r="M19" s="38">
        <v>0.91300000000000003</v>
      </c>
      <c r="N19" s="38">
        <v>0.77800000000000002</v>
      </c>
      <c r="O19" s="38">
        <v>0.77800000000000002</v>
      </c>
      <c r="P19" s="38">
        <v>1</v>
      </c>
      <c r="Q19" s="38">
        <v>0.63600000000000001</v>
      </c>
      <c r="R19" s="38">
        <v>0.5</v>
      </c>
      <c r="S19" s="61">
        <v>0.77300000000000002</v>
      </c>
      <c r="T19" s="61">
        <v>0.83299999999999996</v>
      </c>
      <c r="U19" s="61">
        <v>0.76500000000000001</v>
      </c>
      <c r="V19" s="38">
        <v>0.7</v>
      </c>
      <c r="W19" s="38">
        <v>0.84599999999999997</v>
      </c>
      <c r="X19" s="169">
        <v>0.89500000000000002</v>
      </c>
      <c r="Y19" s="61">
        <v>0.95652173913043481</v>
      </c>
      <c r="Z19" s="37">
        <v>0.76900000000000002</v>
      </c>
      <c r="AA19" s="37">
        <v>0.92592592592592604</v>
      </c>
      <c r="AB19" s="37">
        <v>0.84599999999999997</v>
      </c>
      <c r="AC19" s="37">
        <v>0.81799999999999995</v>
      </c>
      <c r="AD19" s="37">
        <v>0.54500000000000004</v>
      </c>
      <c r="AE19" s="38"/>
      <c r="AF19" s="38"/>
      <c r="AG19" s="38"/>
      <c r="AH19" s="38"/>
      <c r="AI19" s="38"/>
      <c r="AJ19" s="38"/>
      <c r="AK19" s="38"/>
      <c r="AL19" s="38"/>
      <c r="AM19" s="38"/>
      <c r="AN19" s="38"/>
      <c r="AO19" s="38"/>
      <c r="AP19" s="38"/>
      <c r="AQ19" s="61"/>
      <c r="AR19" s="61"/>
      <c r="AS19" s="61"/>
      <c r="AT19" s="38"/>
      <c r="AU19" s="38"/>
      <c r="AV19" s="169"/>
      <c r="AW19" s="169"/>
    </row>
    <row r="20" spans="1:49" x14ac:dyDescent="0.2">
      <c r="A20" s="171" t="s">
        <v>374</v>
      </c>
      <c r="B20" s="37">
        <v>1</v>
      </c>
      <c r="C20" s="37">
        <v>1</v>
      </c>
      <c r="D20" s="37">
        <v>0.71399999999999997</v>
      </c>
      <c r="E20" s="37">
        <v>1</v>
      </c>
      <c r="F20" s="37">
        <v>0.5</v>
      </c>
      <c r="G20" s="38">
        <v>0.85699999999999998</v>
      </c>
      <c r="H20" s="38">
        <v>0.81799999999999995</v>
      </c>
      <c r="I20" s="38">
        <v>0.83299999999999996</v>
      </c>
      <c r="J20" s="38">
        <v>0.5</v>
      </c>
      <c r="K20" s="38">
        <v>0.83299999999999996</v>
      </c>
      <c r="L20" s="38">
        <v>0.66700000000000004</v>
      </c>
      <c r="M20" s="38">
        <v>0.8</v>
      </c>
      <c r="N20" s="38">
        <v>0.5</v>
      </c>
      <c r="O20" s="38">
        <v>0.6</v>
      </c>
      <c r="P20" s="38">
        <v>0.8</v>
      </c>
      <c r="Q20" s="38">
        <v>0.8</v>
      </c>
      <c r="R20" s="38">
        <v>0.5</v>
      </c>
      <c r="S20" s="61">
        <v>0.66700000000000004</v>
      </c>
      <c r="T20" s="61">
        <v>0.8</v>
      </c>
      <c r="U20" s="61">
        <v>0.63636363636363602</v>
      </c>
      <c r="V20" s="38">
        <v>0.8571428571428571</v>
      </c>
      <c r="W20" s="38">
        <v>0.6</v>
      </c>
      <c r="X20" s="169">
        <v>1</v>
      </c>
      <c r="Y20" s="61">
        <v>0.75</v>
      </c>
      <c r="Z20" s="37">
        <v>0.42899999999999999</v>
      </c>
      <c r="AA20" s="37">
        <v>1</v>
      </c>
      <c r="AB20" s="37">
        <v>0.5</v>
      </c>
      <c r="AC20" s="37">
        <v>0.33300000000000002</v>
      </c>
      <c r="AD20" s="37">
        <v>0.5</v>
      </c>
      <c r="AE20" s="38"/>
      <c r="AF20" s="38"/>
      <c r="AG20" s="38"/>
      <c r="AH20" s="38"/>
      <c r="AI20" s="38"/>
      <c r="AJ20" s="38"/>
      <c r="AK20" s="38"/>
      <c r="AL20" s="38"/>
      <c r="AM20" s="38"/>
      <c r="AN20" s="38"/>
      <c r="AO20" s="38"/>
      <c r="AP20" s="38"/>
      <c r="AQ20" s="61"/>
      <c r="AR20" s="61"/>
      <c r="AS20" s="61"/>
      <c r="AT20" s="38"/>
      <c r="AU20" s="38"/>
      <c r="AV20" s="169"/>
      <c r="AW20" s="169"/>
    </row>
    <row r="21" spans="1:49" x14ac:dyDescent="0.2">
      <c r="A21" s="171" t="s">
        <v>375</v>
      </c>
      <c r="B21" s="37">
        <v>1</v>
      </c>
      <c r="C21" s="37">
        <v>0.66700000000000004</v>
      </c>
      <c r="D21" s="37">
        <v>0.875</v>
      </c>
      <c r="E21" s="37">
        <v>0.66700000000000004</v>
      </c>
      <c r="F21" s="37">
        <v>1</v>
      </c>
      <c r="G21" s="38">
        <v>0.75</v>
      </c>
      <c r="H21" s="38">
        <v>1</v>
      </c>
      <c r="I21" s="38">
        <v>0.875</v>
      </c>
      <c r="J21" s="38">
        <v>1</v>
      </c>
      <c r="K21" s="38">
        <v>0.5</v>
      </c>
      <c r="L21" s="38">
        <v>0</v>
      </c>
      <c r="M21" s="38">
        <v>1</v>
      </c>
      <c r="N21" s="38">
        <v>1</v>
      </c>
      <c r="O21" s="38">
        <v>1</v>
      </c>
      <c r="P21" s="38">
        <v>0.66700000000000004</v>
      </c>
      <c r="Q21" s="38">
        <v>0.75</v>
      </c>
      <c r="R21" s="38">
        <v>0.66700000000000004</v>
      </c>
      <c r="S21" s="61">
        <v>1</v>
      </c>
      <c r="T21" s="61">
        <v>1</v>
      </c>
      <c r="U21" s="61">
        <v>1</v>
      </c>
      <c r="V21" s="38">
        <v>1</v>
      </c>
      <c r="W21" s="38">
        <v>1</v>
      </c>
      <c r="X21" s="169">
        <v>1</v>
      </c>
      <c r="Y21" s="61">
        <v>1</v>
      </c>
      <c r="Z21" s="37">
        <v>0.8</v>
      </c>
      <c r="AA21" s="37">
        <v>1</v>
      </c>
      <c r="AB21" s="37">
        <v>0.92900000000000005</v>
      </c>
      <c r="AC21" s="37">
        <v>0.83299999999999996</v>
      </c>
      <c r="AD21" s="37">
        <v>0.86699999999999999</v>
      </c>
      <c r="AE21" s="38"/>
      <c r="AF21" s="38"/>
      <c r="AG21" s="38"/>
      <c r="AH21" s="38"/>
      <c r="AI21" s="38"/>
      <c r="AJ21" s="38"/>
      <c r="AK21" s="38"/>
      <c r="AL21" s="38"/>
      <c r="AM21" s="38"/>
      <c r="AN21" s="38"/>
      <c r="AO21" s="38"/>
      <c r="AP21" s="38"/>
      <c r="AQ21" s="61"/>
      <c r="AR21" s="61"/>
      <c r="AS21" s="61"/>
      <c r="AT21" s="38"/>
      <c r="AU21" s="38"/>
      <c r="AV21" s="169"/>
      <c r="AW21" s="169"/>
    </row>
    <row r="22" spans="1:49" x14ac:dyDescent="0.2">
      <c r="A22" s="171" t="s">
        <v>376</v>
      </c>
      <c r="B22" s="37">
        <v>0.93300000000000005</v>
      </c>
      <c r="C22" s="37">
        <v>0.93300000000000005</v>
      </c>
      <c r="D22" s="37">
        <v>1</v>
      </c>
      <c r="E22" s="37">
        <v>1</v>
      </c>
      <c r="F22" s="37">
        <v>1</v>
      </c>
      <c r="G22" s="38">
        <v>0.94699999999999995</v>
      </c>
      <c r="H22" s="38">
        <v>1</v>
      </c>
      <c r="I22" s="38">
        <v>1</v>
      </c>
      <c r="J22" s="38">
        <v>0.9</v>
      </c>
      <c r="K22" s="38">
        <v>1</v>
      </c>
      <c r="L22" s="38">
        <v>0.94699999999999995</v>
      </c>
      <c r="M22" s="38">
        <v>1</v>
      </c>
      <c r="N22" s="38">
        <v>1</v>
      </c>
      <c r="O22" s="38">
        <v>0.95499999999999996</v>
      </c>
      <c r="P22" s="38">
        <v>1</v>
      </c>
      <c r="Q22" s="38">
        <v>1</v>
      </c>
      <c r="R22" s="38">
        <v>1</v>
      </c>
      <c r="S22" s="61">
        <v>0.94699999999999995</v>
      </c>
      <c r="T22" s="61">
        <v>0.72727272727272729</v>
      </c>
      <c r="U22" s="61">
        <v>1</v>
      </c>
      <c r="V22" s="38">
        <v>1</v>
      </c>
      <c r="W22" s="38">
        <v>0.94736842105263153</v>
      </c>
      <c r="X22" s="169">
        <v>1</v>
      </c>
      <c r="Y22" s="61">
        <v>1</v>
      </c>
      <c r="Z22" s="37">
        <v>1</v>
      </c>
      <c r="AA22" s="37">
        <v>1</v>
      </c>
      <c r="AB22" s="37">
        <v>0.94099999999999995</v>
      </c>
      <c r="AC22" s="37">
        <v>0.88900000000000001</v>
      </c>
      <c r="AD22" s="37">
        <v>1</v>
      </c>
      <c r="AE22" s="38"/>
      <c r="AF22" s="38"/>
      <c r="AG22" s="38"/>
      <c r="AH22" s="38"/>
      <c r="AI22" s="38"/>
      <c r="AJ22" s="38"/>
      <c r="AK22" s="38"/>
      <c r="AL22" s="38"/>
      <c r="AM22" s="38"/>
      <c r="AN22" s="38"/>
      <c r="AO22" s="38"/>
      <c r="AP22" s="38"/>
      <c r="AQ22" s="61"/>
      <c r="AR22" s="61"/>
      <c r="AS22" s="61"/>
      <c r="AT22" s="38"/>
      <c r="AU22" s="38"/>
      <c r="AV22" s="169"/>
      <c r="AW22" s="169"/>
    </row>
    <row r="23" spans="1:49" x14ac:dyDescent="0.2">
      <c r="A23" s="171" t="s">
        <v>377</v>
      </c>
      <c r="B23" s="37">
        <v>1</v>
      </c>
      <c r="C23" s="37">
        <v>1</v>
      </c>
      <c r="D23" s="37">
        <v>0.71399999999999997</v>
      </c>
      <c r="E23" s="37">
        <v>1</v>
      </c>
      <c r="F23" s="37">
        <v>0.8</v>
      </c>
      <c r="G23" s="38">
        <v>0.85699999999999998</v>
      </c>
      <c r="H23" s="38">
        <v>0.85699999999999998</v>
      </c>
      <c r="I23" s="38">
        <v>1</v>
      </c>
      <c r="J23" s="38">
        <v>1</v>
      </c>
      <c r="K23" s="38">
        <v>1</v>
      </c>
      <c r="L23" s="38">
        <v>1</v>
      </c>
      <c r="M23" s="38">
        <v>0.6</v>
      </c>
      <c r="N23" s="38" t="s">
        <v>372</v>
      </c>
      <c r="O23" s="38">
        <v>0.83299999999999996</v>
      </c>
      <c r="P23" s="38">
        <v>1</v>
      </c>
      <c r="Q23" s="38">
        <v>0.8</v>
      </c>
      <c r="R23" s="38">
        <v>0.85699999999999998</v>
      </c>
      <c r="S23" s="61">
        <v>0.66700000000000004</v>
      </c>
      <c r="T23" s="61">
        <v>0.7142857142857143</v>
      </c>
      <c r="U23" s="61">
        <v>0.5</v>
      </c>
      <c r="V23" s="38">
        <v>1</v>
      </c>
      <c r="W23" s="38">
        <v>0.42857142857142855</v>
      </c>
      <c r="X23" s="169">
        <v>0.75</v>
      </c>
      <c r="Y23" s="61">
        <v>1</v>
      </c>
      <c r="Z23" s="37">
        <v>1</v>
      </c>
      <c r="AA23" s="37">
        <v>0.45500000000000002</v>
      </c>
      <c r="AB23" s="37">
        <v>1</v>
      </c>
      <c r="AC23" s="37">
        <v>1</v>
      </c>
      <c r="AD23" s="37">
        <v>1</v>
      </c>
      <c r="AE23" s="38"/>
      <c r="AF23" s="38"/>
      <c r="AG23" s="38"/>
      <c r="AH23" s="38"/>
      <c r="AI23" s="38"/>
      <c r="AJ23" s="38"/>
      <c r="AK23" s="38"/>
      <c r="AL23" s="38"/>
      <c r="AM23" s="38"/>
      <c r="AN23" s="38"/>
      <c r="AO23" s="38"/>
      <c r="AP23" s="38"/>
      <c r="AQ23" s="61"/>
      <c r="AR23" s="61"/>
      <c r="AS23" s="61"/>
      <c r="AT23" s="38"/>
      <c r="AU23" s="38"/>
      <c r="AV23" s="169"/>
      <c r="AW23" s="169"/>
    </row>
    <row r="24" spans="1:49" x14ac:dyDescent="0.2">
      <c r="A24" s="171" t="s">
        <v>378</v>
      </c>
      <c r="B24" s="37">
        <v>1</v>
      </c>
      <c r="C24" s="37">
        <v>1</v>
      </c>
      <c r="D24" s="37">
        <v>0.88900000000000001</v>
      </c>
      <c r="E24" s="37">
        <v>1</v>
      </c>
      <c r="F24" s="37">
        <v>0</v>
      </c>
      <c r="G24" s="38">
        <v>1</v>
      </c>
      <c r="H24" s="38">
        <v>1</v>
      </c>
      <c r="I24" s="38">
        <v>1</v>
      </c>
      <c r="J24" s="38">
        <v>1</v>
      </c>
      <c r="K24" s="38">
        <v>1</v>
      </c>
      <c r="L24" s="38">
        <v>0.5</v>
      </c>
      <c r="M24" s="38">
        <v>1</v>
      </c>
      <c r="N24" s="38">
        <v>0.875</v>
      </c>
      <c r="O24" s="38">
        <v>1</v>
      </c>
      <c r="P24" s="38">
        <v>1</v>
      </c>
      <c r="Q24" s="38">
        <v>1</v>
      </c>
      <c r="R24" s="38">
        <v>1</v>
      </c>
      <c r="S24" s="61">
        <v>0.8</v>
      </c>
      <c r="T24" s="61">
        <v>0.8</v>
      </c>
      <c r="U24" s="61">
        <v>0.88900000000000001</v>
      </c>
      <c r="V24" s="38">
        <v>0.71399999999999997</v>
      </c>
      <c r="W24" s="38">
        <v>1</v>
      </c>
      <c r="X24" s="169">
        <v>1</v>
      </c>
      <c r="Y24" s="61">
        <v>1</v>
      </c>
      <c r="Z24" s="37">
        <v>0.83299999999999996</v>
      </c>
      <c r="AA24" s="37">
        <v>1</v>
      </c>
      <c r="AB24" s="37">
        <v>0.77800000000000002</v>
      </c>
      <c r="AC24" s="37">
        <v>1</v>
      </c>
      <c r="AD24" s="37">
        <v>0.5</v>
      </c>
      <c r="AE24" s="38"/>
      <c r="AF24" s="38"/>
      <c r="AG24" s="38"/>
      <c r="AH24" s="38"/>
      <c r="AI24" s="38"/>
      <c r="AJ24" s="38"/>
      <c r="AK24" s="38"/>
      <c r="AL24" s="38"/>
      <c r="AM24" s="38"/>
      <c r="AN24" s="38"/>
      <c r="AO24" s="38"/>
      <c r="AP24" s="38"/>
      <c r="AQ24" s="61"/>
      <c r="AR24" s="61"/>
      <c r="AS24" s="61"/>
      <c r="AT24" s="38"/>
      <c r="AU24" s="38"/>
      <c r="AV24" s="169"/>
      <c r="AW24" s="169"/>
    </row>
    <row r="25" spans="1:49" x14ac:dyDescent="0.2">
      <c r="A25" s="171" t="s">
        <v>379</v>
      </c>
      <c r="B25" s="37">
        <v>1</v>
      </c>
      <c r="C25" s="37">
        <v>1</v>
      </c>
      <c r="D25" s="37">
        <v>1</v>
      </c>
      <c r="E25" s="37">
        <v>1</v>
      </c>
      <c r="F25" s="37">
        <v>1</v>
      </c>
      <c r="G25" s="38">
        <v>0.5</v>
      </c>
      <c r="H25" s="38">
        <v>1</v>
      </c>
      <c r="I25" s="38">
        <v>1</v>
      </c>
      <c r="J25" s="38">
        <v>1</v>
      </c>
      <c r="K25" s="38">
        <v>1</v>
      </c>
      <c r="L25" s="38">
        <v>1</v>
      </c>
      <c r="M25" s="38">
        <v>1</v>
      </c>
      <c r="N25" s="38">
        <v>1</v>
      </c>
      <c r="O25" s="38">
        <v>1</v>
      </c>
      <c r="P25" s="38">
        <v>1</v>
      </c>
      <c r="Q25" s="38">
        <v>1</v>
      </c>
      <c r="R25" s="38">
        <v>1</v>
      </c>
      <c r="S25" s="61">
        <v>1</v>
      </c>
      <c r="T25" s="61">
        <v>1</v>
      </c>
      <c r="U25" s="38" t="s">
        <v>372</v>
      </c>
      <c r="V25" s="38">
        <v>1</v>
      </c>
      <c r="W25" s="38">
        <v>0.33333333333333331</v>
      </c>
      <c r="X25" s="169">
        <v>1</v>
      </c>
      <c r="Y25" s="61">
        <v>0</v>
      </c>
      <c r="Z25" s="37">
        <v>1</v>
      </c>
      <c r="AA25" s="169">
        <v>0</v>
      </c>
      <c r="AB25" s="169" t="s">
        <v>372</v>
      </c>
      <c r="AC25" s="37">
        <v>1</v>
      </c>
      <c r="AD25" s="37">
        <v>1</v>
      </c>
      <c r="AE25" s="38"/>
      <c r="AF25" s="38"/>
      <c r="AG25" s="38"/>
      <c r="AH25" s="38"/>
      <c r="AI25" s="38"/>
      <c r="AJ25" s="38"/>
      <c r="AK25" s="38"/>
      <c r="AL25" s="38"/>
      <c r="AM25" s="38"/>
      <c r="AN25" s="38"/>
      <c r="AO25" s="38"/>
      <c r="AP25" s="38"/>
      <c r="AQ25" s="61"/>
      <c r="AR25" s="61"/>
      <c r="AS25" s="38"/>
      <c r="AT25" s="38"/>
      <c r="AU25" s="38"/>
      <c r="AV25" s="169"/>
      <c r="AW25" s="169"/>
    </row>
    <row r="26" spans="1:49" x14ac:dyDescent="0.2">
      <c r="A26" s="171" t="s">
        <v>380</v>
      </c>
      <c r="B26" s="37">
        <v>1</v>
      </c>
      <c r="C26" s="37">
        <v>0.83299999999999996</v>
      </c>
      <c r="D26" s="37">
        <v>0.875</v>
      </c>
      <c r="E26" s="37">
        <v>0.92900000000000005</v>
      </c>
      <c r="F26" s="37">
        <v>1</v>
      </c>
      <c r="G26" s="38">
        <v>0.86699999999999999</v>
      </c>
      <c r="H26" s="38">
        <v>0.9</v>
      </c>
      <c r="I26" s="38">
        <v>0.83299999999999996</v>
      </c>
      <c r="J26" s="38">
        <v>0.84599999999999997</v>
      </c>
      <c r="K26" s="38">
        <v>1</v>
      </c>
      <c r="L26" s="38">
        <v>0.90900000000000003</v>
      </c>
      <c r="M26" s="38">
        <v>1</v>
      </c>
      <c r="N26" s="38">
        <v>0.875</v>
      </c>
      <c r="O26" s="38">
        <v>1</v>
      </c>
      <c r="P26" s="38">
        <v>1</v>
      </c>
      <c r="Q26" s="38">
        <v>1</v>
      </c>
      <c r="R26" s="38">
        <v>1</v>
      </c>
      <c r="S26" s="61">
        <v>0.88900000000000001</v>
      </c>
      <c r="T26" s="61">
        <v>0.6</v>
      </c>
      <c r="U26" s="61">
        <v>0.83299999999999996</v>
      </c>
      <c r="V26" s="38">
        <v>0.44400000000000001</v>
      </c>
      <c r="W26" s="38">
        <v>0.875</v>
      </c>
      <c r="X26" s="169">
        <v>0.92300000000000004</v>
      </c>
      <c r="Y26" s="61">
        <v>1</v>
      </c>
      <c r="Z26" s="37">
        <v>0.77800000000000002</v>
      </c>
      <c r="AA26" s="37">
        <v>1</v>
      </c>
      <c r="AB26" s="37">
        <v>1</v>
      </c>
      <c r="AC26" s="37">
        <v>1</v>
      </c>
      <c r="AD26" s="37">
        <v>0.90900000000000003</v>
      </c>
      <c r="AE26" s="38"/>
      <c r="AF26" s="38"/>
      <c r="AG26" s="38"/>
      <c r="AH26" s="38"/>
      <c r="AI26" s="38"/>
      <c r="AJ26" s="38"/>
      <c r="AK26" s="38"/>
      <c r="AL26" s="38"/>
      <c r="AM26" s="38"/>
      <c r="AN26" s="38"/>
      <c r="AO26" s="38"/>
      <c r="AP26" s="38"/>
      <c r="AQ26" s="61"/>
      <c r="AR26" s="61"/>
      <c r="AS26" s="61"/>
      <c r="AT26" s="38"/>
      <c r="AU26" s="38"/>
      <c r="AV26" s="169"/>
      <c r="AW26" s="169"/>
    </row>
    <row r="27" spans="1:49" x14ac:dyDescent="0.2">
      <c r="A27" s="171" t="s">
        <v>381</v>
      </c>
      <c r="B27" s="37">
        <v>0.85699999999999998</v>
      </c>
      <c r="C27" s="37">
        <v>0.79300000000000004</v>
      </c>
      <c r="D27" s="37">
        <v>0.92</v>
      </c>
      <c r="E27" s="37">
        <v>0.73699999999999999</v>
      </c>
      <c r="F27" s="37">
        <v>0.85199999999999998</v>
      </c>
      <c r="G27" s="38">
        <v>0.8</v>
      </c>
      <c r="H27" s="38">
        <v>0.88600000000000001</v>
      </c>
      <c r="I27" s="38">
        <v>0.82399999999999995</v>
      </c>
      <c r="J27" s="38">
        <v>0.78300000000000003</v>
      </c>
      <c r="K27" s="38">
        <v>0.89500000000000002</v>
      </c>
      <c r="L27" s="38">
        <v>0.77800000000000002</v>
      </c>
      <c r="M27" s="38">
        <v>0.78800000000000003</v>
      </c>
      <c r="N27" s="38">
        <v>0.78900000000000003</v>
      </c>
      <c r="O27" s="38">
        <v>0.75900000000000001</v>
      </c>
      <c r="P27" s="38">
        <v>0.96199999999999997</v>
      </c>
      <c r="Q27" s="38">
        <v>0.79200000000000004</v>
      </c>
      <c r="R27" s="38">
        <v>0.64</v>
      </c>
      <c r="S27" s="61">
        <v>0.59299999999999997</v>
      </c>
      <c r="T27" s="61">
        <v>0.59</v>
      </c>
      <c r="U27" s="61">
        <v>0.56699999999999995</v>
      </c>
      <c r="V27" s="38">
        <v>0.66700000000000004</v>
      </c>
      <c r="W27" s="38">
        <v>0.69599999999999995</v>
      </c>
      <c r="X27" s="169">
        <v>0.63200000000000001</v>
      </c>
      <c r="Y27" s="61">
        <v>0.83783783783783783</v>
      </c>
      <c r="Z27" s="37">
        <v>0.64</v>
      </c>
      <c r="AA27" s="37">
        <v>0.71794871794871795</v>
      </c>
      <c r="AB27" s="37">
        <v>0.66700000000000004</v>
      </c>
      <c r="AC27" s="37">
        <v>0.77800000000000002</v>
      </c>
      <c r="AD27" s="37">
        <v>0.58099999999999996</v>
      </c>
      <c r="AE27" s="38"/>
      <c r="AF27" s="38"/>
      <c r="AG27" s="38"/>
      <c r="AH27" s="38"/>
      <c r="AI27" s="38"/>
      <c r="AJ27" s="38"/>
      <c r="AK27" s="38"/>
      <c r="AL27" s="38"/>
      <c r="AM27" s="38"/>
      <c r="AN27" s="38"/>
      <c r="AO27" s="38"/>
      <c r="AP27" s="38"/>
      <c r="AQ27" s="61"/>
      <c r="AR27" s="61"/>
      <c r="AS27" s="61"/>
      <c r="AT27" s="38"/>
      <c r="AU27" s="38"/>
      <c r="AV27" s="169"/>
      <c r="AW27" s="169"/>
    </row>
    <row r="28" spans="1:49" x14ac:dyDescent="0.2">
      <c r="A28" s="182" t="s">
        <v>15</v>
      </c>
      <c r="B28" s="183">
        <v>0.95</v>
      </c>
      <c r="C28" s="183">
        <v>0.95</v>
      </c>
      <c r="D28" s="183">
        <v>0.95</v>
      </c>
      <c r="E28" s="183">
        <v>0.95</v>
      </c>
      <c r="F28" s="183">
        <v>0.95</v>
      </c>
      <c r="G28" s="183">
        <v>0.95</v>
      </c>
      <c r="H28" s="183">
        <v>0.95</v>
      </c>
      <c r="I28" s="183">
        <v>0.95</v>
      </c>
      <c r="J28" s="183">
        <v>0.95</v>
      </c>
      <c r="K28" s="183">
        <v>0.95</v>
      </c>
      <c r="L28" s="183">
        <v>0.95</v>
      </c>
      <c r="M28" s="183">
        <v>0.95</v>
      </c>
      <c r="N28" s="183">
        <v>0.95</v>
      </c>
      <c r="O28" s="183">
        <v>0.95</v>
      </c>
      <c r="P28" s="183">
        <v>0.95</v>
      </c>
      <c r="Q28" s="183">
        <v>0.95</v>
      </c>
      <c r="R28" s="183">
        <v>0.95</v>
      </c>
      <c r="S28" s="183">
        <v>0.95</v>
      </c>
      <c r="T28" s="183">
        <v>0.95</v>
      </c>
      <c r="U28" s="183">
        <v>0.95</v>
      </c>
      <c r="V28" s="183">
        <v>0.95</v>
      </c>
      <c r="W28" s="183">
        <v>0.95</v>
      </c>
      <c r="X28" s="183">
        <v>0.95</v>
      </c>
      <c r="Y28" s="183">
        <v>0.95</v>
      </c>
      <c r="Z28" s="183">
        <v>0.95</v>
      </c>
      <c r="AA28" s="183">
        <v>0.95</v>
      </c>
      <c r="AB28" s="183">
        <v>0.95</v>
      </c>
      <c r="AC28" s="183">
        <v>0.95</v>
      </c>
      <c r="AD28" s="183">
        <v>0.95</v>
      </c>
      <c r="AE28" s="183">
        <v>0.95</v>
      </c>
      <c r="AF28" s="183">
        <v>0.95</v>
      </c>
      <c r="AG28" s="183">
        <v>0.95</v>
      </c>
      <c r="AH28" s="183">
        <v>0.95</v>
      </c>
      <c r="AI28" s="183">
        <v>0.95</v>
      </c>
      <c r="AJ28" s="183">
        <v>0.95</v>
      </c>
      <c r="AK28" s="183">
        <v>0.95</v>
      </c>
      <c r="AL28" s="183">
        <v>0.95</v>
      </c>
      <c r="AM28" s="183">
        <v>0.95</v>
      </c>
      <c r="AN28" s="183">
        <v>0.95</v>
      </c>
      <c r="AO28" s="183">
        <v>0.95</v>
      </c>
      <c r="AP28" s="183">
        <v>0.95</v>
      </c>
      <c r="AQ28" s="183">
        <v>0.95</v>
      </c>
      <c r="AR28" s="183">
        <v>0.95</v>
      </c>
      <c r="AS28" s="183">
        <v>0.95</v>
      </c>
      <c r="AT28" s="183">
        <v>0.95</v>
      </c>
      <c r="AU28" s="183">
        <v>0.95</v>
      </c>
      <c r="AV28" s="183">
        <v>0.95</v>
      </c>
      <c r="AW28" s="183">
        <v>0.95</v>
      </c>
    </row>
    <row r="29" spans="1:49" x14ac:dyDescent="0.2">
      <c r="O29" s="165"/>
    </row>
    <row r="30" spans="1:49" x14ac:dyDescent="0.2">
      <c r="N30" s="590"/>
      <c r="AC30" s="590"/>
    </row>
    <row r="31" spans="1:49" x14ac:dyDescent="0.2">
      <c r="A31" s="137" t="s">
        <v>599</v>
      </c>
      <c r="N31" s="669"/>
      <c r="AC31" s="669"/>
    </row>
    <row r="56" spans="1:14" ht="14.25" x14ac:dyDescent="0.2">
      <c r="A56" s="485" t="s">
        <v>725</v>
      </c>
      <c r="N56" s="485" t="s">
        <v>726</v>
      </c>
    </row>
    <row r="80" spans="14:25" x14ac:dyDescent="0.2">
      <c r="N80" s="978" t="s">
        <v>724</v>
      </c>
      <c r="O80" s="978"/>
      <c r="P80" s="978"/>
      <c r="Q80" s="978"/>
      <c r="R80" s="978"/>
      <c r="S80" s="978"/>
      <c r="T80" s="978"/>
      <c r="U80" s="978"/>
      <c r="V80" s="978"/>
      <c r="W80" s="978"/>
      <c r="X80" s="978"/>
      <c r="Y80" s="978"/>
    </row>
    <row r="81" spans="1:25" x14ac:dyDescent="0.2">
      <c r="A81" s="653" t="s">
        <v>727</v>
      </c>
      <c r="N81" s="978"/>
      <c r="O81" s="978"/>
      <c r="P81" s="978"/>
      <c r="Q81" s="978"/>
      <c r="R81" s="978"/>
      <c r="S81" s="978"/>
      <c r="T81" s="978"/>
      <c r="U81" s="978"/>
      <c r="V81" s="978"/>
      <c r="W81" s="978"/>
      <c r="X81" s="978"/>
      <c r="Y81" s="978"/>
    </row>
    <row r="106" spans="1:49" s="672" customFormat="1" x14ac:dyDescent="0.2">
      <c r="A106" s="671" t="s">
        <v>39</v>
      </c>
    </row>
    <row r="107" spans="1:49" s="672" customFormat="1" x14ac:dyDescent="0.2">
      <c r="A107" s="672" t="s">
        <v>131</v>
      </c>
      <c r="B107" s="673">
        <f>MEDIAN($B$14:$G$14)</f>
        <v>0.9335</v>
      </c>
      <c r="C107" s="673">
        <f t="shared" ref="C107:R108" si="0">MEDIAN($B$14:$G$14)</f>
        <v>0.9335</v>
      </c>
      <c r="D107" s="673">
        <f t="shared" si="0"/>
        <v>0.9335</v>
      </c>
      <c r="E107" s="673">
        <f t="shared" si="0"/>
        <v>0.9335</v>
      </c>
      <c r="F107" s="673">
        <f t="shared" si="0"/>
        <v>0.9335</v>
      </c>
      <c r="G107" s="673">
        <f>MEDIAN($B$14:$G$14)</f>
        <v>0.9335</v>
      </c>
      <c r="H107" s="673"/>
      <c r="I107" s="673"/>
      <c r="J107" s="673"/>
      <c r="K107" s="673"/>
      <c r="L107" s="673"/>
      <c r="M107" s="673"/>
      <c r="N107" s="673"/>
      <c r="O107" s="673"/>
      <c r="P107" s="673"/>
      <c r="Q107" s="673"/>
      <c r="R107" s="673"/>
      <c r="S107" s="673"/>
      <c r="T107" s="673"/>
      <c r="U107" s="673"/>
      <c r="V107" s="673"/>
      <c r="W107" s="673"/>
      <c r="X107" s="673"/>
      <c r="Y107" s="673"/>
      <c r="Z107" s="673"/>
      <c r="AA107" s="673"/>
      <c r="AB107" s="673"/>
      <c r="AC107" s="673"/>
      <c r="AD107" s="673"/>
      <c r="AE107" s="673"/>
      <c r="AF107" s="673"/>
      <c r="AG107" s="673"/>
      <c r="AH107" s="673"/>
      <c r="AI107" s="673"/>
      <c r="AJ107" s="673"/>
      <c r="AK107" s="673"/>
      <c r="AL107" s="673"/>
      <c r="AM107" s="673"/>
      <c r="AN107" s="673"/>
      <c r="AO107" s="673"/>
      <c r="AP107" s="673"/>
      <c r="AQ107" s="673"/>
      <c r="AR107" s="673"/>
      <c r="AS107" s="673"/>
      <c r="AT107" s="673"/>
      <c r="AU107" s="673"/>
      <c r="AV107" s="673"/>
      <c r="AW107" s="673"/>
    </row>
    <row r="108" spans="1:49" s="672" customFormat="1" x14ac:dyDescent="0.2">
      <c r="A108" s="672" t="s">
        <v>184</v>
      </c>
      <c r="B108" s="673"/>
      <c r="C108" s="673"/>
      <c r="D108" s="673"/>
      <c r="E108" s="673"/>
      <c r="F108" s="673"/>
      <c r="G108" s="673">
        <f t="shared" si="0"/>
        <v>0.9335</v>
      </c>
      <c r="H108" s="673">
        <f t="shared" si="0"/>
        <v>0.9335</v>
      </c>
      <c r="I108" s="673">
        <f t="shared" si="0"/>
        <v>0.9335</v>
      </c>
      <c r="J108" s="673">
        <f t="shared" si="0"/>
        <v>0.9335</v>
      </c>
      <c r="K108" s="673">
        <f t="shared" si="0"/>
        <v>0.9335</v>
      </c>
      <c r="L108" s="673">
        <f t="shared" si="0"/>
        <v>0.9335</v>
      </c>
      <c r="M108" s="673">
        <f t="shared" si="0"/>
        <v>0.9335</v>
      </c>
      <c r="N108" s="673">
        <f t="shared" si="0"/>
        <v>0.9335</v>
      </c>
      <c r="O108" s="673">
        <f t="shared" si="0"/>
        <v>0.9335</v>
      </c>
      <c r="P108" s="673">
        <f t="shared" si="0"/>
        <v>0.9335</v>
      </c>
      <c r="Q108" s="673">
        <f t="shared" si="0"/>
        <v>0.9335</v>
      </c>
      <c r="R108" s="673">
        <f t="shared" si="0"/>
        <v>0.9335</v>
      </c>
      <c r="S108" s="673">
        <f t="shared" ref="S108:AW108" si="1">MEDIAN($B$14:$G$14)</f>
        <v>0.9335</v>
      </c>
      <c r="T108" s="673">
        <f t="shared" si="1"/>
        <v>0.9335</v>
      </c>
      <c r="U108" s="673">
        <f t="shared" si="1"/>
        <v>0.9335</v>
      </c>
      <c r="V108" s="673">
        <f t="shared" si="1"/>
        <v>0.9335</v>
      </c>
      <c r="W108" s="673">
        <f t="shared" si="1"/>
        <v>0.9335</v>
      </c>
      <c r="X108" s="673">
        <f t="shared" si="1"/>
        <v>0.9335</v>
      </c>
      <c r="Y108" s="673">
        <f t="shared" si="1"/>
        <v>0.9335</v>
      </c>
      <c r="Z108" s="673">
        <f t="shared" si="1"/>
        <v>0.9335</v>
      </c>
      <c r="AA108" s="673">
        <f t="shared" si="1"/>
        <v>0.9335</v>
      </c>
      <c r="AB108" s="673">
        <f t="shared" si="1"/>
        <v>0.9335</v>
      </c>
      <c r="AC108" s="673">
        <f t="shared" si="1"/>
        <v>0.9335</v>
      </c>
      <c r="AD108" s="673">
        <f t="shared" si="1"/>
        <v>0.9335</v>
      </c>
      <c r="AE108" s="673">
        <f t="shared" si="1"/>
        <v>0.9335</v>
      </c>
      <c r="AF108" s="673">
        <f t="shared" si="1"/>
        <v>0.9335</v>
      </c>
      <c r="AG108" s="673">
        <f t="shared" si="1"/>
        <v>0.9335</v>
      </c>
      <c r="AH108" s="673">
        <f t="shared" si="1"/>
        <v>0.9335</v>
      </c>
      <c r="AI108" s="673">
        <f t="shared" si="1"/>
        <v>0.9335</v>
      </c>
      <c r="AJ108" s="673">
        <f t="shared" si="1"/>
        <v>0.9335</v>
      </c>
      <c r="AK108" s="673">
        <f t="shared" si="1"/>
        <v>0.9335</v>
      </c>
      <c r="AL108" s="673">
        <f t="shared" si="1"/>
        <v>0.9335</v>
      </c>
      <c r="AM108" s="673">
        <f t="shared" si="1"/>
        <v>0.9335</v>
      </c>
      <c r="AN108" s="673">
        <f t="shared" si="1"/>
        <v>0.9335</v>
      </c>
      <c r="AO108" s="673">
        <f t="shared" si="1"/>
        <v>0.9335</v>
      </c>
      <c r="AP108" s="673">
        <f t="shared" si="1"/>
        <v>0.9335</v>
      </c>
      <c r="AQ108" s="673">
        <f t="shared" si="1"/>
        <v>0.9335</v>
      </c>
      <c r="AR108" s="673">
        <f t="shared" si="1"/>
        <v>0.9335</v>
      </c>
      <c r="AS108" s="673">
        <f t="shared" si="1"/>
        <v>0.9335</v>
      </c>
      <c r="AT108" s="673">
        <f t="shared" si="1"/>
        <v>0.9335</v>
      </c>
      <c r="AU108" s="673">
        <f t="shared" si="1"/>
        <v>0.9335</v>
      </c>
      <c r="AV108" s="673">
        <f t="shared" si="1"/>
        <v>0.9335</v>
      </c>
      <c r="AW108" s="673">
        <f t="shared" si="1"/>
        <v>0.9335</v>
      </c>
    </row>
    <row r="109" spans="1:49" s="672" customFormat="1" x14ac:dyDescent="0.2">
      <c r="A109" s="672" t="s">
        <v>318</v>
      </c>
      <c r="B109" s="673"/>
      <c r="C109" s="673"/>
      <c r="D109" s="673"/>
      <c r="E109" s="673"/>
      <c r="F109" s="673"/>
      <c r="G109" s="673"/>
      <c r="H109" s="673"/>
      <c r="I109" s="673"/>
      <c r="J109" s="673"/>
      <c r="K109" s="673"/>
      <c r="L109" s="673"/>
      <c r="M109" s="673"/>
      <c r="N109" s="673"/>
      <c r="O109" s="673"/>
      <c r="P109" s="673"/>
      <c r="Q109" s="673"/>
      <c r="R109" s="673"/>
      <c r="S109" s="673"/>
      <c r="T109" s="673"/>
      <c r="U109" s="673"/>
      <c r="V109" s="673"/>
      <c r="W109" s="673"/>
      <c r="X109" s="673"/>
      <c r="Y109" s="673"/>
      <c r="Z109" s="673"/>
      <c r="AA109" s="673"/>
      <c r="AB109" s="673"/>
      <c r="AC109" s="673"/>
      <c r="AD109" s="673"/>
      <c r="AE109" s="673"/>
      <c r="AF109" s="673"/>
      <c r="AG109" s="673"/>
      <c r="AH109" s="673"/>
      <c r="AI109" s="673"/>
      <c r="AJ109" s="673"/>
      <c r="AK109" s="673"/>
      <c r="AL109" s="673"/>
      <c r="AM109" s="673"/>
      <c r="AN109" s="673"/>
      <c r="AO109" s="673"/>
      <c r="AP109" s="673"/>
      <c r="AQ109" s="673"/>
      <c r="AR109" s="673"/>
      <c r="AS109" s="673"/>
      <c r="AT109" s="673"/>
      <c r="AU109" s="673"/>
      <c r="AV109" s="673"/>
      <c r="AW109" s="673"/>
    </row>
    <row r="110" spans="1:49" s="672" customFormat="1" x14ac:dyDescent="0.2">
      <c r="A110" s="672" t="s">
        <v>319</v>
      </c>
      <c r="B110" s="673"/>
      <c r="C110" s="673"/>
      <c r="D110" s="673"/>
      <c r="E110" s="673"/>
      <c r="F110" s="673"/>
      <c r="G110" s="673"/>
      <c r="H110" s="673"/>
      <c r="I110" s="673"/>
      <c r="J110" s="673"/>
      <c r="K110" s="673"/>
      <c r="L110" s="673"/>
      <c r="M110" s="673"/>
      <c r="N110" s="673"/>
      <c r="O110" s="673"/>
      <c r="P110" s="673"/>
      <c r="Q110" s="673"/>
      <c r="R110" s="673"/>
      <c r="S110" s="673"/>
      <c r="T110" s="673"/>
      <c r="U110" s="673"/>
      <c r="V110" s="673"/>
      <c r="W110" s="673"/>
      <c r="X110" s="673"/>
      <c r="Y110" s="673"/>
      <c r="Z110" s="673"/>
      <c r="AA110" s="673"/>
      <c r="AB110" s="673"/>
      <c r="AC110" s="673"/>
      <c r="AD110" s="673"/>
      <c r="AE110" s="673"/>
      <c r="AF110" s="673"/>
      <c r="AG110" s="673"/>
      <c r="AH110" s="673"/>
      <c r="AI110" s="673"/>
      <c r="AJ110" s="673"/>
      <c r="AK110" s="673"/>
      <c r="AL110" s="673"/>
      <c r="AM110" s="673"/>
      <c r="AN110" s="673"/>
      <c r="AO110" s="673"/>
      <c r="AP110" s="673"/>
      <c r="AQ110" s="673"/>
      <c r="AR110" s="673"/>
      <c r="AS110" s="673"/>
      <c r="AT110" s="673"/>
      <c r="AU110" s="673"/>
      <c r="AV110" s="673"/>
      <c r="AW110" s="673"/>
    </row>
    <row r="111" spans="1:49" s="672" customFormat="1" x14ac:dyDescent="0.2"/>
    <row r="112" spans="1:49" s="672" customFormat="1" x14ac:dyDescent="0.2"/>
    <row r="113" spans="1:49" s="672" customFormat="1" x14ac:dyDescent="0.2"/>
    <row r="114" spans="1:49" s="672" customFormat="1" x14ac:dyDescent="0.2">
      <c r="A114" s="671" t="s">
        <v>41</v>
      </c>
    </row>
    <row r="115" spans="1:49" s="672" customFormat="1" x14ac:dyDescent="0.2">
      <c r="A115" s="672" t="s">
        <v>131</v>
      </c>
      <c r="B115" s="673">
        <f>MEDIAN($B$27:$G$27)</f>
        <v>0.82600000000000007</v>
      </c>
      <c r="C115" s="673">
        <f t="shared" ref="C115:R116" si="2">MEDIAN($B$27:$G$27)</f>
        <v>0.82600000000000007</v>
      </c>
      <c r="D115" s="673">
        <f t="shared" si="2"/>
        <v>0.82600000000000007</v>
      </c>
      <c r="E115" s="673">
        <f t="shared" si="2"/>
        <v>0.82600000000000007</v>
      </c>
      <c r="F115" s="673">
        <f t="shared" si="2"/>
        <v>0.82600000000000007</v>
      </c>
      <c r="G115" s="673">
        <f>MEDIAN($B$27:$G$27)</f>
        <v>0.82600000000000007</v>
      </c>
      <c r="H115" s="673"/>
      <c r="I115" s="673"/>
      <c r="J115" s="673"/>
      <c r="K115" s="673"/>
      <c r="L115" s="673"/>
      <c r="M115" s="673"/>
      <c r="N115" s="673"/>
      <c r="O115" s="673"/>
      <c r="P115" s="673"/>
      <c r="Q115" s="673"/>
      <c r="R115" s="673"/>
      <c r="S115" s="673"/>
      <c r="T115" s="673"/>
      <c r="U115" s="673"/>
      <c r="V115" s="673"/>
      <c r="W115" s="673"/>
      <c r="X115" s="673"/>
      <c r="Y115" s="673"/>
      <c r="Z115" s="673"/>
      <c r="AA115" s="673"/>
      <c r="AB115" s="673"/>
      <c r="AC115" s="673"/>
      <c r="AD115" s="673"/>
      <c r="AE115" s="673"/>
      <c r="AF115" s="673"/>
      <c r="AG115" s="673"/>
      <c r="AH115" s="673"/>
      <c r="AI115" s="673"/>
      <c r="AJ115" s="673"/>
      <c r="AK115" s="673"/>
      <c r="AL115" s="673"/>
      <c r="AM115" s="673"/>
      <c r="AN115" s="673"/>
      <c r="AO115" s="673"/>
      <c r="AP115" s="673"/>
      <c r="AQ115" s="673"/>
      <c r="AR115" s="673"/>
      <c r="AS115" s="673"/>
      <c r="AT115" s="673"/>
      <c r="AU115" s="673"/>
      <c r="AV115" s="673"/>
      <c r="AW115" s="673"/>
    </row>
    <row r="116" spans="1:49" s="672" customFormat="1" x14ac:dyDescent="0.2">
      <c r="A116" s="672" t="s">
        <v>184</v>
      </c>
      <c r="B116" s="673"/>
      <c r="C116" s="673"/>
      <c r="D116" s="673"/>
      <c r="E116" s="673"/>
      <c r="F116" s="673"/>
      <c r="G116" s="673">
        <f t="shared" si="2"/>
        <v>0.82600000000000007</v>
      </c>
      <c r="H116" s="673">
        <f t="shared" si="2"/>
        <v>0.82600000000000007</v>
      </c>
      <c r="I116" s="673">
        <f t="shared" si="2"/>
        <v>0.82600000000000007</v>
      </c>
      <c r="J116" s="673">
        <f t="shared" si="2"/>
        <v>0.82600000000000007</v>
      </c>
      <c r="K116" s="673">
        <f t="shared" si="2"/>
        <v>0.82600000000000007</v>
      </c>
      <c r="L116" s="673">
        <f t="shared" si="2"/>
        <v>0.82600000000000007</v>
      </c>
      <c r="M116" s="673">
        <f t="shared" si="2"/>
        <v>0.82600000000000007</v>
      </c>
      <c r="N116" s="673">
        <f t="shared" si="2"/>
        <v>0.82600000000000007</v>
      </c>
      <c r="O116" s="673">
        <f t="shared" si="2"/>
        <v>0.82600000000000007</v>
      </c>
      <c r="P116" s="673">
        <f t="shared" si="2"/>
        <v>0.82600000000000007</v>
      </c>
      <c r="Q116" s="673">
        <f t="shared" si="2"/>
        <v>0.82600000000000007</v>
      </c>
      <c r="R116" s="673">
        <f t="shared" si="2"/>
        <v>0.82600000000000007</v>
      </c>
      <c r="S116" s="673">
        <f t="shared" ref="S116:AW116" si="3">MEDIAN($B$27:$G$27)</f>
        <v>0.82600000000000007</v>
      </c>
      <c r="T116" s="673">
        <f t="shared" si="3"/>
        <v>0.82600000000000007</v>
      </c>
      <c r="U116" s="673">
        <f t="shared" si="3"/>
        <v>0.82600000000000007</v>
      </c>
      <c r="V116" s="673">
        <f t="shared" si="3"/>
        <v>0.82600000000000007</v>
      </c>
      <c r="W116" s="673">
        <f t="shared" si="3"/>
        <v>0.82600000000000007</v>
      </c>
      <c r="X116" s="673">
        <f t="shared" si="3"/>
        <v>0.82600000000000007</v>
      </c>
      <c r="Y116" s="673">
        <f t="shared" si="3"/>
        <v>0.82600000000000007</v>
      </c>
      <c r="Z116" s="673">
        <f t="shared" si="3"/>
        <v>0.82600000000000007</v>
      </c>
      <c r="AA116" s="673">
        <f t="shared" si="3"/>
        <v>0.82600000000000007</v>
      </c>
      <c r="AB116" s="673">
        <f t="shared" si="3"/>
        <v>0.82600000000000007</v>
      </c>
      <c r="AC116" s="673">
        <f t="shared" si="3"/>
        <v>0.82600000000000007</v>
      </c>
      <c r="AD116" s="673">
        <f t="shared" si="3"/>
        <v>0.82600000000000007</v>
      </c>
      <c r="AE116" s="673">
        <f t="shared" si="3"/>
        <v>0.82600000000000007</v>
      </c>
      <c r="AF116" s="673">
        <f t="shared" si="3"/>
        <v>0.82600000000000007</v>
      </c>
      <c r="AG116" s="673">
        <f t="shared" si="3"/>
        <v>0.82600000000000007</v>
      </c>
      <c r="AH116" s="673">
        <f t="shared" si="3"/>
        <v>0.82600000000000007</v>
      </c>
      <c r="AI116" s="673">
        <f t="shared" si="3"/>
        <v>0.82600000000000007</v>
      </c>
      <c r="AJ116" s="673">
        <f t="shared" si="3"/>
        <v>0.82600000000000007</v>
      </c>
      <c r="AK116" s="673">
        <f t="shared" si="3"/>
        <v>0.82600000000000007</v>
      </c>
      <c r="AL116" s="673">
        <f t="shared" si="3"/>
        <v>0.82600000000000007</v>
      </c>
      <c r="AM116" s="673">
        <f t="shared" si="3"/>
        <v>0.82600000000000007</v>
      </c>
      <c r="AN116" s="673">
        <f t="shared" si="3"/>
        <v>0.82600000000000007</v>
      </c>
      <c r="AO116" s="673">
        <f t="shared" si="3"/>
        <v>0.82600000000000007</v>
      </c>
      <c r="AP116" s="673">
        <f t="shared" si="3"/>
        <v>0.82600000000000007</v>
      </c>
      <c r="AQ116" s="673">
        <f t="shared" si="3"/>
        <v>0.82600000000000007</v>
      </c>
      <c r="AR116" s="673">
        <f t="shared" si="3"/>
        <v>0.82600000000000007</v>
      </c>
      <c r="AS116" s="673">
        <f t="shared" si="3"/>
        <v>0.82600000000000007</v>
      </c>
      <c r="AT116" s="673">
        <f t="shared" si="3"/>
        <v>0.82600000000000007</v>
      </c>
      <c r="AU116" s="673">
        <f t="shared" si="3"/>
        <v>0.82600000000000007</v>
      </c>
      <c r="AV116" s="673">
        <f t="shared" si="3"/>
        <v>0.82600000000000007</v>
      </c>
      <c r="AW116" s="673">
        <f t="shared" si="3"/>
        <v>0.82600000000000007</v>
      </c>
    </row>
    <row r="117" spans="1:49" s="672" customFormat="1" x14ac:dyDescent="0.2">
      <c r="A117" s="672" t="s">
        <v>318</v>
      </c>
      <c r="B117" s="673"/>
      <c r="C117" s="673"/>
      <c r="D117" s="673"/>
      <c r="E117" s="673"/>
      <c r="F117" s="673"/>
      <c r="G117" s="673"/>
      <c r="H117" s="673"/>
      <c r="I117" s="673"/>
      <c r="J117" s="673"/>
      <c r="K117" s="673"/>
      <c r="L117" s="673"/>
      <c r="M117" s="673"/>
      <c r="N117" s="673"/>
      <c r="O117" s="673"/>
      <c r="P117" s="673"/>
      <c r="Q117" s="673"/>
      <c r="R117" s="673"/>
      <c r="S117" s="673"/>
      <c r="T117" s="673"/>
      <c r="U117" s="673"/>
      <c r="V117" s="673"/>
      <c r="W117" s="673"/>
      <c r="X117" s="673"/>
      <c r="Y117" s="673"/>
      <c r="Z117" s="673"/>
      <c r="AA117" s="673"/>
      <c r="AB117" s="673"/>
      <c r="AC117" s="673"/>
      <c r="AD117" s="673"/>
      <c r="AE117" s="673"/>
      <c r="AF117" s="673"/>
      <c r="AG117" s="673"/>
      <c r="AH117" s="673"/>
      <c r="AI117" s="673"/>
      <c r="AJ117" s="673"/>
      <c r="AK117" s="673"/>
      <c r="AL117" s="673"/>
      <c r="AM117" s="673"/>
      <c r="AN117" s="673"/>
      <c r="AO117" s="673"/>
      <c r="AP117" s="673"/>
      <c r="AQ117" s="673"/>
      <c r="AR117" s="673"/>
      <c r="AS117" s="673"/>
      <c r="AT117" s="673"/>
      <c r="AU117" s="673"/>
      <c r="AV117" s="673"/>
      <c r="AW117" s="673"/>
    </row>
    <row r="118" spans="1:49" s="672" customFormat="1" x14ac:dyDescent="0.2">
      <c r="A118" s="672" t="s">
        <v>319</v>
      </c>
      <c r="B118" s="673"/>
      <c r="C118" s="673"/>
      <c r="D118" s="673"/>
      <c r="E118" s="673"/>
      <c r="F118" s="673"/>
      <c r="G118" s="673"/>
      <c r="H118" s="673"/>
      <c r="I118" s="673"/>
      <c r="J118" s="673"/>
      <c r="K118" s="673"/>
      <c r="L118" s="673"/>
      <c r="M118" s="673"/>
      <c r="N118" s="673"/>
      <c r="O118" s="673"/>
      <c r="P118" s="673"/>
      <c r="Q118" s="673"/>
      <c r="R118" s="673"/>
      <c r="S118" s="673"/>
      <c r="T118" s="673"/>
      <c r="U118" s="673"/>
      <c r="V118" s="673"/>
      <c r="W118" s="673"/>
      <c r="X118" s="673"/>
      <c r="Y118" s="673"/>
      <c r="Z118" s="673"/>
      <c r="AA118" s="673"/>
      <c r="AB118" s="673"/>
      <c r="AC118" s="673"/>
      <c r="AD118" s="673"/>
      <c r="AE118" s="673"/>
      <c r="AF118" s="673"/>
      <c r="AG118" s="673"/>
      <c r="AH118" s="673"/>
      <c r="AI118" s="673"/>
      <c r="AJ118" s="673"/>
      <c r="AK118" s="673"/>
      <c r="AL118" s="673"/>
      <c r="AM118" s="673"/>
      <c r="AN118" s="673"/>
      <c r="AO118" s="673"/>
      <c r="AP118" s="673"/>
      <c r="AQ118" s="673"/>
      <c r="AR118" s="673"/>
      <c r="AS118" s="673"/>
      <c r="AT118" s="673"/>
      <c r="AU118" s="673"/>
      <c r="AV118" s="673"/>
      <c r="AW118" s="673"/>
    </row>
    <row r="119" spans="1:49" s="672" customFormat="1" x14ac:dyDescent="0.2"/>
    <row r="120" spans="1:49" s="672" customFormat="1" x14ac:dyDescent="0.2"/>
    <row r="121" spans="1:49" s="672" customFormat="1" x14ac:dyDescent="0.2"/>
    <row r="122" spans="1:49" s="672" customFormat="1" x14ac:dyDescent="0.2">
      <c r="A122" s="672" t="s">
        <v>734</v>
      </c>
    </row>
    <row r="123" spans="1:49" s="672" customFormat="1" x14ac:dyDescent="0.2">
      <c r="A123" s="674" t="s">
        <v>728</v>
      </c>
      <c r="G123" s="671"/>
    </row>
    <row r="124" spans="1:49" s="672" customFormat="1" ht="102" x14ac:dyDescent="0.2">
      <c r="A124" s="671" t="s">
        <v>365</v>
      </c>
      <c r="B124" s="675" t="s">
        <v>719</v>
      </c>
      <c r="C124" s="675" t="s">
        <v>730</v>
      </c>
      <c r="D124" s="675" t="s">
        <v>731</v>
      </c>
      <c r="E124" s="676" t="s">
        <v>718</v>
      </c>
      <c r="F124" s="677" t="s">
        <v>248</v>
      </c>
      <c r="I124" s="675"/>
    </row>
    <row r="125" spans="1:49" s="672" customFormat="1" ht="15" x14ac:dyDescent="0.25">
      <c r="A125" s="672" t="s">
        <v>369</v>
      </c>
      <c r="B125" s="672">
        <v>812</v>
      </c>
      <c r="C125" s="678">
        <v>810</v>
      </c>
      <c r="D125" s="678">
        <v>2</v>
      </c>
      <c r="E125" s="679">
        <f t="shared" ref="E125:E137" si="4">SUM($C125/$C$138)</f>
        <v>0.24302430243024303</v>
      </c>
      <c r="F125" s="680">
        <f>E125</f>
        <v>0.24302430243024303</v>
      </c>
      <c r="I125" s="670"/>
    </row>
    <row r="126" spans="1:49" s="672" customFormat="1" ht="15" x14ac:dyDescent="0.25">
      <c r="A126" s="672" t="s">
        <v>368</v>
      </c>
      <c r="B126" s="672">
        <v>588</v>
      </c>
      <c r="C126" s="678">
        <v>585</v>
      </c>
      <c r="D126" s="678">
        <v>3</v>
      </c>
      <c r="E126" s="679">
        <f t="shared" si="4"/>
        <v>0.17551755175517553</v>
      </c>
      <c r="F126" s="679">
        <f>SUM(F125+E126)</f>
        <v>0.41854185418541856</v>
      </c>
      <c r="I126" s="670"/>
    </row>
    <row r="127" spans="1:49" s="672" customFormat="1" ht="15" x14ac:dyDescent="0.25">
      <c r="A127" s="672" t="s">
        <v>381</v>
      </c>
      <c r="B127" s="672">
        <v>630</v>
      </c>
      <c r="C127" s="678">
        <v>482</v>
      </c>
      <c r="D127" s="678">
        <v>148</v>
      </c>
      <c r="E127" s="679">
        <f t="shared" si="4"/>
        <v>0.14461446144614462</v>
      </c>
      <c r="F127" s="679">
        <f t="shared" ref="F127:F137" si="5">SUM(F126+E127)</f>
        <v>0.56315631563156321</v>
      </c>
      <c r="I127" s="670"/>
    </row>
    <row r="128" spans="1:49" s="672" customFormat="1" ht="15" x14ac:dyDescent="0.25">
      <c r="A128" s="672" t="s">
        <v>376</v>
      </c>
      <c r="B128" s="672">
        <v>414</v>
      </c>
      <c r="C128" s="678">
        <v>402</v>
      </c>
      <c r="D128" s="678">
        <v>12</v>
      </c>
      <c r="E128" s="679">
        <f t="shared" si="4"/>
        <v>0.12061206120612061</v>
      </c>
      <c r="F128" s="679">
        <f t="shared" si="5"/>
        <v>0.68376837683768388</v>
      </c>
      <c r="I128" s="670"/>
    </row>
    <row r="129" spans="1:9" s="672" customFormat="1" ht="15" x14ac:dyDescent="0.25">
      <c r="A129" s="672" t="s">
        <v>373</v>
      </c>
      <c r="B129" s="672">
        <v>379</v>
      </c>
      <c r="C129" s="678">
        <v>319</v>
      </c>
      <c r="D129" s="678">
        <v>60</v>
      </c>
      <c r="E129" s="679">
        <f t="shared" si="4"/>
        <v>9.5709570957095716E-2</v>
      </c>
      <c r="F129" s="679">
        <f t="shared" si="5"/>
        <v>0.77947794779477964</v>
      </c>
      <c r="I129" s="670"/>
    </row>
    <row r="130" spans="1:9" s="672" customFormat="1" ht="15" x14ac:dyDescent="0.25">
      <c r="A130" s="672" t="s">
        <v>716</v>
      </c>
      <c r="B130" s="672">
        <v>234</v>
      </c>
      <c r="C130" s="678">
        <v>210</v>
      </c>
      <c r="D130" s="678">
        <v>24</v>
      </c>
      <c r="E130" s="679">
        <f t="shared" si="4"/>
        <v>6.3006300630063003E-2</v>
      </c>
      <c r="F130" s="679">
        <f t="shared" si="5"/>
        <v>0.8424842484248426</v>
      </c>
      <c r="I130" s="670"/>
    </row>
    <row r="131" spans="1:9" s="672" customFormat="1" ht="15" x14ac:dyDescent="0.25">
      <c r="A131" s="672" t="s">
        <v>378</v>
      </c>
      <c r="B131" s="672">
        <v>141</v>
      </c>
      <c r="C131" s="678">
        <v>132</v>
      </c>
      <c r="D131" s="678">
        <v>9</v>
      </c>
      <c r="E131" s="679">
        <f t="shared" si="4"/>
        <v>3.9603960396039604E-2</v>
      </c>
      <c r="F131" s="679">
        <f t="shared" si="5"/>
        <v>0.88208820882088224</v>
      </c>
      <c r="I131" s="670"/>
    </row>
    <row r="132" spans="1:9" s="672" customFormat="1" ht="15" x14ac:dyDescent="0.25">
      <c r="A132" s="672" t="s">
        <v>374</v>
      </c>
      <c r="B132" s="672">
        <v>130</v>
      </c>
      <c r="C132" s="678">
        <v>99</v>
      </c>
      <c r="D132" s="678">
        <v>31</v>
      </c>
      <c r="E132" s="679">
        <f t="shared" si="4"/>
        <v>2.9702970297029702E-2</v>
      </c>
      <c r="F132" s="679">
        <f t="shared" si="5"/>
        <v>0.91179117911791197</v>
      </c>
      <c r="I132" s="670"/>
    </row>
    <row r="133" spans="1:9" s="672" customFormat="1" ht="15" x14ac:dyDescent="0.25">
      <c r="A133" s="672" t="s">
        <v>377</v>
      </c>
      <c r="B133" s="672">
        <v>118</v>
      </c>
      <c r="C133" s="678">
        <v>98</v>
      </c>
      <c r="D133" s="678">
        <v>20</v>
      </c>
      <c r="E133" s="679">
        <f t="shared" si="4"/>
        <v>2.9402940294029404E-2</v>
      </c>
      <c r="F133" s="679">
        <f t="shared" si="5"/>
        <v>0.94119411941194142</v>
      </c>
      <c r="I133" s="670"/>
    </row>
    <row r="134" spans="1:9" s="672" customFormat="1" ht="15" x14ac:dyDescent="0.25">
      <c r="A134" s="672" t="s">
        <v>375</v>
      </c>
      <c r="B134" s="672">
        <v>109</v>
      </c>
      <c r="C134" s="678">
        <v>98</v>
      </c>
      <c r="D134" s="678">
        <v>11</v>
      </c>
      <c r="E134" s="679">
        <f t="shared" si="4"/>
        <v>2.9402940294029404E-2</v>
      </c>
      <c r="F134" s="679">
        <f t="shared" si="5"/>
        <v>0.97059705970597088</v>
      </c>
      <c r="I134" s="670"/>
    </row>
    <row r="135" spans="1:9" s="672" customFormat="1" ht="15" x14ac:dyDescent="0.25">
      <c r="A135" s="672" t="s">
        <v>379</v>
      </c>
      <c r="B135" s="672">
        <v>52</v>
      </c>
      <c r="C135" s="678">
        <v>48</v>
      </c>
      <c r="D135" s="678">
        <v>4</v>
      </c>
      <c r="E135" s="679">
        <f t="shared" si="4"/>
        <v>1.4401440144014401E-2</v>
      </c>
      <c r="F135" s="679">
        <f t="shared" si="5"/>
        <v>0.98499849984998533</v>
      </c>
      <c r="I135" s="670"/>
    </row>
    <row r="136" spans="1:9" s="672" customFormat="1" ht="15" x14ac:dyDescent="0.25">
      <c r="A136" s="672" t="s">
        <v>370</v>
      </c>
      <c r="B136" s="672">
        <v>27</v>
      </c>
      <c r="C136" s="678">
        <v>27</v>
      </c>
      <c r="D136" s="678">
        <v>0</v>
      </c>
      <c r="E136" s="679">
        <f t="shared" si="4"/>
        <v>8.1008100810081012E-3</v>
      </c>
      <c r="F136" s="679">
        <f t="shared" si="5"/>
        <v>0.99309930993099338</v>
      </c>
      <c r="I136" s="670"/>
    </row>
    <row r="137" spans="1:9" s="672" customFormat="1" ht="15" x14ac:dyDescent="0.25">
      <c r="A137" s="672" t="s">
        <v>371</v>
      </c>
      <c r="B137" s="672">
        <v>24</v>
      </c>
      <c r="C137" s="678">
        <v>23</v>
      </c>
      <c r="D137" s="678">
        <v>1</v>
      </c>
      <c r="E137" s="679">
        <f t="shared" si="4"/>
        <v>6.900690069006901E-3</v>
      </c>
      <c r="F137" s="679">
        <f t="shared" si="5"/>
        <v>1.0000000000000002</v>
      </c>
      <c r="I137" s="670"/>
    </row>
    <row r="138" spans="1:9" s="672" customFormat="1" ht="15" x14ac:dyDescent="0.25">
      <c r="A138" s="672" t="s">
        <v>717</v>
      </c>
      <c r="B138" s="681">
        <f>SUM(B125:B137)</f>
        <v>3658</v>
      </c>
      <c r="C138" s="681">
        <f>SUM(C125:C137)</f>
        <v>3333</v>
      </c>
      <c r="D138" s="681">
        <f>SUM(D125:D137)</f>
        <v>325</v>
      </c>
      <c r="I138" s="670"/>
    </row>
    <row r="139" spans="1:9" s="672" customFormat="1" x14ac:dyDescent="0.2"/>
    <row r="140" spans="1:9" s="672" customFormat="1" x14ac:dyDescent="0.2">
      <c r="A140" s="674" t="s">
        <v>729</v>
      </c>
    </row>
    <row r="141" spans="1:9" s="672" customFormat="1" ht="102" x14ac:dyDescent="0.2">
      <c r="A141" s="671" t="s">
        <v>365</v>
      </c>
      <c r="B141" s="675" t="s">
        <v>731</v>
      </c>
      <c r="C141" s="676" t="s">
        <v>718</v>
      </c>
      <c r="D141" s="677" t="s">
        <v>248</v>
      </c>
    </row>
    <row r="142" spans="1:9" s="672" customFormat="1" ht="15" x14ac:dyDescent="0.25">
      <c r="A142" s="672" t="s">
        <v>381</v>
      </c>
      <c r="B142" s="678">
        <v>148</v>
      </c>
      <c r="C142" s="679">
        <f t="shared" ref="C142:C154" si="6">SUM($B142/$B$155)</f>
        <v>0.45538461538461539</v>
      </c>
      <c r="D142" s="680">
        <f>C142</f>
        <v>0.45538461538461539</v>
      </c>
    </row>
    <row r="143" spans="1:9" s="672" customFormat="1" ht="15" x14ac:dyDescent="0.25">
      <c r="A143" s="672" t="s">
        <v>373</v>
      </c>
      <c r="B143" s="678">
        <v>60</v>
      </c>
      <c r="C143" s="679">
        <f t="shared" si="6"/>
        <v>0.18461538461538463</v>
      </c>
      <c r="D143" s="679">
        <f>SUM(D142+C143)</f>
        <v>0.64</v>
      </c>
    </row>
    <row r="144" spans="1:9" s="672" customFormat="1" ht="15" x14ac:dyDescent="0.25">
      <c r="A144" s="672" t="s">
        <v>374</v>
      </c>
      <c r="B144" s="678">
        <v>31</v>
      </c>
      <c r="C144" s="679">
        <f t="shared" si="6"/>
        <v>9.5384615384615387E-2</v>
      </c>
      <c r="D144" s="679">
        <f t="shared" ref="D144:D154" si="7">SUM(D143+C144)</f>
        <v>0.73538461538461541</v>
      </c>
    </row>
    <row r="145" spans="1:4" s="672" customFormat="1" ht="15" x14ac:dyDescent="0.25">
      <c r="A145" s="672" t="s">
        <v>716</v>
      </c>
      <c r="B145" s="678">
        <v>24</v>
      </c>
      <c r="C145" s="679">
        <f t="shared" si="6"/>
        <v>7.3846153846153853E-2</v>
      </c>
      <c r="D145" s="679">
        <f t="shared" si="7"/>
        <v>0.80923076923076931</v>
      </c>
    </row>
    <row r="146" spans="1:4" s="672" customFormat="1" ht="15" x14ac:dyDescent="0.25">
      <c r="A146" s="672" t="s">
        <v>377</v>
      </c>
      <c r="B146" s="678">
        <v>20</v>
      </c>
      <c r="C146" s="679">
        <f t="shared" si="6"/>
        <v>6.1538461538461542E-2</v>
      </c>
      <c r="D146" s="679">
        <f t="shared" si="7"/>
        <v>0.87076923076923085</v>
      </c>
    </row>
    <row r="147" spans="1:4" s="672" customFormat="1" ht="15" x14ac:dyDescent="0.25">
      <c r="A147" s="672" t="s">
        <v>376</v>
      </c>
      <c r="B147" s="678">
        <v>12</v>
      </c>
      <c r="C147" s="679">
        <f t="shared" si="6"/>
        <v>3.6923076923076927E-2</v>
      </c>
      <c r="D147" s="679">
        <f t="shared" si="7"/>
        <v>0.9076923076923078</v>
      </c>
    </row>
    <row r="148" spans="1:4" s="672" customFormat="1" ht="15" x14ac:dyDescent="0.25">
      <c r="A148" s="672" t="s">
        <v>375</v>
      </c>
      <c r="B148" s="678">
        <v>11</v>
      </c>
      <c r="C148" s="679">
        <f t="shared" si="6"/>
        <v>3.3846153846153845E-2</v>
      </c>
      <c r="D148" s="679">
        <f t="shared" si="7"/>
        <v>0.94153846153846166</v>
      </c>
    </row>
    <row r="149" spans="1:4" s="672" customFormat="1" ht="15" x14ac:dyDescent="0.25">
      <c r="A149" s="672" t="s">
        <v>378</v>
      </c>
      <c r="B149" s="678">
        <v>9</v>
      </c>
      <c r="C149" s="679">
        <f t="shared" si="6"/>
        <v>2.7692307692307693E-2</v>
      </c>
      <c r="D149" s="679">
        <f t="shared" si="7"/>
        <v>0.96923076923076934</v>
      </c>
    </row>
    <row r="150" spans="1:4" s="672" customFormat="1" ht="15" x14ac:dyDescent="0.25">
      <c r="A150" s="672" t="s">
        <v>379</v>
      </c>
      <c r="B150" s="678">
        <v>4</v>
      </c>
      <c r="C150" s="679">
        <f t="shared" si="6"/>
        <v>1.2307692307692308E-2</v>
      </c>
      <c r="D150" s="679">
        <f t="shared" si="7"/>
        <v>0.98153846153846169</v>
      </c>
    </row>
    <row r="151" spans="1:4" s="672" customFormat="1" ht="15" x14ac:dyDescent="0.25">
      <c r="A151" s="672" t="s">
        <v>368</v>
      </c>
      <c r="B151" s="678">
        <v>3</v>
      </c>
      <c r="C151" s="679">
        <f t="shared" si="6"/>
        <v>9.2307692307692316E-3</v>
      </c>
      <c r="D151" s="679">
        <f t="shared" si="7"/>
        <v>0.99076923076923096</v>
      </c>
    </row>
    <row r="152" spans="1:4" s="672" customFormat="1" ht="15" x14ac:dyDescent="0.25">
      <c r="A152" s="672" t="s">
        <v>369</v>
      </c>
      <c r="B152" s="678">
        <v>2</v>
      </c>
      <c r="C152" s="679">
        <f t="shared" si="6"/>
        <v>6.1538461538461538E-3</v>
      </c>
      <c r="D152" s="679">
        <f t="shared" si="7"/>
        <v>0.99692307692307713</v>
      </c>
    </row>
    <row r="153" spans="1:4" s="672" customFormat="1" ht="15" x14ac:dyDescent="0.25">
      <c r="A153" s="672" t="s">
        <v>371</v>
      </c>
      <c r="B153" s="678">
        <v>1</v>
      </c>
      <c r="C153" s="679">
        <f t="shared" si="6"/>
        <v>3.0769230769230769E-3</v>
      </c>
      <c r="D153" s="679">
        <f t="shared" si="7"/>
        <v>1.0000000000000002</v>
      </c>
    </row>
    <row r="154" spans="1:4" s="672" customFormat="1" ht="15" x14ac:dyDescent="0.25">
      <c r="A154" s="672" t="s">
        <v>370</v>
      </c>
      <c r="B154" s="678">
        <v>0</v>
      </c>
      <c r="C154" s="679">
        <f t="shared" si="6"/>
        <v>0</v>
      </c>
      <c r="D154" s="679">
        <f t="shared" si="7"/>
        <v>1.0000000000000002</v>
      </c>
    </row>
    <row r="155" spans="1:4" s="672" customFormat="1" x14ac:dyDescent="0.2">
      <c r="A155" s="672" t="s">
        <v>717</v>
      </c>
      <c r="B155" s="681">
        <f>SUM(B142:B154)</f>
        <v>325</v>
      </c>
    </row>
    <row r="156" spans="1:4" s="672" customFormat="1" x14ac:dyDescent="0.2"/>
  </sheetData>
  <mergeCells count="1">
    <mergeCell ref="N80:Y81"/>
  </mergeCells>
  <phoneticPr fontId="0" type="noConversion"/>
  <conditionalFormatting sqref="AC25:AW25 B14:Y27">
    <cfRule type="cellIs" dxfId="9" priority="19" operator="lessThan">
      <formula>0.9495</formula>
    </cfRule>
  </conditionalFormatting>
  <conditionalFormatting sqref="Z14:AW16 Z19:AW24 AA17 Z25 Z26:AW27 Z18:AA18 AC17 AE17:AW18">
    <cfRule type="cellIs" dxfId="8" priority="17" operator="lessThan">
      <formula>0.9495</formula>
    </cfRule>
  </conditionalFormatting>
  <conditionalFormatting sqref="Z17">
    <cfRule type="cellIs" dxfId="7" priority="16" operator="lessThan">
      <formula>0.9495</formula>
    </cfRule>
  </conditionalFormatting>
  <conditionalFormatting sqref="AA25">
    <cfRule type="cellIs" dxfId="6" priority="14" operator="lessThan">
      <formula>0.9495</formula>
    </cfRule>
  </conditionalFormatting>
  <conditionalFormatting sqref="AB17">
    <cfRule type="cellIs" dxfId="5" priority="11" operator="lessThan">
      <formula>0.9495</formula>
    </cfRule>
  </conditionalFormatting>
  <conditionalFormatting sqref="AB18">
    <cfRule type="cellIs" dxfId="4" priority="10" operator="lessThan">
      <formula>0.9495</formula>
    </cfRule>
  </conditionalFormatting>
  <conditionalFormatting sqref="AB25">
    <cfRule type="cellIs" dxfId="3" priority="7" operator="lessThan">
      <formula>0.9495</formula>
    </cfRule>
  </conditionalFormatting>
  <conditionalFormatting sqref="AD18">
    <cfRule type="cellIs" dxfId="2" priority="1" operator="lessThan">
      <formula>0.9495</formula>
    </cfRule>
  </conditionalFormatting>
  <conditionalFormatting sqref="AC18">
    <cfRule type="cellIs" dxfId="1" priority="4" operator="lessThan">
      <formula>0.9495</formula>
    </cfRule>
  </conditionalFormatting>
  <conditionalFormatting sqref="AD17">
    <cfRule type="cellIs" dxfId="0" priority="3" operator="lessThan">
      <formula>0.9495</formula>
    </cfRule>
  </conditionalFormatting>
  <hyperlinks>
    <hyperlink ref="A1" location="Content!A1" display="Return to Contents"/>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sheetPr>
  <dimension ref="A1:Q36"/>
  <sheetViews>
    <sheetView workbookViewId="0"/>
  </sheetViews>
  <sheetFormatPr defaultColWidth="9.140625" defaultRowHeight="12.75" x14ac:dyDescent="0.2"/>
  <cols>
    <col min="1" max="1" width="26.85546875" style="117" customWidth="1"/>
    <col min="2" max="2" width="9.85546875" style="117" bestFit="1" customWidth="1"/>
    <col min="3" max="16384" width="9.140625" style="117"/>
  </cols>
  <sheetData>
    <row r="1" spans="1:17" x14ac:dyDescent="0.2">
      <c r="A1" s="116" t="s">
        <v>360</v>
      </c>
    </row>
    <row r="2" spans="1:17" x14ac:dyDescent="0.2">
      <c r="A2" s="116"/>
    </row>
    <row r="3" spans="1:17" x14ac:dyDescent="0.2">
      <c r="A3" s="137" t="s">
        <v>212</v>
      </c>
      <c r="B3" s="139" t="str">
        <f>IF(HLOOKUP(MAX(B9:Q9),A9:Q11,3,0)&gt;HLOOKUP(MAX(B9:Q9),A9:Q11,2,0),"Better", "Worse")</f>
        <v>Worse</v>
      </c>
      <c r="C3" s="122" t="b">
        <f>IF(HLOOKUP(MAX(B9:Q9),A9:Q11,3,0)=HLOOKUP(MAX(B9:Q9),A9:Q11,2,0),"Equal")</f>
        <v>0</v>
      </c>
    </row>
    <row r="4" spans="1:17" x14ac:dyDescent="0.2">
      <c r="A4" s="137" t="s">
        <v>213</v>
      </c>
      <c r="B4" s="139" t="str">
        <f>IF(HLOOKUP(MAX(B14:Q14),A14:Q16,3,0)&gt;HLOOKUP(MAX(B14:Q14),A14:Q16,2,0),"Better", "Worse")</f>
        <v>Better</v>
      </c>
      <c r="C4" s="122" t="b">
        <f>IF(HLOOKUP(MAX(B14:Q14),A14:Q16,3,0)=HLOOKUP(MAX(B14:Q14),A14:Q16,2,0),"Equal")</f>
        <v>0</v>
      </c>
    </row>
    <row r="5" spans="1:17" x14ac:dyDescent="0.2">
      <c r="A5" s="137" t="s">
        <v>148</v>
      </c>
      <c r="B5" s="138">
        <f>MAX(B9:Q9)</f>
        <v>42887</v>
      </c>
    </row>
    <row r="6" spans="1:17" x14ac:dyDescent="0.2">
      <c r="A6" s="137" t="s">
        <v>215</v>
      </c>
      <c r="B6" s="138" t="s">
        <v>223</v>
      </c>
    </row>
    <row r="8" spans="1:17" x14ac:dyDescent="0.2">
      <c r="A8" s="137" t="s">
        <v>366</v>
      </c>
      <c r="J8" s="155"/>
      <c r="K8" s="155"/>
      <c r="L8" s="155"/>
      <c r="M8" s="155"/>
      <c r="N8" s="155"/>
    </row>
    <row r="9" spans="1:17" x14ac:dyDescent="0.2">
      <c r="A9" s="146"/>
      <c r="B9" s="167">
        <v>42156</v>
      </c>
      <c r="C9" s="167">
        <v>42248</v>
      </c>
      <c r="D9" s="167">
        <v>42339</v>
      </c>
      <c r="E9" s="167">
        <v>42430</v>
      </c>
      <c r="F9" s="167">
        <v>42522</v>
      </c>
      <c r="G9" s="167">
        <v>42614</v>
      </c>
      <c r="H9" s="167">
        <v>42705</v>
      </c>
      <c r="I9" s="167">
        <v>42795</v>
      </c>
      <c r="J9" s="549">
        <v>42887</v>
      </c>
      <c r="K9" s="167"/>
      <c r="L9" s="167"/>
      <c r="M9" s="167"/>
      <c r="N9" s="167"/>
      <c r="O9" s="167"/>
      <c r="P9" s="167"/>
      <c r="Q9" s="167"/>
    </row>
    <row r="10" spans="1:17" x14ac:dyDescent="0.2">
      <c r="A10" s="168" t="s">
        <v>386</v>
      </c>
      <c r="B10" s="169">
        <v>0.96299999999999997</v>
      </c>
      <c r="C10" s="169">
        <v>0.95299999999999996</v>
      </c>
      <c r="D10" s="169">
        <v>0.96399999999999997</v>
      </c>
      <c r="E10" s="170">
        <v>0.94899999999999995</v>
      </c>
      <c r="F10" s="165">
        <v>0.95699999999999996</v>
      </c>
      <c r="G10" s="170">
        <v>0.94299999999999995</v>
      </c>
      <c r="H10" s="169">
        <v>0.94099999999999995</v>
      </c>
      <c r="I10" s="169">
        <v>0.94899999999999995</v>
      </c>
      <c r="J10" s="169">
        <v>0.94799999999999995</v>
      </c>
      <c r="K10" s="169"/>
      <c r="L10" s="169"/>
      <c r="M10" s="170"/>
      <c r="N10" s="165"/>
      <c r="O10" s="170"/>
      <c r="P10" s="169"/>
      <c r="Q10" s="169"/>
    </row>
    <row r="11" spans="1:17" x14ac:dyDescent="0.2">
      <c r="A11" s="168" t="s">
        <v>387</v>
      </c>
      <c r="B11" s="169">
        <v>0.96499999999999997</v>
      </c>
      <c r="C11" s="169">
        <v>0.97399999999999998</v>
      </c>
      <c r="D11" s="169">
        <v>0.96599999999999997</v>
      </c>
      <c r="E11" s="169">
        <v>0.94799999999999995</v>
      </c>
      <c r="F11" s="169">
        <v>0.94599999999999995</v>
      </c>
      <c r="G11" s="169">
        <v>0.93100000000000005</v>
      </c>
      <c r="H11" s="169">
        <v>0.93200000000000005</v>
      </c>
      <c r="I11" s="169">
        <v>0.93600000000000005</v>
      </c>
      <c r="J11" s="169">
        <v>0.93799999999999994</v>
      </c>
      <c r="K11" s="169"/>
      <c r="L11" s="169"/>
      <c r="M11" s="169"/>
      <c r="N11" s="169"/>
      <c r="O11" s="169"/>
      <c r="P11" s="169"/>
      <c r="Q11" s="169"/>
    </row>
    <row r="13" spans="1:17" x14ac:dyDescent="0.2">
      <c r="A13" s="137" t="s">
        <v>382</v>
      </c>
    </row>
    <row r="14" spans="1:17" x14ac:dyDescent="0.2">
      <c r="A14" s="168"/>
      <c r="B14" s="167">
        <v>42156</v>
      </c>
      <c r="C14" s="167">
        <v>42248</v>
      </c>
      <c r="D14" s="167">
        <v>42339</v>
      </c>
      <c r="E14" s="167">
        <v>42430</v>
      </c>
      <c r="F14" s="167">
        <v>42522</v>
      </c>
      <c r="G14" s="167">
        <v>42614</v>
      </c>
      <c r="H14" s="167">
        <v>42705</v>
      </c>
      <c r="I14" s="167">
        <v>42795</v>
      </c>
      <c r="J14" s="549">
        <v>42887</v>
      </c>
      <c r="K14" s="167"/>
      <c r="L14" s="167"/>
      <c r="M14" s="167"/>
      <c r="N14" s="167"/>
      <c r="O14" s="167"/>
      <c r="P14" s="167"/>
      <c r="Q14" s="167"/>
    </row>
    <row r="15" spans="1:17" x14ac:dyDescent="0.2">
      <c r="A15" s="168" t="s">
        <v>386</v>
      </c>
      <c r="B15" s="169">
        <v>0.92100000000000004</v>
      </c>
      <c r="C15" s="169">
        <v>0.90200000000000002</v>
      </c>
      <c r="D15" s="169">
        <v>0.90800000000000003</v>
      </c>
      <c r="E15" s="169">
        <v>0.90200000000000002</v>
      </c>
      <c r="F15" s="169">
        <v>0.89800000000000002</v>
      </c>
      <c r="G15" s="169">
        <v>0.871</v>
      </c>
      <c r="H15" s="169">
        <v>0.875</v>
      </c>
      <c r="I15" s="169">
        <v>0.88100000000000001</v>
      </c>
      <c r="J15" s="169">
        <v>0.86899999999999999</v>
      </c>
      <c r="K15" s="169"/>
      <c r="L15" s="169"/>
      <c r="M15" s="169"/>
      <c r="N15" s="169"/>
      <c r="O15" s="169"/>
      <c r="P15" s="169"/>
      <c r="Q15" s="169"/>
    </row>
    <row r="16" spans="1:17" x14ac:dyDescent="0.2">
      <c r="A16" s="168" t="s">
        <v>387</v>
      </c>
      <c r="B16" s="169">
        <v>0.93899999999999995</v>
      </c>
      <c r="C16" s="169">
        <v>0.94199999999999995</v>
      </c>
      <c r="D16" s="169">
        <v>0.93300000000000005</v>
      </c>
      <c r="E16" s="169">
        <v>0.92</v>
      </c>
      <c r="F16" s="169">
        <v>0.93</v>
      </c>
      <c r="G16" s="169">
        <v>0.88200000000000001</v>
      </c>
      <c r="H16" s="169">
        <v>0.83799999999999997</v>
      </c>
      <c r="I16" s="169">
        <v>0.90600000000000003</v>
      </c>
      <c r="J16" s="169">
        <v>0.88300000000000001</v>
      </c>
      <c r="K16" s="169"/>
      <c r="L16" s="169"/>
      <c r="M16" s="169"/>
      <c r="N16" s="169"/>
      <c r="O16" s="169"/>
      <c r="P16" s="169"/>
      <c r="Q16" s="169"/>
    </row>
    <row r="17" spans="1:11" x14ac:dyDescent="0.2">
      <c r="A17" s="155"/>
      <c r="B17" s="155"/>
      <c r="C17" s="155"/>
      <c r="D17" s="155"/>
      <c r="E17" s="155"/>
      <c r="F17" s="155"/>
      <c r="G17" s="155"/>
      <c r="H17" s="155"/>
      <c r="I17" s="155"/>
      <c r="J17" s="155"/>
      <c r="K17" s="155"/>
    </row>
    <row r="36" spans="15:15" x14ac:dyDescent="0.2">
      <c r="O36"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T134"/>
  <sheetViews>
    <sheetView zoomScaleNormal="100" workbookViewId="0"/>
  </sheetViews>
  <sheetFormatPr defaultColWidth="9.140625" defaultRowHeight="12.75" x14ac:dyDescent="0.2"/>
  <cols>
    <col min="1" max="1" width="19.5703125" style="117" bestFit="1" customWidth="1"/>
    <col min="2" max="2" width="10.7109375" style="117" customWidth="1"/>
    <col min="3" max="3" width="12.7109375" style="157" customWidth="1"/>
    <col min="4" max="4" width="12.85546875" style="117" bestFit="1" customWidth="1"/>
    <col min="5" max="5" width="12.28515625" style="117" bestFit="1" customWidth="1"/>
    <col min="6" max="6" width="9.5703125" style="117" bestFit="1" customWidth="1"/>
    <col min="7" max="7" width="7.7109375" style="117" bestFit="1" customWidth="1"/>
    <col min="8" max="8" width="9.5703125" style="117" bestFit="1" customWidth="1"/>
    <col min="9" max="9" width="9.28515625" style="117" bestFit="1" customWidth="1"/>
    <col min="10" max="10" width="9.5703125" style="117" customWidth="1"/>
    <col min="11" max="11" width="12.5703125" style="117" bestFit="1" customWidth="1"/>
    <col min="12" max="16384" width="9.140625" style="117"/>
  </cols>
  <sheetData>
    <row r="1" spans="1:20" x14ac:dyDescent="0.2">
      <c r="A1" s="116" t="s">
        <v>360</v>
      </c>
    </row>
    <row r="2" spans="1:20" x14ac:dyDescent="0.2">
      <c r="A2" s="116"/>
    </row>
    <row r="3" spans="1:20" x14ac:dyDescent="0.2">
      <c r="A3" s="118" t="s">
        <v>454</v>
      </c>
      <c r="B3" s="155" t="s">
        <v>737</v>
      </c>
    </row>
    <row r="4" spans="1:20" x14ac:dyDescent="0.2">
      <c r="A4" s="118" t="s">
        <v>147</v>
      </c>
      <c r="B4" s="187">
        <f>VLOOKUP(MAX(A12:A134),A12:K134,10,0)</f>
        <v>1.7571831579921873</v>
      </c>
      <c r="D4" s="388"/>
    </row>
    <row r="5" spans="1:20" x14ac:dyDescent="0.2">
      <c r="A5" s="118" t="s">
        <v>119</v>
      </c>
      <c r="B5" s="138">
        <f>MAX(A12:A134)</f>
        <v>42948</v>
      </c>
    </row>
    <row r="6" spans="1:20" x14ac:dyDescent="0.2">
      <c r="A6" s="118" t="s">
        <v>201</v>
      </c>
      <c r="B6" s="439" t="s">
        <v>186</v>
      </c>
    </row>
    <row r="7" spans="1:20" x14ac:dyDescent="0.2">
      <c r="A7" s="118" t="s">
        <v>456</v>
      </c>
      <c r="B7" s="173" t="s">
        <v>136</v>
      </c>
    </row>
    <row r="8" spans="1:20" x14ac:dyDescent="0.2">
      <c r="A8" s="137" t="s">
        <v>151</v>
      </c>
      <c r="B8" s="139" t="s">
        <v>78</v>
      </c>
    </row>
    <row r="9" spans="1:20" x14ac:dyDescent="0.2">
      <c r="A9" s="137" t="s">
        <v>148</v>
      </c>
      <c r="B9" s="139" t="s">
        <v>78</v>
      </c>
      <c r="O9" s="188" t="s">
        <v>193</v>
      </c>
    </row>
    <row r="10" spans="1:20" x14ac:dyDescent="0.2">
      <c r="A10" s="134"/>
    </row>
    <row r="11" spans="1:20" ht="51" x14ac:dyDescent="0.2">
      <c r="A11" s="135"/>
      <c r="B11" s="185" t="s">
        <v>383</v>
      </c>
      <c r="C11" s="489" t="s">
        <v>384</v>
      </c>
      <c r="D11" s="185" t="s">
        <v>322</v>
      </c>
      <c r="E11" s="185" t="s">
        <v>23</v>
      </c>
      <c r="F11" s="185" t="s">
        <v>184</v>
      </c>
      <c r="G11" s="185" t="s">
        <v>185</v>
      </c>
      <c r="H11" s="185" t="s">
        <v>24</v>
      </c>
      <c r="I11" s="185" t="s">
        <v>320</v>
      </c>
      <c r="J11" s="185" t="s">
        <v>321</v>
      </c>
      <c r="K11" s="185" t="s">
        <v>25</v>
      </c>
    </row>
    <row r="12" spans="1:20" s="193" customFormat="1" x14ac:dyDescent="0.2">
      <c r="A12" s="186">
        <v>39814</v>
      </c>
      <c r="B12" s="22">
        <v>19</v>
      </c>
      <c r="C12" s="490">
        <v>9381</v>
      </c>
      <c r="D12" s="189">
        <f t="shared" ref="D12:D75" si="0">IF(B12="",#N/A,B12/C12*1000)</f>
        <v>2.0253704295917281</v>
      </c>
      <c r="E12" s="189">
        <f>MEDIAN($D$12:$D$23)</f>
        <v>1.907061376715308</v>
      </c>
      <c r="F12" s="190"/>
      <c r="G12" s="190"/>
      <c r="H12" s="190"/>
      <c r="I12" s="190"/>
      <c r="J12" s="190"/>
      <c r="K12" s="190"/>
      <c r="L12" s="191"/>
      <c r="M12" s="192"/>
      <c r="N12" s="192"/>
      <c r="O12" s="192"/>
      <c r="P12" s="192"/>
      <c r="Q12" s="192"/>
      <c r="R12" s="192"/>
      <c r="S12" s="192"/>
      <c r="T12" s="192"/>
    </row>
    <row r="13" spans="1:20" s="193" customFormat="1" x14ac:dyDescent="0.2">
      <c r="A13" s="186">
        <v>39845</v>
      </c>
      <c r="B13" s="22">
        <v>13</v>
      </c>
      <c r="C13" s="490">
        <v>8781</v>
      </c>
      <c r="D13" s="189">
        <f t="shared" si="0"/>
        <v>1.4804691948525224</v>
      </c>
      <c r="E13" s="189">
        <f t="shared" ref="E13:E23" si="1">MEDIAN($D$12:$D$23)</f>
        <v>1.907061376715308</v>
      </c>
      <c r="F13" s="190"/>
      <c r="G13" s="190"/>
      <c r="H13" s="190"/>
      <c r="I13" s="190"/>
      <c r="J13" s="190"/>
      <c r="K13" s="190"/>
      <c r="L13" s="191"/>
      <c r="M13" s="192"/>
      <c r="N13" s="192"/>
      <c r="O13" s="192"/>
      <c r="P13" s="192"/>
      <c r="Q13" s="192"/>
      <c r="R13" s="192"/>
      <c r="S13" s="192"/>
      <c r="T13" s="192"/>
    </row>
    <row r="14" spans="1:20" s="193" customFormat="1" x14ac:dyDescent="0.2">
      <c r="A14" s="186">
        <v>39873</v>
      </c>
      <c r="B14" s="22">
        <v>24</v>
      </c>
      <c r="C14" s="490">
        <v>9704</v>
      </c>
      <c r="D14" s="189">
        <f t="shared" si="0"/>
        <v>2.4732069249793898</v>
      </c>
      <c r="E14" s="189">
        <f t="shared" si="1"/>
        <v>1.907061376715308</v>
      </c>
      <c r="F14" s="190"/>
      <c r="G14" s="190"/>
      <c r="H14" s="190"/>
      <c r="I14" s="190"/>
      <c r="J14" s="190"/>
      <c r="K14" s="190"/>
      <c r="L14" s="191"/>
      <c r="M14" s="192"/>
      <c r="N14" s="192"/>
      <c r="O14" s="192"/>
      <c r="P14" s="192"/>
      <c r="Q14" s="192"/>
      <c r="R14" s="192"/>
      <c r="S14" s="192"/>
      <c r="T14" s="192"/>
    </row>
    <row r="15" spans="1:20" s="193" customFormat="1" x14ac:dyDescent="0.2">
      <c r="A15" s="186">
        <v>39904</v>
      </c>
      <c r="B15" s="22">
        <v>11</v>
      </c>
      <c r="C15" s="490">
        <v>9357</v>
      </c>
      <c r="D15" s="189">
        <f t="shared" si="0"/>
        <v>1.175590467030031</v>
      </c>
      <c r="E15" s="189">
        <f t="shared" si="1"/>
        <v>1.907061376715308</v>
      </c>
      <c r="F15" s="190"/>
      <c r="G15" s="190"/>
      <c r="H15" s="190"/>
      <c r="I15" s="190"/>
      <c r="J15" s="190"/>
      <c r="K15" s="190"/>
      <c r="L15" s="191"/>
      <c r="M15" s="192"/>
      <c r="N15" s="192"/>
      <c r="O15" s="192"/>
      <c r="P15" s="192"/>
      <c r="Q15" s="192"/>
      <c r="R15" s="192"/>
      <c r="S15" s="192"/>
      <c r="T15" s="192"/>
    </row>
    <row r="16" spans="1:20" s="193" customFormat="1" x14ac:dyDescent="0.2">
      <c r="A16" s="186">
        <v>39934</v>
      </c>
      <c r="B16" s="22">
        <v>13</v>
      </c>
      <c r="C16" s="490">
        <v>9331</v>
      </c>
      <c r="D16" s="189">
        <f t="shared" si="0"/>
        <v>1.3932054442181974</v>
      </c>
      <c r="E16" s="189">
        <f t="shared" si="1"/>
        <v>1.907061376715308</v>
      </c>
      <c r="F16" s="190"/>
      <c r="G16" s="190"/>
      <c r="H16" s="190"/>
      <c r="I16" s="190"/>
      <c r="J16" s="190"/>
      <c r="K16" s="190"/>
      <c r="M16" s="192"/>
      <c r="N16" s="192"/>
      <c r="O16" s="192"/>
      <c r="P16" s="192"/>
      <c r="Q16" s="192"/>
      <c r="R16" s="192"/>
      <c r="S16" s="192"/>
      <c r="T16" s="192"/>
    </row>
    <row r="17" spans="1:20" s="193" customFormat="1" x14ac:dyDescent="0.2">
      <c r="A17" s="186">
        <v>39965</v>
      </c>
      <c r="B17" s="22">
        <v>18</v>
      </c>
      <c r="C17" s="490">
        <v>9242</v>
      </c>
      <c r="D17" s="189">
        <f t="shared" si="0"/>
        <v>1.9476303830339754</v>
      </c>
      <c r="E17" s="189">
        <f t="shared" si="1"/>
        <v>1.907061376715308</v>
      </c>
      <c r="F17" s="189"/>
      <c r="G17" s="190"/>
      <c r="H17" s="190"/>
      <c r="I17" s="190"/>
      <c r="J17" s="190"/>
      <c r="K17" s="190"/>
      <c r="L17" s="191"/>
      <c r="M17" s="192"/>
      <c r="N17" s="192"/>
      <c r="O17" s="192"/>
      <c r="P17" s="192"/>
      <c r="Q17" s="192"/>
      <c r="R17" s="192"/>
      <c r="S17" s="192"/>
      <c r="T17" s="192"/>
    </row>
    <row r="18" spans="1:20" s="193" customFormat="1" x14ac:dyDescent="0.2">
      <c r="A18" s="186">
        <v>39995</v>
      </c>
      <c r="B18" s="22">
        <v>12</v>
      </c>
      <c r="C18" s="490">
        <v>9293</v>
      </c>
      <c r="D18" s="189">
        <f t="shared" si="0"/>
        <v>1.291294522759066</v>
      </c>
      <c r="E18" s="189">
        <f t="shared" si="1"/>
        <v>1.907061376715308</v>
      </c>
      <c r="F18" s="189"/>
      <c r="G18" s="190"/>
      <c r="H18" s="190"/>
      <c r="I18" s="190"/>
      <c r="J18" s="190"/>
      <c r="K18" s="190"/>
      <c r="M18" s="192"/>
      <c r="N18" s="192"/>
      <c r="O18" s="192"/>
      <c r="P18" s="192"/>
      <c r="Q18" s="192"/>
      <c r="R18" s="192"/>
      <c r="S18" s="192"/>
      <c r="T18" s="192"/>
    </row>
    <row r="19" spans="1:20" s="193" customFormat="1" x14ac:dyDescent="0.2">
      <c r="A19" s="186">
        <v>40026</v>
      </c>
      <c r="B19" s="22">
        <v>14</v>
      </c>
      <c r="C19" s="490">
        <v>8896</v>
      </c>
      <c r="D19" s="189">
        <f t="shared" si="0"/>
        <v>1.5737410071942446</v>
      </c>
      <c r="E19" s="189">
        <f t="shared" si="1"/>
        <v>1.907061376715308</v>
      </c>
      <c r="F19" s="189"/>
      <c r="G19" s="190"/>
      <c r="H19" s="190"/>
      <c r="I19" s="190"/>
      <c r="J19" s="190"/>
      <c r="K19" s="190"/>
      <c r="L19" s="191"/>
      <c r="M19" s="192"/>
      <c r="N19" s="192"/>
      <c r="O19" s="192"/>
      <c r="P19" s="192"/>
      <c r="Q19" s="192"/>
      <c r="R19" s="192"/>
      <c r="S19" s="192"/>
      <c r="T19" s="192"/>
    </row>
    <row r="20" spans="1:20" s="193" customFormat="1" x14ac:dyDescent="0.2">
      <c r="A20" s="186">
        <v>40057</v>
      </c>
      <c r="B20" s="22">
        <v>17</v>
      </c>
      <c r="C20" s="490">
        <v>8951</v>
      </c>
      <c r="D20" s="189">
        <f t="shared" si="0"/>
        <v>1.8992291364093397</v>
      </c>
      <c r="E20" s="189">
        <f t="shared" si="1"/>
        <v>1.907061376715308</v>
      </c>
      <c r="F20" s="189"/>
      <c r="G20" s="190"/>
      <c r="H20" s="190"/>
      <c r="I20" s="190"/>
      <c r="J20" s="190"/>
      <c r="K20" s="190"/>
      <c r="L20" s="191"/>
      <c r="M20" s="192"/>
      <c r="N20" s="192"/>
      <c r="O20" s="192"/>
      <c r="P20" s="192"/>
      <c r="Q20" s="192"/>
      <c r="R20" s="192"/>
      <c r="S20" s="192"/>
      <c r="T20" s="192"/>
    </row>
    <row r="21" spans="1:20" s="193" customFormat="1" x14ac:dyDescent="0.2">
      <c r="A21" s="186">
        <v>40087</v>
      </c>
      <c r="B21" s="22">
        <v>18</v>
      </c>
      <c r="C21" s="490">
        <v>9400</v>
      </c>
      <c r="D21" s="189">
        <f t="shared" si="0"/>
        <v>1.9148936170212765</v>
      </c>
      <c r="E21" s="189">
        <f t="shared" si="1"/>
        <v>1.907061376715308</v>
      </c>
      <c r="F21" s="189"/>
      <c r="G21" s="190"/>
      <c r="H21" s="190"/>
      <c r="I21" s="190"/>
      <c r="J21" s="190"/>
      <c r="K21" s="190"/>
      <c r="L21" s="191"/>
      <c r="M21" s="192"/>
      <c r="N21" s="192"/>
      <c r="O21" s="192"/>
      <c r="P21" s="192"/>
      <c r="Q21" s="192"/>
      <c r="R21" s="192"/>
      <c r="S21" s="192"/>
      <c r="T21" s="192"/>
    </row>
    <row r="22" spans="1:20" s="193" customFormat="1" x14ac:dyDescent="0.2">
      <c r="A22" s="186">
        <v>40118</v>
      </c>
      <c r="B22" s="22">
        <v>23</v>
      </c>
      <c r="C22" s="490">
        <v>8756</v>
      </c>
      <c r="D22" s="189">
        <f t="shared" si="0"/>
        <v>2.626770214709913</v>
      </c>
      <c r="E22" s="189">
        <f t="shared" si="1"/>
        <v>1.907061376715308</v>
      </c>
      <c r="F22" s="189"/>
      <c r="G22" s="190"/>
      <c r="H22" s="190"/>
      <c r="I22" s="190"/>
      <c r="J22" s="190"/>
      <c r="K22" s="190"/>
      <c r="L22" s="191"/>
      <c r="N22" s="192"/>
      <c r="O22" s="192"/>
      <c r="P22" s="192"/>
      <c r="Q22" s="192"/>
      <c r="R22" s="192"/>
      <c r="S22" s="192"/>
      <c r="T22" s="192"/>
    </row>
    <row r="23" spans="1:20" s="193" customFormat="1" x14ac:dyDescent="0.2">
      <c r="A23" s="186">
        <v>40148</v>
      </c>
      <c r="B23" s="22">
        <v>23</v>
      </c>
      <c r="C23" s="490">
        <v>9135</v>
      </c>
      <c r="D23" s="189">
        <f t="shared" si="0"/>
        <v>2.5177887246852766</v>
      </c>
      <c r="E23" s="189">
        <f t="shared" si="1"/>
        <v>1.907061376715308</v>
      </c>
      <c r="F23" s="189"/>
      <c r="G23" s="190"/>
      <c r="H23" s="190"/>
      <c r="I23" s="190"/>
      <c r="J23" s="190"/>
      <c r="K23" s="190"/>
      <c r="L23" s="191"/>
      <c r="M23" s="661"/>
      <c r="N23" s="192"/>
      <c r="O23" s="192"/>
      <c r="P23" s="192"/>
      <c r="Q23" s="192"/>
      <c r="R23" s="192"/>
      <c r="S23" s="192"/>
      <c r="T23" s="192"/>
    </row>
    <row r="24" spans="1:20" s="193" customFormat="1" x14ac:dyDescent="0.2">
      <c r="A24" s="186">
        <v>40179</v>
      </c>
      <c r="B24" s="22">
        <v>20</v>
      </c>
      <c r="C24" s="490">
        <v>8601</v>
      </c>
      <c r="D24" s="189">
        <f t="shared" si="0"/>
        <v>2.325311010347634</v>
      </c>
      <c r="E24" s="189"/>
      <c r="F24" s="189">
        <f t="shared" ref="F24:F59" si="2">MEDIAN($D$12:$D$23)</f>
        <v>1.907061376715308</v>
      </c>
      <c r="G24" s="189"/>
      <c r="H24" s="189"/>
      <c r="I24" s="189"/>
      <c r="J24" s="189"/>
      <c r="K24" s="190">
        <f>(0.5*$E$12)</f>
        <v>0.95353068835765398</v>
      </c>
      <c r="M24" s="192"/>
      <c r="N24" s="192"/>
      <c r="O24" s="192"/>
      <c r="P24" s="192"/>
      <c r="Q24" s="192"/>
      <c r="R24" s="192"/>
      <c r="S24" s="192"/>
      <c r="T24" s="192"/>
    </row>
    <row r="25" spans="1:20" x14ac:dyDescent="0.2">
      <c r="A25" s="186">
        <v>40210</v>
      </c>
      <c r="B25" s="22">
        <v>22</v>
      </c>
      <c r="C25" s="490">
        <v>8365</v>
      </c>
      <c r="D25" s="189">
        <f t="shared" si="0"/>
        <v>2.630005977286312</v>
      </c>
      <c r="E25" s="189"/>
      <c r="F25" s="189">
        <f t="shared" si="2"/>
        <v>1.907061376715308</v>
      </c>
      <c r="G25" s="189"/>
      <c r="H25" s="189"/>
      <c r="I25" s="189"/>
      <c r="J25" s="189"/>
      <c r="K25" s="190">
        <f t="shared" ref="K25:K88" si="3">(0.5*$E$12)</f>
        <v>0.95353068835765398</v>
      </c>
    </row>
    <row r="26" spans="1:20" x14ac:dyDescent="0.2">
      <c r="A26" s="186">
        <v>40238</v>
      </c>
      <c r="B26" s="22">
        <v>9</v>
      </c>
      <c r="C26" s="490">
        <v>9335</v>
      </c>
      <c r="D26" s="189">
        <f t="shared" si="0"/>
        <v>0.96411355115158004</v>
      </c>
      <c r="E26" s="189"/>
      <c r="F26" s="189">
        <f t="shared" si="2"/>
        <v>1.907061376715308</v>
      </c>
      <c r="G26" s="189"/>
      <c r="H26" s="189"/>
      <c r="I26" s="189"/>
      <c r="J26" s="189"/>
      <c r="K26" s="190">
        <f t="shared" si="3"/>
        <v>0.95353068835765398</v>
      </c>
    </row>
    <row r="27" spans="1:20" x14ac:dyDescent="0.2">
      <c r="A27" s="186">
        <v>40269</v>
      </c>
      <c r="B27" s="22">
        <v>17</v>
      </c>
      <c r="C27" s="490">
        <v>8786</v>
      </c>
      <c r="D27" s="189">
        <f t="shared" si="0"/>
        <v>1.9348964261324835</v>
      </c>
      <c r="E27" s="189"/>
      <c r="F27" s="189">
        <f t="shared" si="2"/>
        <v>1.907061376715308</v>
      </c>
      <c r="G27" s="189"/>
      <c r="H27" s="189"/>
      <c r="I27" s="189"/>
      <c r="J27" s="189"/>
      <c r="K27" s="190">
        <f t="shared" si="3"/>
        <v>0.95353068835765398</v>
      </c>
    </row>
    <row r="28" spans="1:20" x14ac:dyDescent="0.2">
      <c r="A28" s="186">
        <v>40299</v>
      </c>
      <c r="B28" s="22">
        <v>27</v>
      </c>
      <c r="C28" s="490">
        <v>9013</v>
      </c>
      <c r="D28" s="189">
        <f t="shared" si="0"/>
        <v>2.995672916897814</v>
      </c>
      <c r="E28" s="189"/>
      <c r="F28" s="189">
        <f t="shared" si="2"/>
        <v>1.907061376715308</v>
      </c>
      <c r="G28" s="189"/>
      <c r="H28" s="189"/>
      <c r="I28" s="189"/>
      <c r="J28" s="189"/>
      <c r="K28" s="190">
        <f t="shared" si="3"/>
        <v>0.95353068835765398</v>
      </c>
    </row>
    <row r="29" spans="1:20" x14ac:dyDescent="0.2">
      <c r="A29" s="186">
        <v>40330</v>
      </c>
      <c r="B29" s="22">
        <v>14</v>
      </c>
      <c r="C29" s="490">
        <v>8895</v>
      </c>
      <c r="D29" s="189">
        <f t="shared" si="0"/>
        <v>1.5739179314221472</v>
      </c>
      <c r="E29" s="189"/>
      <c r="F29" s="189">
        <f t="shared" si="2"/>
        <v>1.907061376715308</v>
      </c>
      <c r="G29" s="189"/>
      <c r="H29" s="189"/>
      <c r="I29" s="189"/>
      <c r="J29" s="189"/>
      <c r="K29" s="190">
        <f t="shared" si="3"/>
        <v>0.95353068835765398</v>
      </c>
    </row>
    <row r="30" spans="1:20" x14ac:dyDescent="0.2">
      <c r="A30" s="186">
        <v>40360</v>
      </c>
      <c r="B30" s="22">
        <v>19</v>
      </c>
      <c r="C30" s="490">
        <v>8865</v>
      </c>
      <c r="D30" s="189">
        <f t="shared" si="0"/>
        <v>2.143260011280316</v>
      </c>
      <c r="E30" s="189"/>
      <c r="F30" s="189">
        <f t="shared" si="2"/>
        <v>1.907061376715308</v>
      </c>
      <c r="G30" s="189"/>
      <c r="H30" s="189"/>
      <c r="I30" s="189"/>
      <c r="J30" s="189"/>
      <c r="K30" s="190">
        <f t="shared" si="3"/>
        <v>0.95353068835765398</v>
      </c>
    </row>
    <row r="31" spans="1:20" x14ac:dyDescent="0.2">
      <c r="A31" s="186">
        <v>40391</v>
      </c>
      <c r="B31" s="22">
        <v>23</v>
      </c>
      <c r="C31" s="490">
        <v>9152</v>
      </c>
      <c r="D31" s="189">
        <f t="shared" si="0"/>
        <v>2.5131118881118879</v>
      </c>
      <c r="E31" s="189"/>
      <c r="F31" s="189">
        <f t="shared" si="2"/>
        <v>1.907061376715308</v>
      </c>
      <c r="G31" s="189"/>
      <c r="H31" s="189"/>
      <c r="I31" s="189"/>
      <c r="J31" s="189"/>
      <c r="K31" s="190">
        <f t="shared" si="3"/>
        <v>0.95353068835765398</v>
      </c>
    </row>
    <row r="32" spans="1:20" x14ac:dyDescent="0.2">
      <c r="A32" s="186">
        <v>40422</v>
      </c>
      <c r="B32" s="22">
        <v>15</v>
      </c>
      <c r="C32" s="490">
        <v>8901</v>
      </c>
      <c r="D32" s="189">
        <f t="shared" si="0"/>
        <v>1.6852039096730704</v>
      </c>
      <c r="E32" s="189"/>
      <c r="F32" s="189">
        <f t="shared" si="2"/>
        <v>1.907061376715308</v>
      </c>
      <c r="G32" s="189"/>
      <c r="H32" s="189"/>
      <c r="I32" s="189"/>
      <c r="J32" s="189"/>
      <c r="K32" s="190">
        <f t="shared" si="3"/>
        <v>0.95353068835765398</v>
      </c>
    </row>
    <row r="33" spans="1:11" x14ac:dyDescent="0.2">
      <c r="A33" s="186">
        <v>40452</v>
      </c>
      <c r="B33" s="22">
        <v>13</v>
      </c>
      <c r="C33" s="490">
        <v>9302</v>
      </c>
      <c r="D33" s="189">
        <f t="shared" si="0"/>
        <v>1.3975489142119972</v>
      </c>
      <c r="E33" s="189"/>
      <c r="F33" s="189">
        <f t="shared" si="2"/>
        <v>1.907061376715308</v>
      </c>
      <c r="G33" s="189"/>
      <c r="H33" s="189"/>
      <c r="I33" s="189"/>
      <c r="J33" s="189"/>
      <c r="K33" s="190">
        <f t="shared" si="3"/>
        <v>0.95353068835765398</v>
      </c>
    </row>
    <row r="34" spans="1:11" x14ac:dyDescent="0.2">
      <c r="A34" s="186">
        <v>40483</v>
      </c>
      <c r="B34" s="22">
        <v>12</v>
      </c>
      <c r="C34" s="490">
        <v>8885</v>
      </c>
      <c r="D34" s="189">
        <f t="shared" si="0"/>
        <v>1.3505908835115363</v>
      </c>
      <c r="E34" s="189"/>
      <c r="F34" s="189">
        <f t="shared" si="2"/>
        <v>1.907061376715308</v>
      </c>
      <c r="G34" s="189"/>
      <c r="H34" s="189"/>
      <c r="I34" s="189"/>
      <c r="J34" s="189"/>
      <c r="K34" s="190">
        <f t="shared" si="3"/>
        <v>0.95353068835765398</v>
      </c>
    </row>
    <row r="35" spans="1:11" x14ac:dyDescent="0.2">
      <c r="A35" s="186">
        <v>40513</v>
      </c>
      <c r="B35" s="22">
        <v>15</v>
      </c>
      <c r="C35" s="490">
        <v>8743</v>
      </c>
      <c r="D35" s="189">
        <f t="shared" si="0"/>
        <v>1.7156582408784169</v>
      </c>
      <c r="E35" s="189"/>
      <c r="F35" s="189">
        <f t="shared" si="2"/>
        <v>1.907061376715308</v>
      </c>
      <c r="G35" s="189"/>
      <c r="H35" s="189"/>
      <c r="I35" s="189"/>
      <c r="J35" s="189"/>
      <c r="K35" s="190">
        <f t="shared" si="3"/>
        <v>0.95353068835765398</v>
      </c>
    </row>
    <row r="36" spans="1:11" x14ac:dyDescent="0.2">
      <c r="A36" s="186">
        <v>40544</v>
      </c>
      <c r="B36" s="194">
        <v>13</v>
      </c>
      <c r="C36" s="491">
        <v>8965</v>
      </c>
      <c r="D36" s="189">
        <f t="shared" si="0"/>
        <v>1.4500836586726158</v>
      </c>
      <c r="E36" s="189"/>
      <c r="F36" s="189">
        <f t="shared" si="2"/>
        <v>1.907061376715308</v>
      </c>
      <c r="G36" s="189"/>
      <c r="H36" s="189"/>
      <c r="I36" s="189"/>
      <c r="J36" s="189"/>
      <c r="K36" s="190">
        <f t="shared" si="3"/>
        <v>0.95353068835765398</v>
      </c>
    </row>
    <row r="37" spans="1:11" x14ac:dyDescent="0.2">
      <c r="A37" s="186">
        <v>40575</v>
      </c>
      <c r="B37" s="194">
        <v>13</v>
      </c>
      <c r="C37" s="491">
        <v>8671</v>
      </c>
      <c r="D37" s="189">
        <f t="shared" si="0"/>
        <v>1.4992503748125936</v>
      </c>
      <c r="E37" s="189"/>
      <c r="F37" s="189">
        <f t="shared" si="2"/>
        <v>1.907061376715308</v>
      </c>
      <c r="G37" s="189"/>
      <c r="H37" s="189"/>
      <c r="I37" s="189"/>
      <c r="J37" s="189"/>
      <c r="K37" s="190">
        <f t="shared" si="3"/>
        <v>0.95353068835765398</v>
      </c>
    </row>
    <row r="38" spans="1:11" x14ac:dyDescent="0.2">
      <c r="A38" s="186">
        <v>40603</v>
      </c>
      <c r="B38" s="194">
        <v>16</v>
      </c>
      <c r="C38" s="491">
        <v>9634</v>
      </c>
      <c r="D38" s="189">
        <f t="shared" si="0"/>
        <v>1.6607847207805688</v>
      </c>
      <c r="E38" s="189"/>
      <c r="F38" s="189">
        <f t="shared" si="2"/>
        <v>1.907061376715308</v>
      </c>
      <c r="G38" s="189"/>
      <c r="H38" s="189"/>
      <c r="I38" s="189"/>
      <c r="J38" s="189"/>
      <c r="K38" s="190">
        <f t="shared" si="3"/>
        <v>0.95353068835765398</v>
      </c>
    </row>
    <row r="39" spans="1:11" x14ac:dyDescent="0.2">
      <c r="A39" s="186">
        <v>40634</v>
      </c>
      <c r="B39" s="194">
        <v>13</v>
      </c>
      <c r="C39" s="491">
        <v>8997</v>
      </c>
      <c r="D39" s="189">
        <f t="shared" si="0"/>
        <v>1.4449260864732689</v>
      </c>
      <c r="E39" s="189"/>
      <c r="F39" s="189">
        <f t="shared" si="2"/>
        <v>1.907061376715308</v>
      </c>
      <c r="G39" s="189"/>
      <c r="H39" s="189"/>
      <c r="I39" s="189"/>
      <c r="J39" s="189"/>
      <c r="K39" s="190">
        <f t="shared" si="3"/>
        <v>0.95353068835765398</v>
      </c>
    </row>
    <row r="40" spans="1:11" x14ac:dyDescent="0.2">
      <c r="A40" s="186">
        <v>40664</v>
      </c>
      <c r="B40" s="194">
        <v>22</v>
      </c>
      <c r="C40" s="491">
        <v>9253</v>
      </c>
      <c r="D40" s="189">
        <f t="shared" si="0"/>
        <v>2.3776072625094562</v>
      </c>
      <c r="E40" s="189"/>
      <c r="F40" s="189">
        <f t="shared" si="2"/>
        <v>1.907061376715308</v>
      </c>
      <c r="G40" s="189"/>
      <c r="H40" s="189"/>
      <c r="I40" s="189"/>
      <c r="J40" s="189"/>
      <c r="K40" s="190">
        <f t="shared" si="3"/>
        <v>0.95353068835765398</v>
      </c>
    </row>
    <row r="41" spans="1:11" x14ac:dyDescent="0.2">
      <c r="A41" s="186">
        <v>40695</v>
      </c>
      <c r="B41" s="194">
        <v>16</v>
      </c>
      <c r="C41" s="491">
        <v>9171</v>
      </c>
      <c r="D41" s="189">
        <f t="shared" si="0"/>
        <v>1.7446298113619017</v>
      </c>
      <c r="E41" s="189"/>
      <c r="F41" s="189">
        <f t="shared" si="2"/>
        <v>1.907061376715308</v>
      </c>
      <c r="G41" s="189"/>
      <c r="H41" s="189"/>
      <c r="I41" s="189"/>
      <c r="J41" s="189"/>
      <c r="K41" s="190">
        <f t="shared" si="3"/>
        <v>0.95353068835765398</v>
      </c>
    </row>
    <row r="42" spans="1:11" x14ac:dyDescent="0.2">
      <c r="A42" s="186">
        <v>40725</v>
      </c>
      <c r="B42" s="194">
        <v>7</v>
      </c>
      <c r="C42" s="491">
        <v>8965</v>
      </c>
      <c r="D42" s="189">
        <f t="shared" si="0"/>
        <v>0.78081427774679313</v>
      </c>
      <c r="E42" s="189"/>
      <c r="F42" s="189">
        <f t="shared" si="2"/>
        <v>1.907061376715308</v>
      </c>
      <c r="G42" s="189"/>
      <c r="H42" s="189"/>
      <c r="I42" s="189"/>
      <c r="J42" s="189"/>
      <c r="K42" s="190">
        <f t="shared" si="3"/>
        <v>0.95353068835765398</v>
      </c>
    </row>
    <row r="43" spans="1:11" x14ac:dyDescent="0.2">
      <c r="A43" s="186">
        <v>40756</v>
      </c>
      <c r="B43" s="194">
        <v>20</v>
      </c>
      <c r="C43" s="491">
        <v>9248</v>
      </c>
      <c r="D43" s="189">
        <f t="shared" si="0"/>
        <v>2.1626297577854672</v>
      </c>
      <c r="E43" s="189"/>
      <c r="F43" s="189">
        <f t="shared" si="2"/>
        <v>1.907061376715308</v>
      </c>
      <c r="G43" s="189"/>
      <c r="H43" s="189"/>
      <c r="I43" s="189"/>
      <c r="J43" s="189"/>
      <c r="K43" s="190">
        <f t="shared" si="3"/>
        <v>0.95353068835765398</v>
      </c>
    </row>
    <row r="44" spans="1:11" x14ac:dyDescent="0.2">
      <c r="A44" s="186">
        <v>40787</v>
      </c>
      <c r="B44" s="194">
        <v>15</v>
      </c>
      <c r="C44" s="491">
        <v>9139</v>
      </c>
      <c r="D44" s="189">
        <f t="shared" si="0"/>
        <v>1.6413174307911149</v>
      </c>
      <c r="E44" s="189"/>
      <c r="F44" s="189">
        <f t="shared" si="2"/>
        <v>1.907061376715308</v>
      </c>
      <c r="G44" s="189"/>
      <c r="H44" s="189"/>
      <c r="I44" s="189"/>
      <c r="J44" s="189"/>
      <c r="K44" s="190">
        <f t="shared" si="3"/>
        <v>0.95353068835765398</v>
      </c>
    </row>
    <row r="45" spans="1:11" x14ac:dyDescent="0.2">
      <c r="A45" s="186">
        <v>40817</v>
      </c>
      <c r="B45" s="194">
        <v>15</v>
      </c>
      <c r="C45" s="491">
        <v>9272</v>
      </c>
      <c r="D45" s="189">
        <f t="shared" si="0"/>
        <v>1.6177739430543572</v>
      </c>
      <c r="E45" s="189"/>
      <c r="F45" s="189">
        <f t="shared" si="2"/>
        <v>1.907061376715308</v>
      </c>
      <c r="G45" s="189"/>
      <c r="H45" s="189"/>
      <c r="I45" s="189"/>
      <c r="J45" s="189"/>
      <c r="K45" s="190">
        <f t="shared" si="3"/>
        <v>0.95353068835765398</v>
      </c>
    </row>
    <row r="46" spans="1:11" x14ac:dyDescent="0.2">
      <c r="A46" s="186">
        <v>40848</v>
      </c>
      <c r="B46" s="194">
        <v>7</v>
      </c>
      <c r="C46" s="491">
        <v>9306</v>
      </c>
      <c r="D46" s="189">
        <f t="shared" si="0"/>
        <v>0.75220287986245438</v>
      </c>
      <c r="E46" s="189"/>
      <c r="F46" s="189">
        <f t="shared" si="2"/>
        <v>1.907061376715308</v>
      </c>
      <c r="G46" s="189"/>
      <c r="H46" s="189"/>
      <c r="I46" s="189"/>
      <c r="J46" s="189"/>
      <c r="K46" s="190">
        <f t="shared" si="3"/>
        <v>0.95353068835765398</v>
      </c>
    </row>
    <row r="47" spans="1:11" x14ac:dyDescent="0.2">
      <c r="A47" s="186">
        <v>40878</v>
      </c>
      <c r="B47" s="194">
        <v>20</v>
      </c>
      <c r="C47" s="491">
        <v>9240</v>
      </c>
      <c r="D47" s="189">
        <f t="shared" si="0"/>
        <v>2.1645021645021645</v>
      </c>
      <c r="E47" s="189"/>
      <c r="F47" s="189">
        <f t="shared" si="2"/>
        <v>1.907061376715308</v>
      </c>
      <c r="G47" s="189"/>
      <c r="H47" s="189"/>
      <c r="I47" s="189"/>
      <c r="J47" s="189"/>
      <c r="K47" s="190">
        <f t="shared" si="3"/>
        <v>0.95353068835765398</v>
      </c>
    </row>
    <row r="48" spans="1:11" x14ac:dyDescent="0.2">
      <c r="A48" s="186">
        <v>40909</v>
      </c>
      <c r="B48" s="194">
        <v>10</v>
      </c>
      <c r="C48" s="491">
        <v>8915</v>
      </c>
      <c r="D48" s="189">
        <f t="shared" si="0"/>
        <v>1.1217049915872126</v>
      </c>
      <c r="E48" s="189"/>
      <c r="F48" s="189">
        <f t="shared" si="2"/>
        <v>1.907061376715308</v>
      </c>
      <c r="G48" s="189"/>
      <c r="H48" s="189"/>
      <c r="I48" s="189"/>
      <c r="J48" s="189"/>
      <c r="K48" s="190">
        <f t="shared" si="3"/>
        <v>0.95353068835765398</v>
      </c>
    </row>
    <row r="49" spans="1:14" x14ac:dyDescent="0.2">
      <c r="A49" s="186">
        <v>40940</v>
      </c>
      <c r="B49" s="194">
        <v>18</v>
      </c>
      <c r="C49" s="491">
        <v>8722</v>
      </c>
      <c r="D49" s="189">
        <f t="shared" si="0"/>
        <v>2.0637468470534284</v>
      </c>
      <c r="E49" s="189"/>
      <c r="F49" s="189">
        <f t="shared" si="2"/>
        <v>1.907061376715308</v>
      </c>
      <c r="G49" s="189"/>
      <c r="H49" s="189"/>
      <c r="I49" s="189"/>
      <c r="J49" s="189"/>
      <c r="K49" s="190">
        <f t="shared" si="3"/>
        <v>0.95353068835765398</v>
      </c>
    </row>
    <row r="50" spans="1:14" x14ac:dyDescent="0.2">
      <c r="A50" s="186">
        <v>40969</v>
      </c>
      <c r="B50" s="194">
        <v>11</v>
      </c>
      <c r="C50" s="491">
        <v>9506</v>
      </c>
      <c r="D50" s="189">
        <f t="shared" si="0"/>
        <v>1.1571638964864297</v>
      </c>
      <c r="E50" s="189"/>
      <c r="F50" s="189">
        <f t="shared" si="2"/>
        <v>1.907061376715308</v>
      </c>
      <c r="G50" s="189"/>
      <c r="H50" s="189"/>
      <c r="I50" s="189"/>
      <c r="J50" s="189"/>
      <c r="K50" s="190">
        <f t="shared" si="3"/>
        <v>0.95353068835765398</v>
      </c>
    </row>
    <row r="51" spans="1:14" x14ac:dyDescent="0.2">
      <c r="A51" s="186">
        <v>41000</v>
      </c>
      <c r="B51" s="194">
        <v>12</v>
      </c>
      <c r="C51" s="491">
        <v>8618</v>
      </c>
      <c r="D51" s="189">
        <f t="shared" si="0"/>
        <v>1.392434439545138</v>
      </c>
      <c r="E51" s="189"/>
      <c r="F51" s="189">
        <f t="shared" si="2"/>
        <v>1.907061376715308</v>
      </c>
      <c r="G51" s="189"/>
      <c r="H51" s="189"/>
      <c r="I51" s="189"/>
      <c r="J51" s="189"/>
      <c r="K51" s="190">
        <f t="shared" si="3"/>
        <v>0.95353068835765398</v>
      </c>
    </row>
    <row r="52" spans="1:14" x14ac:dyDescent="0.2">
      <c r="A52" s="186">
        <v>41030</v>
      </c>
      <c r="B52" s="194">
        <v>11</v>
      </c>
      <c r="C52" s="491">
        <v>9463</v>
      </c>
      <c r="D52" s="189">
        <f t="shared" si="0"/>
        <v>1.162422064884286</v>
      </c>
      <c r="E52" s="189"/>
      <c r="F52" s="189">
        <f t="shared" si="2"/>
        <v>1.907061376715308</v>
      </c>
      <c r="G52" s="189"/>
      <c r="H52" s="189"/>
      <c r="I52" s="189"/>
      <c r="J52" s="189"/>
      <c r="K52" s="190">
        <f t="shared" si="3"/>
        <v>0.95353068835765398</v>
      </c>
    </row>
    <row r="53" spans="1:14" x14ac:dyDescent="0.2">
      <c r="A53" s="186">
        <v>41061</v>
      </c>
      <c r="B53" s="194">
        <v>16</v>
      </c>
      <c r="C53" s="491">
        <v>9236</v>
      </c>
      <c r="D53" s="189">
        <f t="shared" si="0"/>
        <v>1.7323516673884798</v>
      </c>
      <c r="E53" s="189"/>
      <c r="F53" s="189">
        <f t="shared" si="2"/>
        <v>1.907061376715308</v>
      </c>
      <c r="G53" s="189"/>
      <c r="H53" s="189"/>
      <c r="I53" s="189"/>
      <c r="J53" s="189"/>
      <c r="K53" s="190">
        <f t="shared" si="3"/>
        <v>0.95353068835765398</v>
      </c>
    </row>
    <row r="54" spans="1:14" x14ac:dyDescent="0.2">
      <c r="A54" s="186">
        <v>41091</v>
      </c>
      <c r="B54" s="194">
        <v>16</v>
      </c>
      <c r="C54" s="491">
        <v>9219</v>
      </c>
      <c r="D54" s="189">
        <f t="shared" si="0"/>
        <v>1.7355461546805511</v>
      </c>
      <c r="E54" s="189"/>
      <c r="F54" s="189">
        <f t="shared" si="2"/>
        <v>1.907061376715308</v>
      </c>
      <c r="G54" s="189"/>
      <c r="H54" s="189"/>
      <c r="I54" s="189"/>
      <c r="J54" s="189"/>
      <c r="K54" s="190">
        <f t="shared" si="3"/>
        <v>0.95353068835765398</v>
      </c>
    </row>
    <row r="55" spans="1:14" x14ac:dyDescent="0.2">
      <c r="A55" s="186">
        <v>41122</v>
      </c>
      <c r="B55" s="194">
        <v>11</v>
      </c>
      <c r="C55" s="491">
        <v>9565</v>
      </c>
      <c r="D55" s="189">
        <f t="shared" si="0"/>
        <v>1.1500261369576581</v>
      </c>
      <c r="E55" s="189"/>
      <c r="F55" s="189">
        <f t="shared" si="2"/>
        <v>1.907061376715308</v>
      </c>
      <c r="G55" s="189"/>
      <c r="H55" s="189"/>
      <c r="I55" s="189"/>
      <c r="J55" s="189"/>
      <c r="K55" s="190">
        <f t="shared" si="3"/>
        <v>0.95353068835765398</v>
      </c>
    </row>
    <row r="56" spans="1:14" x14ac:dyDescent="0.2">
      <c r="A56" s="186">
        <v>41153</v>
      </c>
      <c r="B56" s="194">
        <v>7</v>
      </c>
      <c r="C56" s="491">
        <v>9052</v>
      </c>
      <c r="D56" s="189">
        <f t="shared" si="0"/>
        <v>0.77330976579761379</v>
      </c>
      <c r="E56" s="189"/>
      <c r="F56" s="189">
        <f t="shared" si="2"/>
        <v>1.907061376715308</v>
      </c>
      <c r="G56" s="189"/>
      <c r="H56" s="189"/>
      <c r="I56" s="189"/>
      <c r="J56" s="189"/>
      <c r="K56" s="190">
        <f t="shared" si="3"/>
        <v>0.95353068835765398</v>
      </c>
    </row>
    <row r="57" spans="1:14" x14ac:dyDescent="0.2">
      <c r="A57" s="186">
        <v>41183</v>
      </c>
      <c r="B57" s="194">
        <v>11</v>
      </c>
      <c r="C57" s="491">
        <v>9797</v>
      </c>
      <c r="D57" s="189">
        <f t="shared" si="0"/>
        <v>1.1227926916402979</v>
      </c>
      <c r="E57" s="189"/>
      <c r="F57" s="189">
        <f t="shared" si="2"/>
        <v>1.907061376715308</v>
      </c>
      <c r="G57" s="189"/>
      <c r="H57" s="189"/>
      <c r="I57" s="189"/>
      <c r="J57" s="189"/>
      <c r="K57" s="190">
        <f t="shared" si="3"/>
        <v>0.95353068835765398</v>
      </c>
    </row>
    <row r="58" spans="1:14" x14ac:dyDescent="0.2">
      <c r="A58" s="186">
        <v>41214</v>
      </c>
      <c r="B58" s="194">
        <v>20</v>
      </c>
      <c r="C58" s="491">
        <v>9404</v>
      </c>
      <c r="D58" s="189">
        <f t="shared" si="0"/>
        <v>2.1267545725223309</v>
      </c>
      <c r="E58" s="189"/>
      <c r="F58" s="189">
        <f t="shared" si="2"/>
        <v>1.907061376715308</v>
      </c>
      <c r="G58" s="189"/>
      <c r="H58" s="189"/>
      <c r="I58" s="189"/>
      <c r="J58" s="189"/>
      <c r="K58" s="190">
        <f t="shared" si="3"/>
        <v>0.95353068835765398</v>
      </c>
    </row>
    <row r="59" spans="1:14" x14ac:dyDescent="0.2">
      <c r="A59" s="186">
        <v>41244</v>
      </c>
      <c r="B59" s="194">
        <v>22</v>
      </c>
      <c r="C59" s="491">
        <v>9270</v>
      </c>
      <c r="D59" s="189">
        <f t="shared" si="0"/>
        <v>2.3732470334412081</v>
      </c>
      <c r="E59" s="189"/>
      <c r="F59" s="189">
        <f t="shared" si="2"/>
        <v>1.907061376715308</v>
      </c>
      <c r="G59" s="189"/>
      <c r="H59" s="189"/>
      <c r="I59" s="189"/>
      <c r="J59" s="189"/>
      <c r="K59" s="190">
        <f t="shared" si="3"/>
        <v>0.95353068835765398</v>
      </c>
    </row>
    <row r="60" spans="1:14" x14ac:dyDescent="0.2">
      <c r="A60" s="186">
        <v>41275</v>
      </c>
      <c r="B60" s="194">
        <v>17</v>
      </c>
      <c r="C60" s="491">
        <v>9314</v>
      </c>
      <c r="D60" s="189">
        <f t="shared" si="0"/>
        <v>1.8252093622503758</v>
      </c>
      <c r="E60" s="189"/>
      <c r="F60" s="189"/>
      <c r="G60" s="189">
        <f>MEDIAN($D$60:$D$71)</f>
        <v>1.5818746277819389</v>
      </c>
      <c r="H60" s="189"/>
      <c r="I60" s="189"/>
      <c r="J60" s="189"/>
      <c r="K60" s="190">
        <f t="shared" si="3"/>
        <v>0.95353068835765398</v>
      </c>
    </row>
    <row r="61" spans="1:14" x14ac:dyDescent="0.2">
      <c r="A61" s="186">
        <v>41306</v>
      </c>
      <c r="B61" s="194">
        <v>14</v>
      </c>
      <c r="C61" s="491">
        <v>8614</v>
      </c>
      <c r="D61" s="189">
        <f t="shared" si="0"/>
        <v>1.62526120269329</v>
      </c>
      <c r="E61" s="189"/>
      <c r="F61" s="189"/>
      <c r="G61" s="189">
        <f t="shared" ref="G61:G70" si="4">MEDIAN($D$60:$D$71)</f>
        <v>1.5818746277819389</v>
      </c>
      <c r="H61" s="189"/>
      <c r="I61" s="189"/>
      <c r="J61" s="189"/>
      <c r="K61" s="190">
        <f t="shared" si="3"/>
        <v>0.95353068835765398</v>
      </c>
      <c r="N61" s="195"/>
    </row>
    <row r="62" spans="1:14" x14ac:dyDescent="0.2">
      <c r="A62" s="186">
        <v>41334</v>
      </c>
      <c r="B62" s="194">
        <v>17</v>
      </c>
      <c r="C62" s="491">
        <v>9231</v>
      </c>
      <c r="D62" s="189">
        <f t="shared" si="0"/>
        <v>1.8416206261510129</v>
      </c>
      <c r="E62" s="189"/>
      <c r="F62" s="189"/>
      <c r="G62" s="189">
        <f t="shared" si="4"/>
        <v>1.5818746277819389</v>
      </c>
      <c r="H62" s="189"/>
      <c r="I62" s="189"/>
      <c r="J62" s="189"/>
      <c r="K62" s="190">
        <f t="shared" si="3"/>
        <v>0.95353068835765398</v>
      </c>
    </row>
    <row r="63" spans="1:14" x14ac:dyDescent="0.2">
      <c r="A63" s="186">
        <v>41365</v>
      </c>
      <c r="B63" s="194">
        <v>13</v>
      </c>
      <c r="C63" s="491">
        <v>9041</v>
      </c>
      <c r="D63" s="189">
        <f t="shared" si="0"/>
        <v>1.4378940382701029</v>
      </c>
      <c r="E63" s="189"/>
      <c r="F63" s="189"/>
      <c r="G63" s="189">
        <f t="shared" si="4"/>
        <v>1.5818746277819389</v>
      </c>
      <c r="H63" s="189"/>
      <c r="I63" s="189"/>
      <c r="J63" s="189"/>
      <c r="K63" s="190">
        <f t="shared" si="3"/>
        <v>0.95353068835765398</v>
      </c>
    </row>
    <row r="64" spans="1:14" x14ac:dyDescent="0.2">
      <c r="A64" s="186">
        <v>41395</v>
      </c>
      <c r="B64" s="194">
        <v>13</v>
      </c>
      <c r="C64" s="491">
        <v>9655</v>
      </c>
      <c r="D64" s="189">
        <f t="shared" si="0"/>
        <v>1.3464526152252718</v>
      </c>
      <c r="E64" s="189"/>
      <c r="F64" s="189"/>
      <c r="G64" s="189">
        <f t="shared" si="4"/>
        <v>1.5818746277819389</v>
      </c>
      <c r="H64" s="189"/>
      <c r="I64" s="189"/>
      <c r="J64" s="189"/>
      <c r="K64" s="190">
        <f t="shared" si="3"/>
        <v>0.95353068835765398</v>
      </c>
    </row>
    <row r="65" spans="1:11" x14ac:dyDescent="0.2">
      <c r="A65" s="186">
        <v>41426</v>
      </c>
      <c r="B65" s="194">
        <v>10</v>
      </c>
      <c r="C65" s="491">
        <v>9274</v>
      </c>
      <c r="D65" s="189">
        <f t="shared" si="0"/>
        <v>1.0782833728703904</v>
      </c>
      <c r="E65" s="189"/>
      <c r="F65" s="189"/>
      <c r="G65" s="189">
        <f t="shared" si="4"/>
        <v>1.5818746277819389</v>
      </c>
      <c r="H65" s="189"/>
      <c r="I65" s="189"/>
      <c r="J65" s="189"/>
      <c r="K65" s="190">
        <f t="shared" si="3"/>
        <v>0.95353068835765398</v>
      </c>
    </row>
    <row r="66" spans="1:11" x14ac:dyDescent="0.2">
      <c r="A66" s="186">
        <v>41456</v>
      </c>
      <c r="B66" s="194">
        <v>15</v>
      </c>
      <c r="C66" s="491">
        <v>9455</v>
      </c>
      <c r="D66" s="189">
        <f t="shared" si="0"/>
        <v>1.5864621893178212</v>
      </c>
      <c r="E66" s="189"/>
      <c r="F66" s="189"/>
      <c r="G66" s="189">
        <f t="shared" si="4"/>
        <v>1.5818746277819389</v>
      </c>
      <c r="H66" s="189"/>
      <c r="I66" s="189"/>
      <c r="J66" s="189"/>
      <c r="K66" s="190">
        <f t="shared" si="3"/>
        <v>0.95353068835765398</v>
      </c>
    </row>
    <row r="67" spans="1:11" x14ac:dyDescent="0.2">
      <c r="A67" s="186">
        <v>41487</v>
      </c>
      <c r="B67" s="194">
        <v>14</v>
      </c>
      <c r="C67" s="491">
        <v>9533</v>
      </c>
      <c r="D67" s="189">
        <f t="shared" si="0"/>
        <v>1.4685828175810343</v>
      </c>
      <c r="E67" s="189"/>
      <c r="F67" s="189"/>
      <c r="G67" s="189">
        <f t="shared" si="4"/>
        <v>1.5818746277819389</v>
      </c>
      <c r="H67" s="189"/>
      <c r="I67" s="189"/>
      <c r="J67" s="189"/>
      <c r="K67" s="190">
        <f t="shared" si="3"/>
        <v>0.95353068835765398</v>
      </c>
    </row>
    <row r="68" spans="1:11" x14ac:dyDescent="0.2">
      <c r="A68" s="186">
        <v>41518</v>
      </c>
      <c r="B68" s="194">
        <v>12</v>
      </c>
      <c r="C68" s="491">
        <v>8912</v>
      </c>
      <c r="D68" s="189">
        <f t="shared" si="0"/>
        <v>1.3464991023339319</v>
      </c>
      <c r="E68" s="189"/>
      <c r="F68" s="189"/>
      <c r="G68" s="189">
        <f t="shared" si="4"/>
        <v>1.5818746277819389</v>
      </c>
      <c r="H68" s="189"/>
      <c r="I68" s="189"/>
      <c r="J68" s="189"/>
      <c r="K68" s="190">
        <f t="shared" si="3"/>
        <v>0.95353068835765398</v>
      </c>
    </row>
    <row r="69" spans="1:11" x14ac:dyDescent="0.2">
      <c r="A69" s="186">
        <v>41548</v>
      </c>
      <c r="B69" s="194">
        <v>15</v>
      </c>
      <c r="C69" s="491">
        <v>9510</v>
      </c>
      <c r="D69" s="189">
        <f t="shared" si="0"/>
        <v>1.5772870662460567</v>
      </c>
      <c r="E69" s="189"/>
      <c r="F69" s="189"/>
      <c r="G69" s="189">
        <f t="shared" si="4"/>
        <v>1.5818746277819389</v>
      </c>
      <c r="H69" s="189"/>
      <c r="I69" s="189"/>
      <c r="J69" s="189"/>
      <c r="K69" s="190">
        <f t="shared" si="3"/>
        <v>0.95353068835765398</v>
      </c>
    </row>
    <row r="70" spans="1:11" x14ac:dyDescent="0.2">
      <c r="A70" s="186">
        <v>41579</v>
      </c>
      <c r="B70" s="194">
        <v>15</v>
      </c>
      <c r="C70" s="491">
        <v>9239</v>
      </c>
      <c r="D70" s="189">
        <f t="shared" si="0"/>
        <v>1.6235523325035177</v>
      </c>
      <c r="E70" s="189"/>
      <c r="F70" s="190"/>
      <c r="G70" s="189">
        <f t="shared" si="4"/>
        <v>1.5818746277819389</v>
      </c>
      <c r="H70" s="189"/>
      <c r="I70" s="189"/>
      <c r="J70" s="189"/>
      <c r="K70" s="190">
        <f t="shared" si="3"/>
        <v>0.95353068835765398</v>
      </c>
    </row>
    <row r="71" spans="1:11" x14ac:dyDescent="0.2">
      <c r="A71" s="186">
        <v>41609</v>
      </c>
      <c r="B71" s="194">
        <v>19</v>
      </c>
      <c r="C71" s="491">
        <v>9366</v>
      </c>
      <c r="D71" s="189">
        <f t="shared" si="0"/>
        <v>2.0286141362374548</v>
      </c>
      <c r="E71" s="189"/>
      <c r="F71" s="190"/>
      <c r="G71" s="189">
        <f>MEDIAN($D$60:$D$71)</f>
        <v>1.5818746277819389</v>
      </c>
      <c r="H71" s="189"/>
      <c r="I71" s="189"/>
      <c r="J71" s="189"/>
      <c r="K71" s="190">
        <f t="shared" si="3"/>
        <v>0.95353068835765398</v>
      </c>
    </row>
    <row r="72" spans="1:11" x14ac:dyDescent="0.2">
      <c r="A72" s="186">
        <v>41640</v>
      </c>
      <c r="B72" s="194">
        <v>23</v>
      </c>
      <c r="C72" s="491">
        <v>9547</v>
      </c>
      <c r="D72" s="189">
        <f t="shared" si="0"/>
        <v>2.4091337592961137</v>
      </c>
      <c r="E72" s="189"/>
      <c r="F72" s="190"/>
      <c r="G72" s="196"/>
      <c r="H72" s="189">
        <f>MEDIAN($D$60:$D$71)</f>
        <v>1.5818746277819389</v>
      </c>
      <c r="I72" s="189"/>
      <c r="J72" s="189"/>
      <c r="K72" s="190">
        <f t="shared" si="3"/>
        <v>0.95353068835765398</v>
      </c>
    </row>
    <row r="73" spans="1:11" x14ac:dyDescent="0.2">
      <c r="A73" s="186">
        <v>41671</v>
      </c>
      <c r="B73" s="194">
        <v>15</v>
      </c>
      <c r="C73" s="491">
        <v>9034</v>
      </c>
      <c r="D73" s="189">
        <f t="shared" si="0"/>
        <v>1.6603940668585344</v>
      </c>
      <c r="E73" s="189"/>
      <c r="F73" s="190"/>
      <c r="G73" s="189"/>
      <c r="H73" s="189">
        <f t="shared" ref="H73:H100" si="5">MEDIAN($D$60:$D$71)</f>
        <v>1.5818746277819389</v>
      </c>
      <c r="I73" s="189"/>
      <c r="J73" s="189"/>
      <c r="K73" s="190">
        <f t="shared" si="3"/>
        <v>0.95353068835765398</v>
      </c>
    </row>
    <row r="74" spans="1:11" x14ac:dyDescent="0.2">
      <c r="A74" s="186">
        <v>41699</v>
      </c>
      <c r="B74" s="194">
        <v>16</v>
      </c>
      <c r="C74" s="491">
        <v>9771</v>
      </c>
      <c r="D74" s="189">
        <f t="shared" si="0"/>
        <v>1.6374987207041245</v>
      </c>
      <c r="E74" s="189"/>
      <c r="F74" s="190"/>
      <c r="G74" s="189"/>
      <c r="H74" s="189">
        <f t="shared" si="5"/>
        <v>1.5818746277819389</v>
      </c>
      <c r="I74" s="189"/>
      <c r="J74" s="189"/>
      <c r="K74" s="190">
        <f t="shared" si="3"/>
        <v>0.95353068835765398</v>
      </c>
    </row>
    <row r="75" spans="1:11" x14ac:dyDescent="0.2">
      <c r="A75" s="186">
        <v>41730</v>
      </c>
      <c r="B75" s="194">
        <v>17</v>
      </c>
      <c r="C75" s="491">
        <v>9546</v>
      </c>
      <c r="D75" s="189">
        <f t="shared" si="0"/>
        <v>1.7808506180599204</v>
      </c>
      <c r="E75" s="189"/>
      <c r="F75" s="190"/>
      <c r="G75" s="189"/>
      <c r="H75" s="189">
        <f t="shared" si="5"/>
        <v>1.5818746277819389</v>
      </c>
      <c r="I75" s="189"/>
      <c r="J75" s="189"/>
      <c r="K75" s="190">
        <f t="shared" si="3"/>
        <v>0.95353068835765398</v>
      </c>
    </row>
    <row r="76" spans="1:11" x14ac:dyDescent="0.2">
      <c r="A76" s="186">
        <v>41760</v>
      </c>
      <c r="B76" s="194">
        <v>9</v>
      </c>
      <c r="C76" s="491">
        <v>10425</v>
      </c>
      <c r="D76" s="189">
        <f t="shared" ref="D76:D115" si="6">IF(B76="",#N/A,B76/C76*1000)</f>
        <v>0.86330935251798568</v>
      </c>
      <c r="E76" s="189"/>
      <c r="F76" s="190"/>
      <c r="G76" s="189"/>
      <c r="H76" s="189">
        <f t="shared" si="5"/>
        <v>1.5818746277819389</v>
      </c>
      <c r="I76" s="189"/>
      <c r="J76" s="189"/>
      <c r="K76" s="190">
        <f t="shared" si="3"/>
        <v>0.95353068835765398</v>
      </c>
    </row>
    <row r="77" spans="1:11" x14ac:dyDescent="0.2">
      <c r="A77" s="186">
        <v>41791</v>
      </c>
      <c r="B77" s="194">
        <v>16</v>
      </c>
      <c r="C77" s="491">
        <v>9924</v>
      </c>
      <c r="D77" s="189">
        <f t="shared" si="6"/>
        <v>1.6122531237404274</v>
      </c>
      <c r="E77" s="189"/>
      <c r="F77" s="190"/>
      <c r="G77" s="189"/>
      <c r="H77" s="189">
        <f t="shared" si="5"/>
        <v>1.5818746277819389</v>
      </c>
      <c r="I77" s="189"/>
      <c r="J77" s="189"/>
      <c r="K77" s="190">
        <f t="shared" si="3"/>
        <v>0.95353068835765398</v>
      </c>
    </row>
    <row r="78" spans="1:11" x14ac:dyDescent="0.2">
      <c r="A78" s="186">
        <v>41821</v>
      </c>
      <c r="B78" s="194">
        <v>11</v>
      </c>
      <c r="C78" s="491">
        <v>9996</v>
      </c>
      <c r="D78" s="189">
        <f t="shared" si="6"/>
        <v>1.1004401760704283</v>
      </c>
      <c r="E78" s="189"/>
      <c r="F78" s="190"/>
      <c r="G78" s="189"/>
      <c r="H78" s="189">
        <f t="shared" si="5"/>
        <v>1.5818746277819389</v>
      </c>
      <c r="I78" s="189"/>
      <c r="J78" s="189"/>
      <c r="K78" s="190">
        <f t="shared" si="3"/>
        <v>0.95353068835765398</v>
      </c>
    </row>
    <row r="79" spans="1:11" x14ac:dyDescent="0.2">
      <c r="A79" s="186">
        <v>41852</v>
      </c>
      <c r="B79" s="194">
        <v>17</v>
      </c>
      <c r="C79" s="491">
        <v>9896</v>
      </c>
      <c r="D79" s="189">
        <f t="shared" si="6"/>
        <v>1.7178658043654</v>
      </c>
      <c r="E79" s="189"/>
      <c r="F79" s="190"/>
      <c r="G79" s="189"/>
      <c r="H79" s="189">
        <f t="shared" si="5"/>
        <v>1.5818746277819389</v>
      </c>
      <c r="I79" s="189"/>
      <c r="J79" s="189"/>
      <c r="K79" s="190">
        <f t="shared" si="3"/>
        <v>0.95353068835765398</v>
      </c>
    </row>
    <row r="80" spans="1:11" x14ac:dyDescent="0.2">
      <c r="A80" s="186">
        <v>41883</v>
      </c>
      <c r="B80" s="194">
        <v>18</v>
      </c>
      <c r="C80" s="491">
        <v>9802</v>
      </c>
      <c r="D80" s="189">
        <f t="shared" si="6"/>
        <v>1.836359926545603</v>
      </c>
      <c r="E80" s="189"/>
      <c r="F80" s="190"/>
      <c r="G80" s="189"/>
      <c r="H80" s="189">
        <f t="shared" si="5"/>
        <v>1.5818746277819389</v>
      </c>
      <c r="I80" s="189"/>
      <c r="J80" s="189"/>
      <c r="K80" s="190">
        <f t="shared" si="3"/>
        <v>0.95353068835765398</v>
      </c>
    </row>
    <row r="81" spans="1:11" x14ac:dyDescent="0.2">
      <c r="A81" s="186">
        <v>41913</v>
      </c>
      <c r="B81" s="194">
        <v>11</v>
      </c>
      <c r="C81" s="491">
        <v>10394</v>
      </c>
      <c r="D81" s="189">
        <f t="shared" si="6"/>
        <v>1.0583028670386763</v>
      </c>
      <c r="E81" s="189"/>
      <c r="F81" s="190"/>
      <c r="G81" s="189"/>
      <c r="H81" s="189">
        <f t="shared" si="5"/>
        <v>1.5818746277819389</v>
      </c>
      <c r="I81" s="189"/>
      <c r="J81" s="189"/>
      <c r="K81" s="190">
        <f t="shared" si="3"/>
        <v>0.95353068835765398</v>
      </c>
    </row>
    <row r="82" spans="1:11" x14ac:dyDescent="0.2">
      <c r="A82" s="186">
        <v>41944</v>
      </c>
      <c r="B82" s="194">
        <v>13</v>
      </c>
      <c r="C82" s="491">
        <v>9975</v>
      </c>
      <c r="D82" s="189">
        <f t="shared" si="6"/>
        <v>1.3032581453634084</v>
      </c>
      <c r="E82" s="189"/>
      <c r="F82" s="190"/>
      <c r="G82" s="189"/>
      <c r="H82" s="189">
        <f t="shared" si="5"/>
        <v>1.5818746277819389</v>
      </c>
      <c r="I82" s="189"/>
      <c r="J82" s="189"/>
      <c r="K82" s="190">
        <f t="shared" si="3"/>
        <v>0.95353068835765398</v>
      </c>
    </row>
    <row r="83" spans="1:11" x14ac:dyDescent="0.2">
      <c r="A83" s="186">
        <v>41974</v>
      </c>
      <c r="B83" s="194">
        <v>23</v>
      </c>
      <c r="C83" s="491">
        <v>10452</v>
      </c>
      <c r="D83" s="189">
        <f t="shared" si="6"/>
        <v>2.2005357826253347</v>
      </c>
      <c r="E83" s="189"/>
      <c r="F83" s="190"/>
      <c r="G83" s="189"/>
      <c r="H83" s="189">
        <f t="shared" si="5"/>
        <v>1.5818746277819389</v>
      </c>
      <c r="I83" s="189"/>
      <c r="J83" s="189"/>
      <c r="K83" s="190">
        <f t="shared" si="3"/>
        <v>0.95353068835765398</v>
      </c>
    </row>
    <row r="84" spans="1:11" x14ac:dyDescent="0.2">
      <c r="A84" s="186">
        <v>42005</v>
      </c>
      <c r="B84" s="194">
        <v>24</v>
      </c>
      <c r="C84" s="491">
        <v>10136</v>
      </c>
      <c r="D84" s="189">
        <f t="shared" si="6"/>
        <v>2.3677979479084454</v>
      </c>
      <c r="E84" s="189"/>
      <c r="F84" s="190"/>
      <c r="G84" s="189"/>
      <c r="H84" s="189">
        <f t="shared" si="5"/>
        <v>1.5818746277819389</v>
      </c>
      <c r="I84" s="189"/>
      <c r="J84" s="189"/>
      <c r="K84" s="190">
        <f t="shared" si="3"/>
        <v>0.95353068835765398</v>
      </c>
    </row>
    <row r="85" spans="1:11" x14ac:dyDescent="0.2">
      <c r="A85" s="186">
        <v>42036</v>
      </c>
      <c r="B85" s="194">
        <v>19</v>
      </c>
      <c r="C85" s="491">
        <v>9544</v>
      </c>
      <c r="D85" s="189">
        <f t="shared" si="6"/>
        <v>1.9907795473595975</v>
      </c>
      <c r="E85" s="189"/>
      <c r="F85" s="190"/>
      <c r="G85" s="189"/>
      <c r="H85" s="189">
        <f t="shared" si="5"/>
        <v>1.5818746277819389</v>
      </c>
      <c r="I85" s="189"/>
      <c r="J85" s="189"/>
      <c r="K85" s="190">
        <f t="shared" si="3"/>
        <v>0.95353068835765398</v>
      </c>
    </row>
    <row r="86" spans="1:11" x14ac:dyDescent="0.2">
      <c r="A86" s="186">
        <v>42064</v>
      </c>
      <c r="B86" s="194">
        <v>20</v>
      </c>
      <c r="C86" s="491">
        <v>10425</v>
      </c>
      <c r="D86" s="189">
        <f t="shared" si="6"/>
        <v>1.9184652278177459</v>
      </c>
      <c r="E86" s="189"/>
      <c r="F86" s="190"/>
      <c r="G86" s="189"/>
      <c r="H86" s="189">
        <f t="shared" si="5"/>
        <v>1.5818746277819389</v>
      </c>
      <c r="I86" s="189"/>
      <c r="J86" s="189"/>
      <c r="K86" s="190">
        <f t="shared" si="3"/>
        <v>0.95353068835765398</v>
      </c>
    </row>
    <row r="87" spans="1:11" x14ac:dyDescent="0.2">
      <c r="A87" s="186">
        <v>42095</v>
      </c>
      <c r="B87" s="194">
        <v>19</v>
      </c>
      <c r="C87" s="491">
        <v>9960</v>
      </c>
      <c r="D87" s="189">
        <f t="shared" si="6"/>
        <v>1.9076305220883534</v>
      </c>
      <c r="E87" s="189"/>
      <c r="F87" s="190"/>
      <c r="G87" s="189"/>
      <c r="H87" s="189">
        <f t="shared" si="5"/>
        <v>1.5818746277819389</v>
      </c>
      <c r="I87" s="189"/>
      <c r="J87" s="189"/>
      <c r="K87" s="190">
        <f t="shared" si="3"/>
        <v>0.95353068835765398</v>
      </c>
    </row>
    <row r="88" spans="1:11" x14ac:dyDescent="0.2">
      <c r="A88" s="186">
        <v>42125</v>
      </c>
      <c r="B88" s="194">
        <v>14</v>
      </c>
      <c r="C88" s="491">
        <v>9954</v>
      </c>
      <c r="D88" s="189">
        <f t="shared" si="6"/>
        <v>1.4064697609001406</v>
      </c>
      <c r="E88" s="189"/>
      <c r="F88" s="190"/>
      <c r="G88" s="189"/>
      <c r="H88" s="189">
        <f t="shared" si="5"/>
        <v>1.5818746277819389</v>
      </c>
      <c r="I88" s="189"/>
      <c r="J88" s="189"/>
      <c r="K88" s="190">
        <f t="shared" si="3"/>
        <v>0.95353068835765398</v>
      </c>
    </row>
    <row r="89" spans="1:11" x14ac:dyDescent="0.2">
      <c r="A89" s="186">
        <v>42156</v>
      </c>
      <c r="B89" s="194">
        <v>17</v>
      </c>
      <c r="C89" s="491">
        <v>10050</v>
      </c>
      <c r="D89" s="189">
        <f t="shared" si="6"/>
        <v>1.691542288557214</v>
      </c>
      <c r="E89" s="189"/>
      <c r="F89" s="190"/>
      <c r="G89" s="189"/>
      <c r="H89" s="189">
        <f t="shared" si="5"/>
        <v>1.5818746277819389</v>
      </c>
      <c r="I89" s="189"/>
      <c r="J89" s="189"/>
      <c r="K89" s="190">
        <f t="shared" ref="K89:K134" si="7">(0.5*$E$12)</f>
        <v>0.95353068835765398</v>
      </c>
    </row>
    <row r="90" spans="1:11" x14ac:dyDescent="0.2">
      <c r="A90" s="186">
        <v>42186</v>
      </c>
      <c r="B90" s="194">
        <v>18</v>
      </c>
      <c r="C90" s="491">
        <v>9838</v>
      </c>
      <c r="D90" s="189">
        <f t="shared" si="6"/>
        <v>1.8296401707664161</v>
      </c>
      <c r="E90" s="189"/>
      <c r="F90" s="190"/>
      <c r="G90" s="189"/>
      <c r="H90" s="189">
        <f t="shared" si="5"/>
        <v>1.5818746277819389</v>
      </c>
      <c r="I90" s="189"/>
      <c r="J90" s="189"/>
      <c r="K90" s="190">
        <f t="shared" si="7"/>
        <v>0.95353068835765398</v>
      </c>
    </row>
    <row r="91" spans="1:11" x14ac:dyDescent="0.2">
      <c r="A91" s="186">
        <v>42217</v>
      </c>
      <c r="B91" s="194">
        <v>13</v>
      </c>
      <c r="C91" s="491">
        <v>9648</v>
      </c>
      <c r="D91" s="189">
        <f t="shared" si="6"/>
        <v>1.3474295190713101</v>
      </c>
      <c r="E91" s="189"/>
      <c r="F91" s="190"/>
      <c r="G91" s="189"/>
      <c r="H91" s="189">
        <f t="shared" si="5"/>
        <v>1.5818746277819389</v>
      </c>
      <c r="I91" s="189"/>
      <c r="J91" s="189"/>
      <c r="K91" s="190">
        <f t="shared" si="7"/>
        <v>0.95353068835765398</v>
      </c>
    </row>
    <row r="92" spans="1:11" x14ac:dyDescent="0.2">
      <c r="A92" s="186">
        <v>42248</v>
      </c>
      <c r="B92" s="194">
        <v>19</v>
      </c>
      <c r="C92" s="491">
        <v>9545</v>
      </c>
      <c r="D92" s="189">
        <f t="shared" si="6"/>
        <v>1.9905709795704556</v>
      </c>
      <c r="E92" s="189"/>
      <c r="F92" s="190"/>
      <c r="G92" s="189"/>
      <c r="H92" s="189">
        <f t="shared" si="5"/>
        <v>1.5818746277819389</v>
      </c>
      <c r="I92" s="189"/>
      <c r="J92" s="189"/>
      <c r="K92" s="190">
        <f t="shared" si="7"/>
        <v>0.95353068835765398</v>
      </c>
    </row>
    <row r="93" spans="1:11" x14ac:dyDescent="0.2">
      <c r="A93" s="186">
        <v>42278</v>
      </c>
      <c r="B93" s="194">
        <v>11</v>
      </c>
      <c r="C93" s="491">
        <v>10093</v>
      </c>
      <c r="D93" s="189">
        <f t="shared" si="6"/>
        <v>1.0898642623600514</v>
      </c>
      <c r="E93" s="189"/>
      <c r="F93" s="190"/>
      <c r="G93" s="189"/>
      <c r="H93" s="189">
        <f t="shared" si="5"/>
        <v>1.5818746277819389</v>
      </c>
      <c r="I93" s="189"/>
      <c r="J93" s="189"/>
      <c r="K93" s="190">
        <f t="shared" si="7"/>
        <v>0.95353068835765398</v>
      </c>
    </row>
    <row r="94" spans="1:11" x14ac:dyDescent="0.2">
      <c r="A94" s="186">
        <v>42309</v>
      </c>
      <c r="B94" s="194">
        <v>11</v>
      </c>
      <c r="C94" s="491">
        <v>9633</v>
      </c>
      <c r="D94" s="189">
        <f t="shared" si="6"/>
        <v>1.1419080244991175</v>
      </c>
      <c r="E94" s="189"/>
      <c r="F94" s="190"/>
      <c r="G94" s="189"/>
      <c r="H94" s="189">
        <f t="shared" si="5"/>
        <v>1.5818746277819389</v>
      </c>
      <c r="I94" s="189"/>
      <c r="J94" s="189"/>
      <c r="K94" s="190">
        <f t="shared" si="7"/>
        <v>0.95353068835765398</v>
      </c>
    </row>
    <row r="95" spans="1:11" x14ac:dyDescent="0.2">
      <c r="A95" s="186">
        <v>42339</v>
      </c>
      <c r="B95" s="194">
        <v>13</v>
      </c>
      <c r="C95" s="491">
        <v>9858</v>
      </c>
      <c r="D95" s="189">
        <f t="shared" si="6"/>
        <v>1.3187259078920672</v>
      </c>
      <c r="E95" s="189"/>
      <c r="F95" s="190"/>
      <c r="G95" s="189"/>
      <c r="H95" s="189">
        <f t="shared" si="5"/>
        <v>1.5818746277819389</v>
      </c>
      <c r="I95" s="189"/>
      <c r="J95" s="189"/>
      <c r="K95" s="190">
        <f t="shared" si="7"/>
        <v>0.95353068835765398</v>
      </c>
    </row>
    <row r="96" spans="1:11" x14ac:dyDescent="0.2">
      <c r="A96" s="186">
        <v>42370</v>
      </c>
      <c r="B96" s="194">
        <v>19</v>
      </c>
      <c r="C96" s="491">
        <v>8861</v>
      </c>
      <c r="D96" s="189">
        <f t="shared" si="6"/>
        <v>2.1442275138246245</v>
      </c>
      <c r="E96" s="189"/>
      <c r="F96" s="190"/>
      <c r="G96" s="189"/>
      <c r="H96" s="189">
        <f t="shared" si="5"/>
        <v>1.5818746277819389</v>
      </c>
      <c r="I96" s="189"/>
      <c r="J96" s="189"/>
      <c r="K96" s="190">
        <f t="shared" si="7"/>
        <v>0.95353068835765398</v>
      </c>
    </row>
    <row r="97" spans="1:11" x14ac:dyDescent="0.2">
      <c r="A97" s="186">
        <v>42401</v>
      </c>
      <c r="B97" s="194">
        <v>25</v>
      </c>
      <c r="C97" s="491">
        <v>8903</v>
      </c>
      <c r="D97" s="189">
        <f t="shared" si="6"/>
        <v>2.8080422329551835</v>
      </c>
      <c r="E97" s="189"/>
      <c r="F97" s="190"/>
      <c r="G97" s="189"/>
      <c r="H97" s="189">
        <f t="shared" si="5"/>
        <v>1.5818746277819389</v>
      </c>
      <c r="I97" s="189"/>
      <c r="J97" s="189"/>
      <c r="K97" s="190">
        <f t="shared" si="7"/>
        <v>0.95353068835765398</v>
      </c>
    </row>
    <row r="98" spans="1:11" x14ac:dyDescent="0.2">
      <c r="A98" s="186">
        <v>42430</v>
      </c>
      <c r="B98" s="194">
        <v>21</v>
      </c>
      <c r="C98" s="491">
        <v>9886</v>
      </c>
      <c r="D98" s="189">
        <f t="shared" si="6"/>
        <v>2.124216063119563</v>
      </c>
      <c r="E98" s="189"/>
      <c r="F98" s="190"/>
      <c r="G98" s="190"/>
      <c r="H98" s="189">
        <f t="shared" si="5"/>
        <v>1.5818746277819389</v>
      </c>
      <c r="I98" s="189"/>
      <c r="J98" s="189"/>
      <c r="K98" s="190">
        <f t="shared" si="7"/>
        <v>0.95353068835765398</v>
      </c>
    </row>
    <row r="99" spans="1:11" x14ac:dyDescent="0.2">
      <c r="A99" s="186">
        <v>42461</v>
      </c>
      <c r="B99" s="194">
        <v>11</v>
      </c>
      <c r="C99" s="491">
        <v>9144</v>
      </c>
      <c r="D99" s="189">
        <f t="shared" si="6"/>
        <v>1.2029746281714784</v>
      </c>
      <c r="E99" s="189"/>
      <c r="F99" s="190"/>
      <c r="G99" s="190"/>
      <c r="H99" s="189">
        <f t="shared" si="5"/>
        <v>1.5818746277819389</v>
      </c>
      <c r="I99" s="189"/>
      <c r="J99" s="189"/>
      <c r="K99" s="190">
        <f t="shared" si="7"/>
        <v>0.95353068835765398</v>
      </c>
    </row>
    <row r="100" spans="1:11" s="199" customFormat="1" x14ac:dyDescent="0.2">
      <c r="A100" s="186">
        <v>42491</v>
      </c>
      <c r="B100" s="380">
        <v>25</v>
      </c>
      <c r="C100" s="492">
        <v>9773</v>
      </c>
      <c r="D100" s="189">
        <f t="shared" si="6"/>
        <v>2.5580681469354345</v>
      </c>
      <c r="E100" s="189"/>
      <c r="F100" s="190"/>
      <c r="G100" s="190"/>
      <c r="H100" s="189">
        <f t="shared" si="5"/>
        <v>1.5818746277819389</v>
      </c>
      <c r="I100" s="189">
        <f>MEDIAN($D$100:$D$111)</f>
        <v>1.7571831579921873</v>
      </c>
      <c r="J100" s="189"/>
      <c r="K100" s="190">
        <f t="shared" si="7"/>
        <v>0.95353068835765398</v>
      </c>
    </row>
    <row r="101" spans="1:11" x14ac:dyDescent="0.2">
      <c r="A101" s="186">
        <v>42522</v>
      </c>
      <c r="B101" s="194">
        <v>15</v>
      </c>
      <c r="C101" s="491">
        <v>9398</v>
      </c>
      <c r="D101" s="189">
        <f t="shared" si="6"/>
        <v>1.5960842732496276</v>
      </c>
      <c r="E101" s="189"/>
      <c r="F101" s="190"/>
      <c r="G101" s="190"/>
      <c r="H101" s="189" t="s">
        <v>385</v>
      </c>
      <c r="I101" s="189">
        <f t="shared" ref="I101:I108" si="8">MEDIAN($D$100:$D$111)</f>
        <v>1.7571831579921873</v>
      </c>
      <c r="J101" s="189"/>
      <c r="K101" s="190">
        <f t="shared" si="7"/>
        <v>0.95353068835765398</v>
      </c>
    </row>
    <row r="102" spans="1:11" x14ac:dyDescent="0.2">
      <c r="A102" s="186">
        <v>42552</v>
      </c>
      <c r="B102" s="194">
        <v>16</v>
      </c>
      <c r="C102" s="491">
        <v>10049</v>
      </c>
      <c r="D102" s="189">
        <f t="shared" si="6"/>
        <v>1.5921982286794705</v>
      </c>
      <c r="E102" s="189"/>
      <c r="F102" s="190"/>
      <c r="G102" s="190"/>
      <c r="H102" s="189" t="s">
        <v>385</v>
      </c>
      <c r="I102" s="189">
        <f t="shared" si="8"/>
        <v>1.7571831579921873</v>
      </c>
      <c r="J102" s="189"/>
      <c r="K102" s="190">
        <f t="shared" si="7"/>
        <v>0.95353068835765398</v>
      </c>
    </row>
    <row r="103" spans="1:11" x14ac:dyDescent="0.2">
      <c r="A103" s="186">
        <v>42583</v>
      </c>
      <c r="B103" s="194">
        <v>19</v>
      </c>
      <c r="C103" s="491">
        <v>10003</v>
      </c>
      <c r="D103" s="189">
        <f t="shared" si="6"/>
        <v>1.8994301709487154</v>
      </c>
      <c r="E103" s="197"/>
      <c r="F103" s="197"/>
      <c r="G103" s="197"/>
      <c r="H103" s="189" t="s">
        <v>385</v>
      </c>
      <c r="I103" s="189">
        <f t="shared" si="8"/>
        <v>1.7571831579921873</v>
      </c>
      <c r="J103" s="189"/>
      <c r="K103" s="190">
        <f t="shared" si="7"/>
        <v>0.95353068835765398</v>
      </c>
    </row>
    <row r="104" spans="1:11" x14ac:dyDescent="0.2">
      <c r="A104" s="186">
        <v>42614</v>
      </c>
      <c r="B104" s="194">
        <v>16</v>
      </c>
      <c r="C104" s="491">
        <v>9793</v>
      </c>
      <c r="D104" s="189">
        <f t="shared" si="6"/>
        <v>1.6338200755641785</v>
      </c>
      <c r="E104" s="197"/>
      <c r="F104" s="197"/>
      <c r="G104" s="197"/>
      <c r="H104" s="189" t="s">
        <v>385</v>
      </c>
      <c r="I104" s="189">
        <f t="shared" si="8"/>
        <v>1.7571831579921873</v>
      </c>
      <c r="J104" s="189"/>
      <c r="K104" s="190">
        <f t="shared" si="7"/>
        <v>0.95353068835765398</v>
      </c>
    </row>
    <row r="105" spans="1:11" x14ac:dyDescent="0.2">
      <c r="A105" s="186">
        <v>42644</v>
      </c>
      <c r="B105" s="194">
        <v>18</v>
      </c>
      <c r="C105" s="491">
        <v>10005</v>
      </c>
      <c r="D105" s="189">
        <f t="shared" si="6"/>
        <v>1.7991004497751124</v>
      </c>
      <c r="E105" s="197"/>
      <c r="F105" s="197"/>
      <c r="G105" s="197"/>
      <c r="H105" s="189" t="s">
        <v>385</v>
      </c>
      <c r="I105" s="189">
        <f t="shared" si="8"/>
        <v>1.7571831579921873</v>
      </c>
      <c r="J105" s="189"/>
      <c r="K105" s="190">
        <f t="shared" si="7"/>
        <v>0.95353068835765398</v>
      </c>
    </row>
    <row r="106" spans="1:11" x14ac:dyDescent="0.2">
      <c r="A106" s="186">
        <v>42675</v>
      </c>
      <c r="B106" s="194">
        <v>17</v>
      </c>
      <c r="C106" s="491">
        <v>9911</v>
      </c>
      <c r="D106" s="189">
        <f t="shared" si="6"/>
        <v>1.7152658662092624</v>
      </c>
      <c r="E106" s="197"/>
      <c r="F106" s="197"/>
      <c r="G106" s="197"/>
      <c r="H106" s="189" t="s">
        <v>385</v>
      </c>
      <c r="I106" s="189">
        <f t="shared" si="8"/>
        <v>1.7571831579921873</v>
      </c>
      <c r="J106" s="189"/>
      <c r="K106" s="190">
        <f t="shared" si="7"/>
        <v>0.95353068835765398</v>
      </c>
    </row>
    <row r="107" spans="1:11" x14ac:dyDescent="0.2">
      <c r="A107" s="124">
        <v>42705</v>
      </c>
      <c r="B107" s="194">
        <v>23</v>
      </c>
      <c r="C107" s="491">
        <v>9846</v>
      </c>
      <c r="D107" s="189">
        <f t="shared" si="6"/>
        <v>2.3359739995937434</v>
      </c>
      <c r="E107" s="197"/>
      <c r="F107" s="197"/>
      <c r="G107" s="197"/>
      <c r="H107" s="189" t="s">
        <v>385</v>
      </c>
      <c r="I107" s="189">
        <f t="shared" si="8"/>
        <v>1.7571831579921873</v>
      </c>
      <c r="J107" s="189"/>
      <c r="K107" s="190">
        <f t="shared" si="7"/>
        <v>0.95353068835765398</v>
      </c>
    </row>
    <row r="108" spans="1:11" x14ac:dyDescent="0.2">
      <c r="A108" s="186">
        <v>42736</v>
      </c>
      <c r="B108" s="194">
        <v>19</v>
      </c>
      <c r="C108" s="491">
        <v>9435</v>
      </c>
      <c r="D108" s="189">
        <f t="shared" si="6"/>
        <v>2.0137784843667199</v>
      </c>
      <c r="E108" s="197"/>
      <c r="F108" s="197"/>
      <c r="G108" s="197"/>
      <c r="H108" s="189" t="s">
        <v>385</v>
      </c>
      <c r="I108" s="189">
        <f t="shared" si="8"/>
        <v>1.7571831579921873</v>
      </c>
      <c r="J108" s="189"/>
      <c r="K108" s="190">
        <f t="shared" si="7"/>
        <v>0.95353068835765398</v>
      </c>
    </row>
    <row r="109" spans="1:11" x14ac:dyDescent="0.2">
      <c r="A109" s="124">
        <v>42767</v>
      </c>
      <c r="B109" s="194">
        <v>27</v>
      </c>
      <c r="C109" s="491">
        <v>9061</v>
      </c>
      <c r="D109" s="189">
        <f t="shared" si="6"/>
        <v>2.9798035536916454</v>
      </c>
      <c r="E109" s="197"/>
      <c r="F109" s="197"/>
      <c r="G109" s="197"/>
      <c r="H109" s="189" t="s">
        <v>385</v>
      </c>
      <c r="I109" s="189">
        <f>MEDIAN($D$100:$D$111)</f>
        <v>1.7571831579921873</v>
      </c>
      <c r="J109" s="189"/>
      <c r="K109" s="190">
        <f t="shared" si="7"/>
        <v>0.95353068835765398</v>
      </c>
    </row>
    <row r="110" spans="1:11" x14ac:dyDescent="0.2">
      <c r="A110" s="453">
        <v>42795</v>
      </c>
      <c r="B110" s="22">
        <v>15</v>
      </c>
      <c r="C110" s="493">
        <v>10294</v>
      </c>
      <c r="D110" s="454">
        <f t="shared" si="6"/>
        <v>1.4571595103944044</v>
      </c>
      <c r="E110" s="197"/>
      <c r="F110" s="197"/>
      <c r="G110" s="197"/>
      <c r="H110" s="189" t="s">
        <v>385</v>
      </c>
      <c r="I110" s="189">
        <f>MEDIAN($D$100:$D$111)</f>
        <v>1.7571831579921873</v>
      </c>
      <c r="J110" s="189"/>
      <c r="K110" s="190">
        <f>(0.5*$E$12)</f>
        <v>0.95353068835765398</v>
      </c>
    </row>
    <row r="111" spans="1:11" x14ac:dyDescent="0.2">
      <c r="A111" s="453">
        <v>42826</v>
      </c>
      <c r="B111" s="22">
        <v>13</v>
      </c>
      <c r="C111" s="493">
        <v>9562</v>
      </c>
      <c r="D111" s="454">
        <f t="shared" si="6"/>
        <v>1.3595482116711985</v>
      </c>
      <c r="E111" s="197"/>
      <c r="F111" s="197"/>
      <c r="G111" s="197"/>
      <c r="H111" s="189" t="s">
        <v>385</v>
      </c>
      <c r="I111" s="189">
        <f>MEDIAN($D$100:$D$111)</f>
        <v>1.7571831579921873</v>
      </c>
      <c r="J111" s="189">
        <f>MEDIAN($D$100:$D$111)</f>
        <v>1.7571831579921873</v>
      </c>
      <c r="K111" s="190">
        <f>(0.5*$E$12)</f>
        <v>0.95353068835765398</v>
      </c>
    </row>
    <row r="112" spans="1:11" x14ac:dyDescent="0.2">
      <c r="A112" s="186">
        <v>42856</v>
      </c>
      <c r="B112" s="194">
        <v>18</v>
      </c>
      <c r="C112" s="491">
        <v>10480</v>
      </c>
      <c r="D112" s="189">
        <f t="shared" si="6"/>
        <v>1.7175572519083968</v>
      </c>
      <c r="E112" s="197"/>
      <c r="F112" s="197"/>
      <c r="G112" s="197"/>
      <c r="H112" s="189" t="s">
        <v>385</v>
      </c>
      <c r="I112" s="250" t="s">
        <v>385</v>
      </c>
      <c r="J112" s="189">
        <f>MEDIAN($D$100:$D$111)</f>
        <v>1.7571831579921873</v>
      </c>
      <c r="K112" s="190">
        <f t="shared" si="7"/>
        <v>0.95353068835765398</v>
      </c>
    </row>
    <row r="113" spans="1:11" x14ac:dyDescent="0.2">
      <c r="A113" s="453">
        <v>42887</v>
      </c>
      <c r="B113" s="194">
        <v>13</v>
      </c>
      <c r="C113" s="491">
        <v>10100</v>
      </c>
      <c r="D113" s="189">
        <f t="shared" si="6"/>
        <v>1.2871287128712872</v>
      </c>
      <c r="E113" s="197"/>
      <c r="F113" s="197"/>
      <c r="G113" s="197"/>
      <c r="H113" s="189" t="s">
        <v>385</v>
      </c>
      <c r="I113" s="189"/>
      <c r="J113" s="189">
        <f>MEDIAN($D$100:$D$111)</f>
        <v>1.7571831579921873</v>
      </c>
      <c r="K113" s="190">
        <f t="shared" si="7"/>
        <v>0.95353068835765398</v>
      </c>
    </row>
    <row r="114" spans="1:11" x14ac:dyDescent="0.2">
      <c r="A114" s="186">
        <v>42917</v>
      </c>
      <c r="B114" s="194">
        <v>16</v>
      </c>
      <c r="C114" s="491">
        <v>9698</v>
      </c>
      <c r="D114" s="189">
        <f t="shared" si="6"/>
        <v>1.6498247061249742</v>
      </c>
      <c r="E114" s="197"/>
      <c r="F114" s="197"/>
      <c r="G114" s="197"/>
      <c r="H114" s="189" t="s">
        <v>385</v>
      </c>
      <c r="I114" s="189"/>
      <c r="J114" s="189">
        <f>MEDIAN($D$100:$D$111)</f>
        <v>1.7571831579921873</v>
      </c>
      <c r="K114" s="190">
        <f t="shared" si="7"/>
        <v>0.95353068835765398</v>
      </c>
    </row>
    <row r="115" spans="1:11" x14ac:dyDescent="0.2">
      <c r="A115" s="453">
        <v>42948</v>
      </c>
      <c r="B115" s="194">
        <v>12</v>
      </c>
      <c r="C115" s="491">
        <v>10086</v>
      </c>
      <c r="D115" s="189">
        <f t="shared" si="6"/>
        <v>1.1897679952409281</v>
      </c>
      <c r="E115" s="197"/>
      <c r="F115" s="197"/>
      <c r="G115" s="197"/>
      <c r="H115" s="189" t="s">
        <v>385</v>
      </c>
      <c r="I115" s="189"/>
      <c r="J115" s="189">
        <f>MEDIAN($D$100:$D$111)</f>
        <v>1.7571831579921873</v>
      </c>
      <c r="K115" s="190">
        <f t="shared" si="7"/>
        <v>0.95353068835765398</v>
      </c>
    </row>
    <row r="116" spans="1:11" x14ac:dyDescent="0.2">
      <c r="A116" s="186"/>
      <c r="B116" s="194"/>
      <c r="C116" s="491" t="s">
        <v>183</v>
      </c>
      <c r="D116" s="189"/>
      <c r="E116" s="197"/>
      <c r="F116" s="197"/>
      <c r="G116" s="197"/>
      <c r="H116" s="189" t="s">
        <v>385</v>
      </c>
      <c r="I116" s="189"/>
      <c r="J116" s="189"/>
      <c r="K116" s="190">
        <f t="shared" si="7"/>
        <v>0.95353068835765398</v>
      </c>
    </row>
    <row r="117" spans="1:11" x14ac:dyDescent="0.2">
      <c r="A117" s="186"/>
      <c r="B117" s="194"/>
      <c r="C117" s="491" t="s">
        <v>183</v>
      </c>
      <c r="D117" s="189"/>
      <c r="E117" s="197"/>
      <c r="F117" s="197"/>
      <c r="G117" s="197"/>
      <c r="H117" s="189" t="s">
        <v>385</v>
      </c>
      <c r="I117" s="189"/>
      <c r="J117" s="189"/>
      <c r="K117" s="190">
        <f t="shared" si="7"/>
        <v>0.95353068835765398</v>
      </c>
    </row>
    <row r="118" spans="1:11" x14ac:dyDescent="0.2">
      <c r="A118" s="186"/>
      <c r="B118" s="194"/>
      <c r="C118" s="491" t="s">
        <v>183</v>
      </c>
      <c r="D118" s="189"/>
      <c r="E118" s="197"/>
      <c r="F118" s="197"/>
      <c r="G118" s="197"/>
      <c r="H118" s="189" t="s">
        <v>385</v>
      </c>
      <c r="I118" s="189"/>
      <c r="J118" s="189"/>
      <c r="K118" s="190">
        <f t="shared" si="7"/>
        <v>0.95353068835765398</v>
      </c>
    </row>
    <row r="119" spans="1:11" x14ac:dyDescent="0.2">
      <c r="A119" s="124"/>
      <c r="B119" s="194"/>
      <c r="C119" s="491" t="s">
        <v>183</v>
      </c>
      <c r="D119" s="189"/>
      <c r="E119" s="197"/>
      <c r="F119" s="197"/>
      <c r="G119" s="197"/>
      <c r="H119" s="189" t="s">
        <v>385</v>
      </c>
      <c r="I119" s="189"/>
      <c r="J119" s="189"/>
      <c r="K119" s="190">
        <f t="shared" si="7"/>
        <v>0.95353068835765398</v>
      </c>
    </row>
    <row r="120" spans="1:11" x14ac:dyDescent="0.2">
      <c r="A120" s="124"/>
      <c r="B120" s="194"/>
      <c r="C120" s="491" t="s">
        <v>183</v>
      </c>
      <c r="D120" s="189"/>
      <c r="E120" s="197"/>
      <c r="F120" s="197"/>
      <c r="G120" s="197"/>
      <c r="H120" s="189" t="s">
        <v>385</v>
      </c>
      <c r="I120" s="189"/>
      <c r="J120" s="189"/>
      <c r="K120" s="190">
        <f t="shared" si="7"/>
        <v>0.95353068835765398</v>
      </c>
    </row>
    <row r="121" spans="1:11" x14ac:dyDescent="0.2">
      <c r="A121" s="186"/>
      <c r="B121" s="194"/>
      <c r="C121" s="491" t="s">
        <v>183</v>
      </c>
      <c r="D121" s="189"/>
      <c r="E121" s="197"/>
      <c r="F121" s="197"/>
      <c r="G121" s="197"/>
      <c r="H121" s="189" t="s">
        <v>385</v>
      </c>
      <c r="I121" s="189"/>
      <c r="J121" s="189"/>
      <c r="K121" s="190">
        <f t="shared" si="7"/>
        <v>0.95353068835765398</v>
      </c>
    </row>
    <row r="122" spans="1:11" x14ac:dyDescent="0.2">
      <c r="A122" s="186"/>
      <c r="B122" s="194"/>
      <c r="C122" s="491" t="s">
        <v>183</v>
      </c>
      <c r="D122" s="189"/>
      <c r="E122" s="197"/>
      <c r="F122" s="197"/>
      <c r="G122" s="197"/>
      <c r="H122" s="189" t="s">
        <v>385</v>
      </c>
      <c r="I122" s="189"/>
      <c r="J122" s="189"/>
      <c r="K122" s="190">
        <f t="shared" si="7"/>
        <v>0.95353068835765398</v>
      </c>
    </row>
    <row r="123" spans="1:11" x14ac:dyDescent="0.2">
      <c r="A123" s="186"/>
      <c r="B123" s="194"/>
      <c r="C123" s="491" t="s">
        <v>183</v>
      </c>
      <c r="D123" s="189"/>
      <c r="E123" s="197"/>
      <c r="F123" s="197"/>
      <c r="G123" s="197"/>
      <c r="H123" s="189" t="s">
        <v>385</v>
      </c>
      <c r="I123" s="189"/>
      <c r="J123" s="189"/>
      <c r="K123" s="190">
        <f t="shared" si="7"/>
        <v>0.95353068835765398</v>
      </c>
    </row>
    <row r="124" spans="1:11" x14ac:dyDescent="0.2">
      <c r="A124" s="124"/>
      <c r="B124" s="194"/>
      <c r="C124" s="491" t="s">
        <v>183</v>
      </c>
      <c r="D124" s="189"/>
      <c r="E124" s="197"/>
      <c r="F124" s="197"/>
      <c r="G124" s="197"/>
      <c r="H124" s="189" t="s">
        <v>385</v>
      </c>
      <c r="I124" s="189"/>
      <c r="J124" s="189"/>
      <c r="K124" s="190">
        <f t="shared" si="7"/>
        <v>0.95353068835765398</v>
      </c>
    </row>
    <row r="125" spans="1:11" x14ac:dyDescent="0.2">
      <c r="A125" s="186"/>
      <c r="B125" s="194"/>
      <c r="C125" s="491" t="s">
        <v>183</v>
      </c>
      <c r="D125" s="189"/>
      <c r="E125" s="197"/>
      <c r="F125" s="197"/>
      <c r="G125" s="197"/>
      <c r="H125" s="189" t="s">
        <v>385</v>
      </c>
      <c r="I125" s="189"/>
      <c r="J125" s="189"/>
      <c r="K125" s="190">
        <f t="shared" si="7"/>
        <v>0.95353068835765398</v>
      </c>
    </row>
    <row r="126" spans="1:11" x14ac:dyDescent="0.2">
      <c r="A126" s="124"/>
      <c r="B126" s="194"/>
      <c r="C126" s="491" t="s">
        <v>183</v>
      </c>
      <c r="D126" s="189"/>
      <c r="E126" s="197"/>
      <c r="F126" s="197"/>
      <c r="G126" s="197"/>
      <c r="H126" s="189" t="s">
        <v>385</v>
      </c>
      <c r="I126" s="189"/>
      <c r="J126" s="189"/>
      <c r="K126" s="190">
        <f t="shared" si="7"/>
        <v>0.95353068835765398</v>
      </c>
    </row>
    <row r="127" spans="1:11" x14ac:dyDescent="0.2">
      <c r="A127" s="186"/>
      <c r="B127" s="194"/>
      <c r="C127" s="491" t="s">
        <v>183</v>
      </c>
      <c r="D127" s="189"/>
      <c r="E127" s="197"/>
      <c r="F127" s="197"/>
      <c r="G127" s="197"/>
      <c r="H127" s="189" t="s">
        <v>385</v>
      </c>
      <c r="I127" s="189"/>
      <c r="J127" s="189"/>
      <c r="K127" s="190">
        <f t="shared" si="7"/>
        <v>0.95353068835765398</v>
      </c>
    </row>
    <row r="128" spans="1:11" x14ac:dyDescent="0.2">
      <c r="A128" s="124"/>
      <c r="B128" s="194"/>
      <c r="C128" s="491" t="s">
        <v>183</v>
      </c>
      <c r="D128" s="189"/>
      <c r="E128" s="197"/>
      <c r="F128" s="197"/>
      <c r="G128" s="197"/>
      <c r="H128" s="189" t="s">
        <v>385</v>
      </c>
      <c r="I128" s="189"/>
      <c r="J128" s="189"/>
      <c r="K128" s="190">
        <f t="shared" si="7"/>
        <v>0.95353068835765398</v>
      </c>
    </row>
    <row r="129" spans="1:11" x14ac:dyDescent="0.2">
      <c r="A129" s="186"/>
      <c r="B129" s="194"/>
      <c r="C129" s="491" t="s">
        <v>183</v>
      </c>
      <c r="D129" s="189"/>
      <c r="E129" s="197"/>
      <c r="F129" s="197"/>
      <c r="G129" s="197"/>
      <c r="H129" s="189" t="s">
        <v>385</v>
      </c>
      <c r="I129" s="189"/>
      <c r="J129" s="189"/>
      <c r="K129" s="190">
        <f t="shared" si="7"/>
        <v>0.95353068835765398</v>
      </c>
    </row>
    <row r="130" spans="1:11" x14ac:dyDescent="0.2">
      <c r="A130" s="124"/>
      <c r="B130" s="194"/>
      <c r="C130" s="491" t="s">
        <v>183</v>
      </c>
      <c r="D130" s="189"/>
      <c r="E130" s="197"/>
      <c r="F130" s="197"/>
      <c r="G130" s="197"/>
      <c r="H130" s="189" t="s">
        <v>385</v>
      </c>
      <c r="I130" s="189"/>
      <c r="J130" s="189"/>
      <c r="K130" s="190">
        <f t="shared" si="7"/>
        <v>0.95353068835765398</v>
      </c>
    </row>
    <row r="131" spans="1:11" x14ac:dyDescent="0.2">
      <c r="A131" s="186"/>
      <c r="B131" s="194"/>
      <c r="C131" s="491" t="s">
        <v>183</v>
      </c>
      <c r="D131" s="189"/>
      <c r="E131" s="197"/>
      <c r="F131" s="197"/>
      <c r="G131" s="197"/>
      <c r="H131" s="189" t="s">
        <v>385</v>
      </c>
      <c r="I131" s="189"/>
      <c r="J131" s="189"/>
      <c r="K131" s="190">
        <f t="shared" si="7"/>
        <v>0.95353068835765398</v>
      </c>
    </row>
    <row r="132" spans="1:11" x14ac:dyDescent="0.2">
      <c r="A132" s="124"/>
      <c r="B132" s="194"/>
      <c r="C132" s="491" t="s">
        <v>183</v>
      </c>
      <c r="D132" s="189"/>
      <c r="E132" s="197"/>
      <c r="F132" s="197"/>
      <c r="G132" s="197"/>
      <c r="H132" s="189" t="s">
        <v>385</v>
      </c>
      <c r="I132" s="189"/>
      <c r="J132" s="189"/>
      <c r="K132" s="190">
        <f t="shared" si="7"/>
        <v>0.95353068835765398</v>
      </c>
    </row>
    <row r="133" spans="1:11" x14ac:dyDescent="0.2">
      <c r="A133" s="186"/>
      <c r="B133" s="194"/>
      <c r="C133" s="491" t="s">
        <v>183</v>
      </c>
      <c r="D133" s="189"/>
      <c r="E133" s="197"/>
      <c r="F133" s="197"/>
      <c r="G133" s="197"/>
      <c r="H133" s="189" t="s">
        <v>385</v>
      </c>
      <c r="I133" s="189"/>
      <c r="J133" s="189"/>
      <c r="K133" s="190">
        <f t="shared" si="7"/>
        <v>0.95353068835765398</v>
      </c>
    </row>
    <row r="134" spans="1:11" x14ac:dyDescent="0.2">
      <c r="A134" s="186"/>
      <c r="B134" s="194"/>
      <c r="C134" s="491" t="s">
        <v>183</v>
      </c>
      <c r="D134" s="189"/>
      <c r="E134" s="197"/>
      <c r="F134" s="197"/>
      <c r="G134" s="197"/>
      <c r="H134" s="189" t="s">
        <v>385</v>
      </c>
      <c r="I134" s="189"/>
      <c r="J134" s="189"/>
      <c r="K134" s="190">
        <f t="shared" si="7"/>
        <v>0.95353068835765398</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2:A106 A129 A127 A125 A133:A134 A131 A108 A121:A123 A110:A118">
      <formula1>37622</formula1>
      <formula2>NOW()</formula2>
    </dataValidation>
  </dataValidations>
  <hyperlinks>
    <hyperlink ref="A1" location="Content!A1" display="Return to Contents"/>
  </hyperlinks>
  <pageMargins left="0.70866141732283472" right="0.70866141732283472" top="0.74803149606299213" bottom="0.74803149606299213" header="0.31496062992125984" footer="0.31496062992125984"/>
  <pageSetup paperSize="9" scale="28" fitToHeight="3" orientation="portrait" r:id="rId1"/>
  <ignoredErrors>
    <ignoredError sqref="K24:K109 K110:K134"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61"/>
  <sheetViews>
    <sheetView workbookViewId="0"/>
  </sheetViews>
  <sheetFormatPr defaultColWidth="9.140625" defaultRowHeight="12.75" x14ac:dyDescent="0.2"/>
  <cols>
    <col min="1" max="1" width="27.5703125" style="117" customWidth="1"/>
    <col min="2" max="3" width="28.140625" style="117" customWidth="1"/>
    <col min="4" max="4" width="24.28515625" style="117" bestFit="1" customWidth="1"/>
    <col min="5" max="5" width="24.28515625" style="117" customWidth="1"/>
    <col min="6" max="16384" width="9.140625" style="117"/>
  </cols>
  <sheetData>
    <row r="1" spans="1:7" x14ac:dyDescent="0.2">
      <c r="A1" s="116" t="s">
        <v>360</v>
      </c>
      <c r="B1" s="155"/>
    </row>
    <row r="2" spans="1:7" x14ac:dyDescent="0.2">
      <c r="A2" s="116"/>
      <c r="B2" s="523"/>
    </row>
    <row r="3" spans="1:7" x14ac:dyDescent="0.2">
      <c r="A3" s="116"/>
    </row>
    <row r="4" spans="1:7" x14ac:dyDescent="0.2">
      <c r="A4" s="118" t="s">
        <v>454</v>
      </c>
      <c r="B4" s="155" t="s">
        <v>578</v>
      </c>
      <c r="G4" s="137" t="s">
        <v>552</v>
      </c>
    </row>
    <row r="5" spans="1:7" x14ac:dyDescent="0.2">
      <c r="A5" s="118"/>
      <c r="B5" s="155" t="s">
        <v>579</v>
      </c>
    </row>
    <row r="6" spans="1:7" x14ac:dyDescent="0.2">
      <c r="A6" s="118" t="s">
        <v>554</v>
      </c>
      <c r="B6" s="136">
        <f>VLOOKUP(MAX(A14:A61),A14:D61,2,0)</f>
        <v>0.61899999999999999</v>
      </c>
      <c r="C6" s="136"/>
    </row>
    <row r="7" spans="1:7" x14ac:dyDescent="0.2">
      <c r="A7" s="118" t="s">
        <v>555</v>
      </c>
      <c r="B7" s="120">
        <f>VLOOKUP(MAX(A14:A61),A14:D61,4,0)</f>
        <v>0.69399999999999995</v>
      </c>
      <c r="C7" s="120"/>
    </row>
    <row r="8" spans="1:7" x14ac:dyDescent="0.2">
      <c r="A8" s="118" t="s">
        <v>119</v>
      </c>
      <c r="B8" s="138">
        <f>MAX(A14:A61)</f>
        <v>42887</v>
      </c>
      <c r="C8" s="138"/>
    </row>
    <row r="9" spans="1:7" x14ac:dyDescent="0.2">
      <c r="A9" s="118" t="s">
        <v>580</v>
      </c>
      <c r="B9" s="419" t="s">
        <v>323</v>
      </c>
      <c r="C9" s="138"/>
    </row>
    <row r="10" spans="1:7" x14ac:dyDescent="0.2">
      <c r="A10" s="118" t="s">
        <v>581</v>
      </c>
      <c r="B10" s="419" t="s">
        <v>323</v>
      </c>
      <c r="C10" s="138"/>
    </row>
    <row r="11" spans="1:7" x14ac:dyDescent="0.2">
      <c r="A11" s="118" t="s">
        <v>456</v>
      </c>
      <c r="B11" s="173" t="s">
        <v>137</v>
      </c>
      <c r="C11" s="199"/>
    </row>
    <row r="12" spans="1:7" x14ac:dyDescent="0.2">
      <c r="A12" s="134"/>
    </row>
    <row r="13" spans="1:7" x14ac:dyDescent="0.2">
      <c r="A13" s="135"/>
      <c r="B13" s="198" t="s">
        <v>552</v>
      </c>
      <c r="C13" s="682" t="s">
        <v>332</v>
      </c>
      <c r="D13" s="682" t="s">
        <v>553</v>
      </c>
      <c r="E13" s="682" t="s">
        <v>332</v>
      </c>
    </row>
    <row r="14" spans="1:7" x14ac:dyDescent="0.2">
      <c r="A14" s="186">
        <v>42826</v>
      </c>
      <c r="B14" s="98">
        <v>0.51700000000000002</v>
      </c>
      <c r="C14" s="97"/>
      <c r="D14" s="98">
        <v>0.45200000000000001</v>
      </c>
      <c r="E14" s="97"/>
    </row>
    <row r="15" spans="1:7" x14ac:dyDescent="0.2">
      <c r="A15" s="186">
        <v>42856</v>
      </c>
      <c r="B15" s="98">
        <v>0.67500000000000004</v>
      </c>
      <c r="C15" s="97"/>
      <c r="D15" s="98">
        <v>0.626</v>
      </c>
      <c r="E15" s="97"/>
    </row>
    <row r="16" spans="1:7" x14ac:dyDescent="0.2">
      <c r="A16" s="186">
        <v>42887</v>
      </c>
      <c r="B16" s="98">
        <v>0.61899999999999999</v>
      </c>
      <c r="C16" s="97"/>
      <c r="D16" s="98">
        <v>0.69399999999999995</v>
      </c>
      <c r="E16" s="97"/>
    </row>
    <row r="17" spans="1:7" x14ac:dyDescent="0.2">
      <c r="A17" s="186"/>
      <c r="B17" s="98"/>
      <c r="C17" s="97"/>
      <c r="D17" s="98"/>
      <c r="E17" s="97"/>
    </row>
    <row r="18" spans="1:7" x14ac:dyDescent="0.2">
      <c r="A18" s="186"/>
      <c r="B18" s="98"/>
      <c r="C18" s="97"/>
      <c r="D18" s="98"/>
      <c r="E18" s="97"/>
    </row>
    <row r="19" spans="1:7" x14ac:dyDescent="0.2">
      <c r="A19" s="186"/>
      <c r="B19" s="98"/>
      <c r="C19" s="97"/>
      <c r="D19" s="98"/>
      <c r="E19" s="97"/>
    </row>
    <row r="20" spans="1:7" x14ac:dyDescent="0.2">
      <c r="A20" s="186"/>
      <c r="B20" s="98"/>
      <c r="C20" s="97"/>
      <c r="D20" s="98"/>
      <c r="E20" s="97"/>
    </row>
    <row r="21" spans="1:7" x14ac:dyDescent="0.2">
      <c r="A21" s="186"/>
      <c r="B21" s="98"/>
      <c r="C21" s="97"/>
      <c r="D21" s="98"/>
      <c r="E21" s="97"/>
    </row>
    <row r="22" spans="1:7" x14ac:dyDescent="0.2">
      <c r="A22" s="186"/>
      <c r="B22" s="98"/>
      <c r="C22" s="97"/>
      <c r="D22" s="97"/>
      <c r="E22" s="97"/>
    </row>
    <row r="23" spans="1:7" x14ac:dyDescent="0.2">
      <c r="A23" s="186"/>
      <c r="B23" s="98"/>
      <c r="C23" s="97"/>
      <c r="D23" s="97"/>
      <c r="E23" s="97"/>
    </row>
    <row r="24" spans="1:7" x14ac:dyDescent="0.2">
      <c r="A24" s="186"/>
      <c r="B24" s="98"/>
      <c r="C24" s="97"/>
      <c r="D24" s="97"/>
      <c r="E24" s="97"/>
    </row>
    <row r="25" spans="1:7" x14ac:dyDescent="0.2">
      <c r="A25" s="186"/>
      <c r="B25" s="98"/>
      <c r="C25" s="97"/>
      <c r="D25" s="97"/>
      <c r="E25" s="97"/>
    </row>
    <row r="26" spans="1:7" x14ac:dyDescent="0.2">
      <c r="A26" s="186"/>
      <c r="B26" s="98"/>
      <c r="C26" s="97"/>
      <c r="D26" s="97"/>
      <c r="E26" s="97"/>
    </row>
    <row r="27" spans="1:7" x14ac:dyDescent="0.2">
      <c r="A27" s="186"/>
      <c r="B27" s="98"/>
      <c r="C27" s="97"/>
      <c r="D27" s="97"/>
      <c r="E27" s="97"/>
    </row>
    <row r="28" spans="1:7" x14ac:dyDescent="0.2">
      <c r="A28" s="186"/>
      <c r="B28" s="98"/>
      <c r="C28" s="97"/>
      <c r="D28" s="97"/>
      <c r="E28" s="97"/>
      <c r="G28" s="137" t="s">
        <v>553</v>
      </c>
    </row>
    <row r="29" spans="1:7" x14ac:dyDescent="0.2">
      <c r="A29" s="186"/>
      <c r="B29" s="98"/>
      <c r="C29" s="97"/>
      <c r="D29" s="97"/>
      <c r="E29" s="97"/>
    </row>
    <row r="30" spans="1:7" x14ac:dyDescent="0.2">
      <c r="A30" s="186"/>
      <c r="B30" s="98"/>
      <c r="C30" s="97"/>
      <c r="D30" s="97"/>
      <c r="E30" s="97"/>
    </row>
    <row r="31" spans="1:7" x14ac:dyDescent="0.2">
      <c r="A31" s="186"/>
      <c r="B31" s="98"/>
      <c r="C31" s="97"/>
      <c r="D31" s="97"/>
      <c r="E31" s="97"/>
    </row>
    <row r="32" spans="1:7" x14ac:dyDescent="0.2">
      <c r="A32" s="186"/>
      <c r="B32" s="98"/>
      <c r="C32" s="97"/>
      <c r="D32" s="97"/>
      <c r="E32" s="97"/>
    </row>
    <row r="33" spans="1:5" x14ac:dyDescent="0.2">
      <c r="A33" s="186"/>
      <c r="B33" s="98"/>
      <c r="C33" s="97"/>
      <c r="D33" s="97"/>
      <c r="E33" s="97"/>
    </row>
    <row r="34" spans="1:5" x14ac:dyDescent="0.2">
      <c r="A34" s="186"/>
      <c r="B34" s="98"/>
      <c r="C34" s="97"/>
      <c r="D34" s="97"/>
      <c r="E34" s="97"/>
    </row>
    <row r="35" spans="1:5" x14ac:dyDescent="0.2">
      <c r="A35" s="186"/>
      <c r="B35" s="98"/>
      <c r="C35" s="97"/>
      <c r="D35" s="97"/>
      <c r="E35" s="97"/>
    </row>
    <row r="36" spans="1:5" x14ac:dyDescent="0.2">
      <c r="A36" s="186"/>
      <c r="B36" s="98"/>
      <c r="C36" s="97"/>
      <c r="D36" s="97"/>
      <c r="E36" s="97"/>
    </row>
    <row r="37" spans="1:5" x14ac:dyDescent="0.2">
      <c r="A37" s="186"/>
      <c r="B37" s="98"/>
      <c r="C37" s="97"/>
      <c r="D37" s="97"/>
      <c r="E37" s="97"/>
    </row>
    <row r="38" spans="1:5" x14ac:dyDescent="0.2">
      <c r="A38" s="186"/>
      <c r="B38" s="98"/>
      <c r="C38" s="97"/>
      <c r="D38" s="98"/>
      <c r="E38" s="97"/>
    </row>
    <row r="39" spans="1:5" x14ac:dyDescent="0.2">
      <c r="A39" s="186"/>
      <c r="B39" s="98"/>
      <c r="C39" s="97"/>
      <c r="D39" s="98"/>
      <c r="E39" s="97"/>
    </row>
    <row r="40" spans="1:5" x14ac:dyDescent="0.2">
      <c r="A40" s="186"/>
      <c r="B40" s="98"/>
      <c r="C40" s="97"/>
      <c r="D40" s="98"/>
      <c r="E40" s="97"/>
    </row>
    <row r="41" spans="1:5" x14ac:dyDescent="0.2">
      <c r="A41" s="186"/>
      <c r="B41" s="98"/>
      <c r="C41" s="97"/>
      <c r="D41" s="98"/>
      <c r="E41" s="97"/>
    </row>
    <row r="42" spans="1:5" x14ac:dyDescent="0.2">
      <c r="A42" s="186"/>
      <c r="B42" s="98"/>
      <c r="C42" s="97"/>
      <c r="D42" s="98"/>
      <c r="E42" s="97"/>
    </row>
    <row r="43" spans="1:5" x14ac:dyDescent="0.2">
      <c r="A43" s="186"/>
      <c r="B43" s="98"/>
      <c r="C43" s="97"/>
      <c r="D43" s="98"/>
      <c r="E43" s="97"/>
    </row>
    <row r="44" spans="1:5" x14ac:dyDescent="0.2">
      <c r="A44" s="186"/>
      <c r="B44" s="98"/>
      <c r="C44" s="97"/>
      <c r="D44" s="98"/>
      <c r="E44" s="97"/>
    </row>
    <row r="45" spans="1:5" x14ac:dyDescent="0.2">
      <c r="A45" s="186"/>
      <c r="B45" s="98"/>
      <c r="C45" s="97"/>
      <c r="D45" s="98"/>
      <c r="E45" s="97"/>
    </row>
    <row r="46" spans="1:5" x14ac:dyDescent="0.2">
      <c r="A46" s="186"/>
      <c r="B46" s="98"/>
      <c r="C46" s="97"/>
      <c r="D46" s="97"/>
      <c r="E46" s="97"/>
    </row>
    <row r="47" spans="1:5" x14ac:dyDescent="0.2">
      <c r="A47" s="186"/>
      <c r="B47" s="98"/>
      <c r="C47" s="97"/>
      <c r="D47" s="97"/>
      <c r="E47" s="97"/>
    </row>
    <row r="48" spans="1:5" x14ac:dyDescent="0.2">
      <c r="A48" s="186"/>
      <c r="B48" s="98"/>
      <c r="C48" s="97"/>
      <c r="D48" s="97"/>
      <c r="E48" s="97"/>
    </row>
    <row r="49" spans="1:5" x14ac:dyDescent="0.2">
      <c r="A49" s="186"/>
      <c r="B49" s="98"/>
      <c r="C49" s="97"/>
      <c r="D49" s="97"/>
      <c r="E49" s="97"/>
    </row>
    <row r="50" spans="1:5" x14ac:dyDescent="0.2">
      <c r="A50" s="186"/>
      <c r="B50" s="98"/>
      <c r="C50" s="97"/>
      <c r="D50" s="97"/>
      <c r="E50" s="97"/>
    </row>
    <row r="51" spans="1:5" x14ac:dyDescent="0.2">
      <c r="A51" s="186"/>
      <c r="B51" s="98"/>
      <c r="C51" s="97"/>
      <c r="D51" s="97"/>
      <c r="E51" s="97"/>
    </row>
    <row r="52" spans="1:5" x14ac:dyDescent="0.2">
      <c r="A52" s="186"/>
      <c r="B52" s="98"/>
      <c r="C52" s="97"/>
      <c r="D52" s="97"/>
      <c r="E52" s="97"/>
    </row>
    <row r="53" spans="1:5" x14ac:dyDescent="0.2">
      <c r="A53" s="186"/>
      <c r="B53" s="98"/>
      <c r="C53" s="97"/>
      <c r="D53" s="97"/>
      <c r="E53" s="97"/>
    </row>
    <row r="54" spans="1:5" x14ac:dyDescent="0.2">
      <c r="A54" s="186"/>
      <c r="B54" s="98"/>
      <c r="C54" s="97"/>
      <c r="D54" s="97"/>
      <c r="E54" s="97"/>
    </row>
    <row r="55" spans="1:5" x14ac:dyDescent="0.2">
      <c r="A55" s="186"/>
      <c r="B55" s="98"/>
      <c r="C55" s="97"/>
      <c r="D55" s="97"/>
      <c r="E55" s="97"/>
    </row>
    <row r="56" spans="1:5" x14ac:dyDescent="0.2">
      <c r="A56" s="186"/>
      <c r="B56" s="98"/>
      <c r="C56" s="97"/>
      <c r="D56" s="97"/>
      <c r="E56" s="97"/>
    </row>
    <row r="57" spans="1:5" x14ac:dyDescent="0.2">
      <c r="A57" s="186"/>
      <c r="B57" s="97"/>
      <c r="C57" s="97"/>
      <c r="D57" s="97"/>
      <c r="E57" s="97"/>
    </row>
    <row r="58" spans="1:5" x14ac:dyDescent="0.2">
      <c r="A58" s="186"/>
      <c r="B58" s="97"/>
      <c r="C58" s="97"/>
      <c r="D58" s="97"/>
      <c r="E58" s="97"/>
    </row>
    <row r="59" spans="1:5" x14ac:dyDescent="0.2">
      <c r="A59" s="186"/>
      <c r="B59" s="97"/>
      <c r="C59" s="97"/>
      <c r="D59" s="97"/>
      <c r="E59" s="97"/>
    </row>
    <row r="60" spans="1:5" x14ac:dyDescent="0.2">
      <c r="A60" s="186"/>
      <c r="B60" s="97"/>
      <c r="C60" s="97"/>
      <c r="D60" s="97"/>
      <c r="E60" s="97"/>
    </row>
    <row r="61" spans="1:5" x14ac:dyDescent="0.2">
      <c r="A61" s="186"/>
      <c r="B61" s="97"/>
      <c r="C61" s="97"/>
      <c r="D61" s="97"/>
      <c r="E61" s="97"/>
    </row>
  </sheetData>
  <phoneticPr fontId="0" type="noConversion"/>
  <dataValidations count="1">
    <dataValidation type="date" showInputMessage="1" showErrorMessage="1" errorTitle="Incorrect Date Entered" error="You have either entered a date in the wrong format, use dd/mm/yy; or entered a date earlier than 01/01/03." sqref="A14:A61">
      <formula1>37622</formula1>
      <formula2>NOW()</formula2>
    </dataValidation>
  </dataValidations>
  <hyperlinks>
    <hyperlink ref="A1" location="Content!A1" display="Return to Contents"/>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sheetPr>
  <dimension ref="A1:F16"/>
  <sheetViews>
    <sheetView workbookViewId="0"/>
  </sheetViews>
  <sheetFormatPr defaultColWidth="9.140625" defaultRowHeight="12.75" x14ac:dyDescent="0.2"/>
  <cols>
    <col min="1" max="1" width="35.7109375" style="117" bestFit="1" customWidth="1"/>
    <col min="2" max="16384" width="9.140625" style="117"/>
  </cols>
  <sheetData>
    <row r="1" spans="1:6" x14ac:dyDescent="0.2">
      <c r="A1" s="116" t="s">
        <v>360</v>
      </c>
    </row>
    <row r="2" spans="1:6" x14ac:dyDescent="0.2">
      <c r="A2" s="116"/>
    </row>
    <row r="3" spans="1:6" x14ac:dyDescent="0.2">
      <c r="A3" s="137" t="s">
        <v>557</v>
      </c>
      <c r="B3" s="439" t="s">
        <v>385</v>
      </c>
      <c r="C3" s="122"/>
    </row>
    <row r="4" spans="1:6" x14ac:dyDescent="0.2">
      <c r="A4" s="137" t="s">
        <v>558</v>
      </c>
      <c r="B4" s="439" t="s">
        <v>385</v>
      </c>
      <c r="C4" s="122"/>
    </row>
    <row r="5" spans="1:6" x14ac:dyDescent="0.2">
      <c r="A5" s="137" t="s">
        <v>148</v>
      </c>
      <c r="B5" s="419" t="s">
        <v>323</v>
      </c>
    </row>
    <row r="6" spans="1:6" x14ac:dyDescent="0.2">
      <c r="A6" s="137" t="s">
        <v>215</v>
      </c>
      <c r="B6" s="419" t="s">
        <v>323</v>
      </c>
    </row>
    <row r="7" spans="1:6" x14ac:dyDescent="0.2">
      <c r="A7" s="137"/>
      <c r="B7" s="138"/>
    </row>
    <row r="8" spans="1:6" x14ac:dyDescent="0.2">
      <c r="A8" s="200" t="s">
        <v>562</v>
      </c>
    </row>
    <row r="9" spans="1:6" x14ac:dyDescent="0.2">
      <c r="A9" s="140"/>
      <c r="B9" s="160" t="s">
        <v>231</v>
      </c>
      <c r="C9" s="160" t="s">
        <v>469</v>
      </c>
      <c r="D9" s="160" t="s">
        <v>470</v>
      </c>
      <c r="E9" s="160" t="s">
        <v>559</v>
      </c>
      <c r="F9" s="160" t="s">
        <v>560</v>
      </c>
    </row>
    <row r="10" spans="1:6" x14ac:dyDescent="0.2">
      <c r="A10" s="144" t="s">
        <v>386</v>
      </c>
      <c r="B10" s="130" t="s">
        <v>385</v>
      </c>
      <c r="C10" s="130" t="s">
        <v>385</v>
      </c>
      <c r="D10" s="145"/>
      <c r="E10" s="145"/>
      <c r="F10" s="145"/>
    </row>
    <row r="11" spans="1:6" x14ac:dyDescent="0.2">
      <c r="A11" s="144" t="s">
        <v>387</v>
      </c>
      <c r="B11" s="130" t="s">
        <v>385</v>
      </c>
      <c r="C11" s="130" t="s">
        <v>385</v>
      </c>
      <c r="D11" s="145"/>
      <c r="E11" s="145"/>
      <c r="F11" s="145"/>
    </row>
    <row r="13" spans="1:6" x14ac:dyDescent="0.2">
      <c r="A13" s="137" t="s">
        <v>561</v>
      </c>
    </row>
    <row r="14" spans="1:6" x14ac:dyDescent="0.2">
      <c r="A14" s="140"/>
      <c r="B14" s="160" t="s">
        <v>231</v>
      </c>
      <c r="C14" s="160" t="s">
        <v>469</v>
      </c>
      <c r="D14" s="160" t="s">
        <v>470</v>
      </c>
      <c r="E14" s="160" t="s">
        <v>559</v>
      </c>
      <c r="F14" s="160" t="s">
        <v>560</v>
      </c>
    </row>
    <row r="15" spans="1:6" x14ac:dyDescent="0.2">
      <c r="A15" s="144" t="s">
        <v>386</v>
      </c>
      <c r="B15" s="130" t="s">
        <v>385</v>
      </c>
      <c r="C15" s="130" t="s">
        <v>385</v>
      </c>
      <c r="D15" s="145"/>
      <c r="E15" s="145"/>
      <c r="F15" s="145"/>
    </row>
    <row r="16" spans="1:6" x14ac:dyDescent="0.2">
      <c r="A16" s="144" t="s">
        <v>387</v>
      </c>
      <c r="B16" s="130" t="s">
        <v>385</v>
      </c>
      <c r="C16" s="130" t="s">
        <v>385</v>
      </c>
      <c r="D16" s="145"/>
      <c r="E16" s="145"/>
      <c r="F16" s="14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Z143"/>
  <sheetViews>
    <sheetView zoomScaleNormal="100" workbookViewId="0">
      <pane xSplit="1" topLeftCell="B1" activePane="topRight" state="frozen"/>
      <selection activeCell="A46" sqref="A46"/>
      <selection pane="topRight"/>
    </sheetView>
  </sheetViews>
  <sheetFormatPr defaultColWidth="9.140625" defaultRowHeight="12.75" x14ac:dyDescent="0.2"/>
  <cols>
    <col min="1" max="1" width="36.85546875" style="117" customWidth="1"/>
    <col min="2" max="2" width="9" style="117" customWidth="1"/>
    <col min="3" max="4" width="9.140625" style="117" customWidth="1"/>
    <col min="5" max="5" width="8.85546875" style="117" customWidth="1"/>
    <col min="6" max="6" width="9.5703125" style="117" customWidth="1"/>
    <col min="7" max="50" width="9" style="117" customWidth="1"/>
    <col min="51" max="16384" width="9.140625" style="117"/>
  </cols>
  <sheetData>
    <row r="1" spans="1:52" x14ac:dyDescent="0.2">
      <c r="A1" s="116" t="s">
        <v>360</v>
      </c>
    </row>
    <row r="2" spans="1:52" x14ac:dyDescent="0.2">
      <c r="A2" s="116"/>
    </row>
    <row r="3" spans="1:52" x14ac:dyDescent="0.2">
      <c r="A3" s="118" t="s">
        <v>454</v>
      </c>
      <c r="B3" s="155" t="s">
        <v>549</v>
      </c>
    </row>
    <row r="4" spans="1:52" x14ac:dyDescent="0.2">
      <c r="A4" s="118" t="s">
        <v>147</v>
      </c>
      <c r="B4" s="122">
        <f>HLOOKUP(MAX(A9:AQ9),A9:AQ21,13,0)</f>
        <v>218</v>
      </c>
    </row>
    <row r="5" spans="1:52" x14ac:dyDescent="0.2">
      <c r="A5" s="118" t="s">
        <v>119</v>
      </c>
      <c r="B5" s="121">
        <f>MAX(A9:AQ9)</f>
        <v>42948</v>
      </c>
    </row>
    <row r="6" spans="1:52" x14ac:dyDescent="0.2">
      <c r="A6" s="118" t="s">
        <v>201</v>
      </c>
      <c r="B6" s="506" t="s">
        <v>182</v>
      </c>
    </row>
    <row r="7" spans="1:52" x14ac:dyDescent="0.2">
      <c r="A7" s="118" t="s">
        <v>456</v>
      </c>
      <c r="B7" s="173" t="s">
        <v>138</v>
      </c>
    </row>
    <row r="8" spans="1:52" x14ac:dyDescent="0.2">
      <c r="A8" s="208"/>
      <c r="B8" s="121"/>
    </row>
    <row r="9" spans="1:52" x14ac:dyDescent="0.2">
      <c r="A9" s="144" t="s">
        <v>385</v>
      </c>
      <c r="B9" s="124">
        <v>42278</v>
      </c>
      <c r="C9" s="124">
        <v>42309</v>
      </c>
      <c r="D9" s="124">
        <v>42339</v>
      </c>
      <c r="E9" s="124">
        <v>42370</v>
      </c>
      <c r="F9" s="124">
        <v>42401</v>
      </c>
      <c r="G9" s="124">
        <v>42430</v>
      </c>
      <c r="H9" s="124">
        <v>42461</v>
      </c>
      <c r="I9" s="124">
        <v>42491</v>
      </c>
      <c r="J9" s="124">
        <v>42522</v>
      </c>
      <c r="K9" s="124">
        <v>42552</v>
      </c>
      <c r="L9" s="124">
        <v>42583</v>
      </c>
      <c r="M9" s="124">
        <v>42614</v>
      </c>
      <c r="N9" s="124">
        <v>42644</v>
      </c>
      <c r="O9" s="124">
        <v>42675</v>
      </c>
      <c r="P9" s="124">
        <v>42705</v>
      </c>
      <c r="Q9" s="124">
        <v>42736</v>
      </c>
      <c r="R9" s="124">
        <v>42767</v>
      </c>
      <c r="S9" s="124">
        <v>42795</v>
      </c>
      <c r="T9" s="124">
        <v>42826</v>
      </c>
      <c r="U9" s="124">
        <v>42856</v>
      </c>
      <c r="V9" s="124">
        <v>42887</v>
      </c>
      <c r="W9" s="124">
        <v>42917</v>
      </c>
      <c r="X9" s="124">
        <v>42948</v>
      </c>
      <c r="Y9" s="124"/>
      <c r="Z9" s="124"/>
      <c r="AA9" s="124"/>
      <c r="AB9" s="124"/>
      <c r="AC9" s="124"/>
      <c r="AD9" s="124"/>
      <c r="AE9" s="124"/>
      <c r="AF9" s="124"/>
      <c r="AG9" s="124"/>
      <c r="AH9" s="124"/>
      <c r="AI9" s="124"/>
      <c r="AJ9" s="124"/>
      <c r="AK9" s="124"/>
      <c r="AL9" s="124"/>
      <c r="AM9" s="124"/>
      <c r="AN9" s="124"/>
      <c r="AO9" s="124"/>
      <c r="AP9" s="124"/>
      <c r="AQ9" s="124"/>
      <c r="AR9" s="155"/>
      <c r="AS9" s="155"/>
      <c r="AT9" s="155"/>
      <c r="AU9" s="155"/>
      <c r="AV9" s="155"/>
      <c r="AW9" s="155"/>
      <c r="AX9" s="155"/>
      <c r="AY9" s="155"/>
      <c r="AZ9" s="155"/>
    </row>
    <row r="10" spans="1:52" x14ac:dyDescent="0.2">
      <c r="A10" s="209" t="s">
        <v>260</v>
      </c>
      <c r="B10" s="209"/>
      <c r="C10" s="209"/>
      <c r="D10" s="209"/>
      <c r="E10" s="209"/>
      <c r="F10" s="209"/>
      <c r="G10" s="209"/>
      <c r="H10" s="209"/>
      <c r="I10" s="209"/>
      <c r="J10" s="209"/>
      <c r="K10" s="146"/>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155"/>
      <c r="AS10" s="155"/>
      <c r="AT10" s="155"/>
      <c r="AU10" s="155"/>
      <c r="AV10" s="155"/>
      <c r="AW10" s="155"/>
      <c r="AX10" s="155"/>
      <c r="AY10" s="155"/>
      <c r="AZ10" s="155"/>
    </row>
    <row r="11" spans="1:52" x14ac:dyDescent="0.2">
      <c r="A11" s="202" t="s">
        <v>47</v>
      </c>
      <c r="B11" s="202"/>
      <c r="C11" s="202"/>
      <c r="D11" s="202"/>
      <c r="E11" s="202"/>
      <c r="F11" s="202"/>
      <c r="G11" s="202"/>
      <c r="H11" s="202"/>
      <c r="I11" s="202"/>
      <c r="J11" s="202"/>
      <c r="K11" s="105">
        <v>20</v>
      </c>
      <c r="L11" s="105">
        <v>26</v>
      </c>
      <c r="M11" s="105">
        <v>23</v>
      </c>
      <c r="N11" s="105">
        <v>32</v>
      </c>
      <c r="O11" s="105">
        <v>28</v>
      </c>
      <c r="P11" s="105">
        <v>15</v>
      </c>
      <c r="Q11" s="105">
        <v>28</v>
      </c>
      <c r="R11" s="105">
        <v>38</v>
      </c>
      <c r="S11" s="105">
        <v>14</v>
      </c>
      <c r="T11" s="105">
        <v>43</v>
      </c>
      <c r="U11" s="105">
        <v>36</v>
      </c>
      <c r="V11" s="105">
        <v>35</v>
      </c>
      <c r="W11" s="105">
        <v>32</v>
      </c>
      <c r="X11" s="105">
        <v>32</v>
      </c>
      <c r="Y11" s="105"/>
      <c r="Z11" s="105"/>
      <c r="AA11" s="105"/>
      <c r="AB11" s="105"/>
      <c r="AC11" s="105"/>
      <c r="AD11" s="105"/>
      <c r="AE11" s="105"/>
      <c r="AF11" s="105"/>
      <c r="AG11" s="105"/>
      <c r="AH11" s="105"/>
      <c r="AI11" s="105"/>
      <c r="AJ11" s="105"/>
      <c r="AK11" s="105"/>
      <c r="AL11" s="105"/>
      <c r="AM11" s="105"/>
      <c r="AN11" s="105"/>
      <c r="AO11" s="105"/>
      <c r="AP11" s="105"/>
      <c r="AQ11" s="105"/>
      <c r="AR11" s="155"/>
      <c r="AS11" s="155"/>
      <c r="AT11" s="155"/>
      <c r="AU11" s="155"/>
      <c r="AV11" s="155"/>
      <c r="AW11" s="155"/>
      <c r="AX11" s="155"/>
      <c r="AY11" s="155"/>
      <c r="AZ11" s="155"/>
    </row>
    <row r="12" spans="1:52" x14ac:dyDescent="0.2">
      <c r="A12" s="202" t="s">
        <v>407</v>
      </c>
      <c r="B12" s="202"/>
      <c r="C12" s="202"/>
      <c r="D12" s="202"/>
      <c r="E12" s="202"/>
      <c r="F12" s="202"/>
      <c r="G12" s="202"/>
      <c r="H12" s="202"/>
      <c r="I12" s="202"/>
      <c r="J12" s="202"/>
      <c r="K12" s="105">
        <v>2</v>
      </c>
      <c r="L12" s="105">
        <v>11</v>
      </c>
      <c r="M12" s="105">
        <v>14</v>
      </c>
      <c r="N12" s="105">
        <v>9</v>
      </c>
      <c r="O12" s="105">
        <v>4</v>
      </c>
      <c r="P12" s="105">
        <v>11</v>
      </c>
      <c r="Q12" s="105">
        <v>12</v>
      </c>
      <c r="R12" s="105">
        <v>1</v>
      </c>
      <c r="S12" s="105">
        <v>1</v>
      </c>
      <c r="T12" s="105">
        <v>12</v>
      </c>
      <c r="U12" s="105">
        <v>1</v>
      </c>
      <c r="V12" s="105">
        <v>0</v>
      </c>
      <c r="W12" s="105">
        <v>2</v>
      </c>
      <c r="X12" s="105">
        <v>2</v>
      </c>
      <c r="Y12" s="105"/>
      <c r="Z12" s="105"/>
      <c r="AA12" s="105"/>
      <c r="AB12" s="105"/>
      <c r="AC12" s="105"/>
      <c r="AD12" s="105"/>
      <c r="AE12" s="105"/>
      <c r="AF12" s="105"/>
      <c r="AG12" s="105"/>
      <c r="AH12" s="105"/>
      <c r="AI12" s="105"/>
      <c r="AJ12" s="105"/>
      <c r="AK12" s="105"/>
      <c r="AL12" s="105"/>
      <c r="AM12" s="105"/>
      <c r="AN12" s="105"/>
      <c r="AO12" s="105"/>
      <c r="AP12" s="105"/>
      <c r="AQ12" s="105"/>
      <c r="AR12" s="155"/>
      <c r="AS12" s="155"/>
      <c r="AT12" s="155"/>
      <c r="AU12" s="155"/>
      <c r="AV12" s="155"/>
      <c r="AW12" s="155"/>
      <c r="AX12" s="155"/>
      <c r="AY12" s="155"/>
      <c r="AZ12" s="155"/>
    </row>
    <row r="13" spans="1:52" x14ac:dyDescent="0.2">
      <c r="A13" s="202" t="s">
        <v>408</v>
      </c>
      <c r="B13" s="202"/>
      <c r="C13" s="202"/>
      <c r="D13" s="202"/>
      <c r="E13" s="202"/>
      <c r="F13" s="202"/>
      <c r="G13" s="202"/>
      <c r="H13" s="202"/>
      <c r="I13" s="202"/>
      <c r="J13" s="202"/>
      <c r="K13" s="105">
        <v>2</v>
      </c>
      <c r="L13" s="105">
        <v>8</v>
      </c>
      <c r="M13" s="105">
        <v>4</v>
      </c>
      <c r="N13" s="105">
        <v>5</v>
      </c>
      <c r="O13" s="105">
        <v>7</v>
      </c>
      <c r="P13" s="105">
        <v>1</v>
      </c>
      <c r="Q13" s="105">
        <v>4</v>
      </c>
      <c r="R13" s="105">
        <v>2</v>
      </c>
      <c r="S13" s="105">
        <v>6</v>
      </c>
      <c r="T13" s="105">
        <v>8</v>
      </c>
      <c r="U13" s="105">
        <v>5</v>
      </c>
      <c r="V13" s="105">
        <v>13</v>
      </c>
      <c r="W13" s="105">
        <v>1</v>
      </c>
      <c r="X13" s="105">
        <v>2</v>
      </c>
      <c r="Y13" s="105"/>
      <c r="Z13" s="105"/>
      <c r="AA13" s="105"/>
      <c r="AB13" s="105"/>
      <c r="AC13" s="105"/>
      <c r="AD13" s="105"/>
      <c r="AE13" s="105"/>
      <c r="AF13" s="105"/>
      <c r="AG13" s="105"/>
      <c r="AH13" s="105"/>
      <c r="AI13" s="105"/>
      <c r="AJ13" s="105"/>
      <c r="AK13" s="105"/>
      <c r="AL13" s="105"/>
      <c r="AM13" s="105"/>
      <c r="AN13" s="105"/>
      <c r="AO13" s="105"/>
      <c r="AP13" s="105"/>
      <c r="AQ13" s="105"/>
      <c r="AR13" s="155"/>
      <c r="AS13" s="155"/>
      <c r="AT13" s="155"/>
      <c r="AU13" s="155"/>
      <c r="AV13" s="155"/>
      <c r="AW13" s="155"/>
      <c r="AX13" s="155"/>
      <c r="AY13" s="155"/>
      <c r="AZ13" s="155"/>
    </row>
    <row r="14" spans="1:52" x14ac:dyDescent="0.2">
      <c r="A14" s="202" t="s">
        <v>48</v>
      </c>
      <c r="B14" s="202"/>
      <c r="C14" s="202"/>
      <c r="D14" s="202"/>
      <c r="E14" s="202"/>
      <c r="F14" s="202"/>
      <c r="G14" s="202"/>
      <c r="H14" s="202"/>
      <c r="I14" s="202"/>
      <c r="J14" s="202"/>
      <c r="K14" s="105">
        <v>4</v>
      </c>
      <c r="L14" s="105">
        <v>10</v>
      </c>
      <c r="M14" s="105">
        <v>6</v>
      </c>
      <c r="N14" s="105">
        <v>8</v>
      </c>
      <c r="O14" s="105">
        <v>10</v>
      </c>
      <c r="P14" s="105">
        <v>6</v>
      </c>
      <c r="Q14" s="105">
        <v>11</v>
      </c>
      <c r="R14" s="105">
        <v>18</v>
      </c>
      <c r="S14" s="105">
        <v>9</v>
      </c>
      <c r="T14" s="105">
        <v>16</v>
      </c>
      <c r="U14" s="105">
        <v>14</v>
      </c>
      <c r="V14" s="105">
        <v>12</v>
      </c>
      <c r="W14" s="105">
        <v>9</v>
      </c>
      <c r="X14" s="105">
        <v>5</v>
      </c>
      <c r="Y14" s="105"/>
      <c r="Z14" s="105"/>
      <c r="AA14" s="105"/>
      <c r="AB14" s="105"/>
      <c r="AC14" s="105"/>
      <c r="AD14" s="105"/>
      <c r="AE14" s="105"/>
      <c r="AF14" s="105"/>
      <c r="AG14" s="105"/>
      <c r="AH14" s="105"/>
      <c r="AI14" s="105"/>
      <c r="AJ14" s="105"/>
      <c r="AK14" s="105"/>
      <c r="AL14" s="105"/>
      <c r="AM14" s="105"/>
      <c r="AN14" s="105"/>
      <c r="AO14" s="105"/>
      <c r="AP14" s="105"/>
      <c r="AQ14" s="105"/>
      <c r="AR14" s="155"/>
      <c r="AS14" s="155"/>
      <c r="AT14" s="155"/>
      <c r="AU14" s="155"/>
      <c r="AV14" s="155"/>
      <c r="AW14" s="155"/>
      <c r="AX14" s="155"/>
      <c r="AY14" s="155"/>
      <c r="AZ14" s="155"/>
    </row>
    <row r="15" spans="1:52" x14ac:dyDescent="0.2">
      <c r="A15" s="144" t="s">
        <v>247</v>
      </c>
      <c r="B15" s="144"/>
      <c r="C15" s="144"/>
      <c r="D15" s="144"/>
      <c r="E15" s="144"/>
      <c r="F15" s="144"/>
      <c r="G15" s="144"/>
      <c r="H15" s="144"/>
      <c r="I15" s="144"/>
      <c r="J15" s="144"/>
      <c r="K15" s="201">
        <v>29</v>
      </c>
      <c r="L15" s="201">
        <v>55</v>
      </c>
      <c r="M15" s="201">
        <v>47</v>
      </c>
      <c r="N15" s="201">
        <v>55</v>
      </c>
      <c r="O15" s="201">
        <v>49</v>
      </c>
      <c r="P15" s="201">
        <v>33</v>
      </c>
      <c r="Q15" s="201">
        <v>55</v>
      </c>
      <c r="R15" s="201">
        <v>61</v>
      </c>
      <c r="S15" s="201">
        <v>30</v>
      </c>
      <c r="T15" s="201">
        <v>80</v>
      </c>
      <c r="U15" s="201">
        <v>56</v>
      </c>
      <c r="V15" s="201">
        <v>61</v>
      </c>
      <c r="W15" s="201">
        <v>45</v>
      </c>
      <c r="X15" s="201">
        <v>41</v>
      </c>
      <c r="Y15" s="201"/>
      <c r="Z15" s="201"/>
      <c r="AA15" s="201"/>
      <c r="AB15" s="201"/>
      <c r="AC15" s="201"/>
      <c r="AD15" s="201"/>
      <c r="AE15" s="201"/>
      <c r="AF15" s="201"/>
      <c r="AG15" s="201"/>
      <c r="AH15" s="201"/>
      <c r="AI15" s="201"/>
      <c r="AJ15" s="201"/>
      <c r="AK15" s="201"/>
      <c r="AL15" s="201"/>
      <c r="AM15" s="201"/>
      <c r="AN15" s="201"/>
      <c r="AO15" s="201"/>
      <c r="AP15" s="201"/>
      <c r="AQ15" s="201"/>
      <c r="AR15" s="155"/>
      <c r="AS15" s="155"/>
      <c r="AT15" s="155"/>
      <c r="AU15" s="155"/>
      <c r="AV15" s="155"/>
      <c r="AW15" s="155"/>
      <c r="AX15" s="155"/>
      <c r="AY15" s="155"/>
      <c r="AZ15" s="155"/>
    </row>
    <row r="16" spans="1:52" x14ac:dyDescent="0.2">
      <c r="A16" s="144" t="s">
        <v>208</v>
      </c>
      <c r="B16" s="144"/>
      <c r="C16" s="144"/>
      <c r="D16" s="144"/>
      <c r="E16" s="144"/>
      <c r="F16" s="144"/>
      <c r="G16" s="144"/>
      <c r="H16" s="144"/>
      <c r="I16" s="144"/>
      <c r="J16" s="144"/>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55"/>
      <c r="AS16" s="155"/>
      <c r="AT16" s="155"/>
      <c r="AU16" s="155"/>
      <c r="AV16" s="155"/>
      <c r="AW16" s="155"/>
      <c r="AX16" s="155"/>
      <c r="AY16" s="155"/>
      <c r="AZ16" s="155"/>
    </row>
    <row r="17" spans="1:52" x14ac:dyDescent="0.2">
      <c r="A17" s="496" t="s">
        <v>47</v>
      </c>
      <c r="B17" s="496"/>
      <c r="C17" s="496"/>
      <c r="D17" s="496"/>
      <c r="E17" s="496"/>
      <c r="F17" s="496"/>
      <c r="G17" s="496"/>
      <c r="H17" s="496"/>
      <c r="I17" s="496"/>
      <c r="J17" s="496"/>
      <c r="K17" s="496">
        <v>153</v>
      </c>
      <c r="L17" s="496">
        <v>144</v>
      </c>
      <c r="M17" s="496">
        <v>155</v>
      </c>
      <c r="N17" s="496">
        <v>168</v>
      </c>
      <c r="O17" s="496">
        <v>148</v>
      </c>
      <c r="P17" s="496">
        <v>170</v>
      </c>
      <c r="Q17" s="496">
        <v>188</v>
      </c>
      <c r="R17" s="496">
        <v>171</v>
      </c>
      <c r="S17" s="496">
        <v>162</v>
      </c>
      <c r="T17" s="496">
        <v>140</v>
      </c>
      <c r="U17" s="496">
        <v>132</v>
      </c>
      <c r="V17" s="59">
        <v>152</v>
      </c>
      <c r="W17" s="59">
        <v>129</v>
      </c>
      <c r="X17" s="59">
        <v>141</v>
      </c>
      <c r="Y17" s="59"/>
      <c r="Z17" s="59"/>
      <c r="AA17" s="59"/>
      <c r="AB17" s="59"/>
      <c r="AC17" s="59"/>
      <c r="AD17" s="59"/>
      <c r="AE17" s="59"/>
      <c r="AF17" s="59"/>
      <c r="AG17" s="59"/>
      <c r="AH17" s="59"/>
      <c r="AI17" s="59"/>
      <c r="AJ17" s="59"/>
      <c r="AK17" s="59"/>
      <c r="AL17" s="59"/>
      <c r="AM17" s="59"/>
      <c r="AN17" s="59"/>
      <c r="AO17" s="59"/>
      <c r="AP17" s="59"/>
      <c r="AQ17" s="59"/>
      <c r="AR17" s="155"/>
      <c r="AS17" s="155"/>
      <c r="AT17" s="155"/>
      <c r="AU17" s="155"/>
      <c r="AV17" s="155"/>
      <c r="AW17" s="155"/>
      <c r="AX17" s="155"/>
      <c r="AY17" s="155"/>
      <c r="AZ17" s="155"/>
    </row>
    <row r="18" spans="1:52" x14ac:dyDescent="0.2">
      <c r="A18" s="496" t="s">
        <v>407</v>
      </c>
      <c r="B18" s="496"/>
      <c r="C18" s="496"/>
      <c r="D18" s="496"/>
      <c r="E18" s="496"/>
      <c r="F18" s="496"/>
      <c r="G18" s="496"/>
      <c r="H18" s="496"/>
      <c r="I18" s="496"/>
      <c r="J18" s="496"/>
      <c r="K18" s="496">
        <v>35</v>
      </c>
      <c r="L18" s="496">
        <v>47</v>
      </c>
      <c r="M18" s="496">
        <v>44</v>
      </c>
      <c r="N18" s="496">
        <v>31</v>
      </c>
      <c r="O18" s="496">
        <v>21</v>
      </c>
      <c r="P18" s="496">
        <v>35</v>
      </c>
      <c r="Q18" s="496">
        <v>28</v>
      </c>
      <c r="R18" s="496">
        <v>24</v>
      </c>
      <c r="S18" s="496">
        <v>15</v>
      </c>
      <c r="T18" s="496">
        <v>17</v>
      </c>
      <c r="U18" s="496">
        <v>8</v>
      </c>
      <c r="V18" s="59">
        <v>11</v>
      </c>
      <c r="W18" s="59">
        <v>12</v>
      </c>
      <c r="X18" s="59">
        <v>17</v>
      </c>
      <c r="Y18" s="59"/>
      <c r="Z18" s="59"/>
      <c r="AA18" s="59"/>
      <c r="AB18" s="59"/>
      <c r="AC18" s="59"/>
      <c r="AD18" s="59"/>
      <c r="AE18" s="59"/>
      <c r="AF18" s="59"/>
      <c r="AG18" s="59"/>
      <c r="AH18" s="59"/>
      <c r="AI18" s="59"/>
      <c r="AJ18" s="59"/>
      <c r="AK18" s="59"/>
      <c r="AL18" s="59"/>
      <c r="AM18" s="59"/>
      <c r="AN18" s="59"/>
      <c r="AO18" s="59"/>
      <c r="AP18" s="59"/>
      <c r="AQ18" s="59"/>
      <c r="AR18" s="155"/>
      <c r="AS18" s="155"/>
      <c r="AT18" s="155"/>
      <c r="AU18" s="155"/>
      <c r="AV18" s="155"/>
      <c r="AW18" s="155"/>
      <c r="AX18" s="155"/>
      <c r="AY18" s="155"/>
      <c r="AZ18" s="155"/>
    </row>
    <row r="19" spans="1:52" x14ac:dyDescent="0.2">
      <c r="A19" s="496" t="s">
        <v>408</v>
      </c>
      <c r="B19" s="496"/>
      <c r="C19" s="496"/>
      <c r="D19" s="496"/>
      <c r="E19" s="496"/>
      <c r="F19" s="496"/>
      <c r="G19" s="496"/>
      <c r="H19" s="496"/>
      <c r="I19" s="496"/>
      <c r="J19" s="496"/>
      <c r="K19" s="496">
        <v>15</v>
      </c>
      <c r="L19" s="496">
        <v>13</v>
      </c>
      <c r="M19" s="496">
        <v>25</v>
      </c>
      <c r="N19" s="496">
        <v>12</v>
      </c>
      <c r="O19" s="496">
        <v>13</v>
      </c>
      <c r="P19" s="496">
        <v>17</v>
      </c>
      <c r="Q19" s="496">
        <v>9</v>
      </c>
      <c r="R19" s="496">
        <v>10</v>
      </c>
      <c r="S19" s="496">
        <v>20</v>
      </c>
      <c r="T19" s="496">
        <v>22</v>
      </c>
      <c r="U19" s="496">
        <v>29</v>
      </c>
      <c r="V19" s="59">
        <v>24</v>
      </c>
      <c r="W19" s="59">
        <v>24</v>
      </c>
      <c r="X19" s="59">
        <v>17</v>
      </c>
      <c r="Y19" s="59"/>
      <c r="Z19" s="59"/>
      <c r="AA19" s="59"/>
      <c r="AB19" s="59"/>
      <c r="AC19" s="59"/>
      <c r="AD19" s="59"/>
      <c r="AE19" s="59"/>
      <c r="AF19" s="59"/>
      <c r="AG19" s="59"/>
      <c r="AH19" s="59"/>
      <c r="AI19" s="59"/>
      <c r="AJ19" s="59"/>
      <c r="AK19" s="59"/>
      <c r="AL19" s="59"/>
      <c r="AM19" s="59"/>
      <c r="AN19" s="59"/>
      <c r="AO19" s="59"/>
      <c r="AP19" s="59"/>
      <c r="AQ19" s="59"/>
      <c r="AR19" s="155"/>
      <c r="AS19" s="155"/>
      <c r="AT19" s="155"/>
      <c r="AU19" s="155"/>
      <c r="AV19" s="155"/>
      <c r="AW19" s="155"/>
      <c r="AX19" s="155"/>
      <c r="AY19" s="155"/>
      <c r="AZ19" s="155"/>
    </row>
    <row r="20" spans="1:52" x14ac:dyDescent="0.2">
      <c r="A20" s="496" t="s">
        <v>48</v>
      </c>
      <c r="B20" s="496"/>
      <c r="C20" s="496"/>
      <c r="D20" s="496"/>
      <c r="E20" s="496"/>
      <c r="F20" s="496"/>
      <c r="G20" s="496"/>
      <c r="H20" s="496"/>
      <c r="I20" s="496"/>
      <c r="J20" s="496"/>
      <c r="K20" s="59">
        <v>33</v>
      </c>
      <c r="L20" s="59">
        <v>23</v>
      </c>
      <c r="M20" s="59">
        <v>23</v>
      </c>
      <c r="N20" s="59">
        <v>23</v>
      </c>
      <c r="O20" s="59">
        <v>26</v>
      </c>
      <c r="P20" s="59">
        <v>17</v>
      </c>
      <c r="Q20" s="59">
        <v>36</v>
      </c>
      <c r="R20" s="59">
        <v>24</v>
      </c>
      <c r="S20" s="59">
        <v>27</v>
      </c>
      <c r="T20" s="59">
        <v>24</v>
      </c>
      <c r="U20" s="59">
        <v>16</v>
      </c>
      <c r="V20" s="59">
        <v>24</v>
      </c>
      <c r="W20" s="59">
        <v>30</v>
      </c>
      <c r="X20" s="59">
        <v>40</v>
      </c>
      <c r="Y20" s="59"/>
      <c r="Z20" s="59"/>
      <c r="AA20" s="59"/>
      <c r="AB20" s="59"/>
      <c r="AC20" s="59"/>
      <c r="AD20" s="59"/>
      <c r="AE20" s="59"/>
      <c r="AF20" s="59"/>
      <c r="AG20" s="59"/>
      <c r="AH20" s="59"/>
      <c r="AI20" s="59"/>
      <c r="AJ20" s="59"/>
      <c r="AK20" s="59"/>
      <c r="AL20" s="59"/>
      <c r="AM20" s="59"/>
      <c r="AN20" s="59"/>
      <c r="AO20" s="59"/>
      <c r="AP20" s="59"/>
      <c r="AQ20" s="59"/>
      <c r="AR20" s="155"/>
      <c r="AS20" s="155"/>
      <c r="AT20" s="155"/>
      <c r="AU20" s="155"/>
      <c r="AV20" s="155"/>
      <c r="AW20" s="155"/>
      <c r="AX20" s="155"/>
      <c r="AY20" s="155"/>
      <c r="AZ20" s="155"/>
    </row>
    <row r="21" spans="1:52" x14ac:dyDescent="0.2">
      <c r="A21" s="204" t="s">
        <v>247</v>
      </c>
      <c r="B21" s="204"/>
      <c r="C21" s="204"/>
      <c r="D21" s="204"/>
      <c r="E21" s="204"/>
      <c r="F21" s="204"/>
      <c r="G21" s="204"/>
      <c r="H21" s="204"/>
      <c r="I21" s="204"/>
      <c r="J21" s="204"/>
      <c r="K21" s="101">
        <v>241</v>
      </c>
      <c r="L21" s="101">
        <v>232</v>
      </c>
      <c r="M21" s="101">
        <v>249</v>
      </c>
      <c r="N21" s="101">
        <v>236</v>
      </c>
      <c r="O21" s="101">
        <v>208</v>
      </c>
      <c r="P21" s="101">
        <v>240</v>
      </c>
      <c r="Q21" s="101">
        <v>261</v>
      </c>
      <c r="R21" s="101">
        <v>230</v>
      </c>
      <c r="S21" s="101">
        <v>225</v>
      </c>
      <c r="T21" s="101">
        <v>204</v>
      </c>
      <c r="U21" s="101">
        <v>186</v>
      </c>
      <c r="V21" s="101">
        <v>213</v>
      </c>
      <c r="W21" s="101">
        <v>200</v>
      </c>
      <c r="X21" s="101">
        <v>218</v>
      </c>
      <c r="Y21" s="101"/>
      <c r="Z21" s="101"/>
      <c r="AA21" s="101"/>
      <c r="AB21" s="101"/>
      <c r="AC21" s="101"/>
      <c r="AD21" s="101"/>
      <c r="AE21" s="101"/>
      <c r="AF21" s="101"/>
      <c r="AG21" s="101"/>
      <c r="AH21" s="101"/>
      <c r="AI21" s="101"/>
      <c r="AJ21" s="101"/>
      <c r="AK21" s="101"/>
      <c r="AL21" s="101"/>
      <c r="AM21" s="101"/>
      <c r="AN21" s="101"/>
      <c r="AO21" s="101"/>
      <c r="AP21" s="101"/>
      <c r="AQ21" s="101"/>
      <c r="AR21" s="155"/>
      <c r="AS21" s="155"/>
      <c r="AT21" s="155"/>
      <c r="AU21" s="155"/>
      <c r="AV21" s="155"/>
      <c r="AW21" s="155"/>
      <c r="AX21" s="155"/>
      <c r="AY21" s="155"/>
      <c r="AZ21" s="155"/>
    </row>
    <row r="22" spans="1:52" x14ac:dyDescent="0.2">
      <c r="A22" s="144" t="s">
        <v>194</v>
      </c>
      <c r="B22" s="144"/>
      <c r="C22" s="144"/>
      <c r="D22" s="144"/>
      <c r="E22" s="144"/>
      <c r="F22" s="144"/>
      <c r="G22" s="144"/>
      <c r="H22" s="144"/>
      <c r="I22" s="144"/>
      <c r="J22" s="144"/>
      <c r="K22" s="201"/>
      <c r="L22" s="101"/>
      <c r="M22" s="105"/>
      <c r="N22" s="101"/>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55"/>
      <c r="AS22" s="155"/>
      <c r="AT22" s="155"/>
      <c r="AU22" s="155"/>
      <c r="AV22" s="155"/>
      <c r="AW22" s="155"/>
      <c r="AX22" s="155"/>
      <c r="AY22" s="155"/>
      <c r="AZ22" s="155"/>
    </row>
    <row r="23" spans="1:52" x14ac:dyDescent="0.2">
      <c r="A23" s="203" t="s">
        <v>47</v>
      </c>
      <c r="B23" s="203"/>
      <c r="C23" s="203"/>
      <c r="D23" s="203"/>
      <c r="E23" s="203"/>
      <c r="F23" s="203"/>
      <c r="G23" s="203"/>
      <c r="H23" s="203"/>
      <c r="I23" s="203"/>
      <c r="J23" s="203"/>
      <c r="K23" s="105">
        <v>25</v>
      </c>
      <c r="L23" s="106">
        <v>22</v>
      </c>
      <c r="M23" s="105">
        <v>23</v>
      </c>
      <c r="N23" s="106">
        <v>25</v>
      </c>
      <c r="O23" s="105">
        <v>22</v>
      </c>
      <c r="P23" s="105">
        <v>18</v>
      </c>
      <c r="Q23" s="105">
        <v>12</v>
      </c>
      <c r="R23" s="105">
        <v>13</v>
      </c>
      <c r="S23" s="105">
        <v>16</v>
      </c>
      <c r="T23" s="105">
        <v>32</v>
      </c>
      <c r="U23" s="105">
        <v>33</v>
      </c>
      <c r="V23" s="105">
        <v>25</v>
      </c>
      <c r="W23" s="105">
        <v>25</v>
      </c>
      <c r="X23" s="105">
        <v>26</v>
      </c>
      <c r="Y23" s="105"/>
      <c r="Z23" s="105"/>
      <c r="AA23" s="105"/>
      <c r="AB23" s="105"/>
      <c r="AC23" s="105"/>
      <c r="AD23" s="105"/>
      <c r="AE23" s="105"/>
      <c r="AF23" s="105"/>
      <c r="AG23" s="105"/>
      <c r="AH23" s="105"/>
      <c r="AI23" s="105"/>
      <c r="AJ23" s="105"/>
      <c r="AK23" s="105"/>
      <c r="AL23" s="105"/>
      <c r="AM23" s="105"/>
      <c r="AN23" s="105"/>
      <c r="AO23" s="105"/>
      <c r="AP23" s="105"/>
      <c r="AQ23" s="105"/>
      <c r="AR23" s="155"/>
      <c r="AS23" s="155"/>
      <c r="AT23" s="155"/>
      <c r="AU23" s="155"/>
      <c r="AV23" s="155"/>
      <c r="AW23" s="155"/>
      <c r="AX23" s="155"/>
      <c r="AY23" s="155"/>
      <c r="AZ23" s="155"/>
    </row>
    <row r="24" spans="1:52" x14ac:dyDescent="0.2">
      <c r="A24" s="203" t="s">
        <v>407</v>
      </c>
      <c r="B24" s="203"/>
      <c r="C24" s="203"/>
      <c r="D24" s="203"/>
      <c r="E24" s="203"/>
      <c r="F24" s="203"/>
      <c r="G24" s="203"/>
      <c r="H24" s="203"/>
      <c r="I24" s="203"/>
      <c r="J24" s="203"/>
      <c r="K24" s="105">
        <v>3</v>
      </c>
      <c r="L24" s="106">
        <v>3</v>
      </c>
      <c r="M24" s="105">
        <v>2</v>
      </c>
      <c r="N24" s="106">
        <v>1</v>
      </c>
      <c r="O24" s="105">
        <v>1</v>
      </c>
      <c r="P24" s="105">
        <v>1</v>
      </c>
      <c r="Q24" s="105">
        <v>1</v>
      </c>
      <c r="R24" s="105">
        <v>0</v>
      </c>
      <c r="S24" s="105">
        <v>0</v>
      </c>
      <c r="T24" s="105">
        <v>0</v>
      </c>
      <c r="U24" s="105">
        <v>2</v>
      </c>
      <c r="V24" s="105">
        <v>1</v>
      </c>
      <c r="W24" s="105">
        <v>1</v>
      </c>
      <c r="X24" s="105">
        <v>3</v>
      </c>
      <c r="Y24" s="105"/>
      <c r="Z24" s="105"/>
      <c r="AA24" s="105"/>
      <c r="AB24" s="105"/>
      <c r="AC24" s="105"/>
      <c r="AD24" s="105"/>
      <c r="AE24" s="105"/>
      <c r="AF24" s="105"/>
      <c r="AG24" s="105"/>
      <c r="AH24" s="105"/>
      <c r="AI24" s="105"/>
      <c r="AJ24" s="105"/>
      <c r="AK24" s="105"/>
      <c r="AL24" s="105"/>
      <c r="AM24" s="105"/>
      <c r="AN24" s="105"/>
      <c r="AO24" s="105"/>
      <c r="AP24" s="105"/>
      <c r="AQ24" s="105"/>
      <c r="AR24" s="155"/>
      <c r="AS24" s="155"/>
      <c r="AT24" s="155"/>
      <c r="AU24" s="155"/>
      <c r="AV24" s="155"/>
      <c r="AW24" s="155"/>
      <c r="AX24" s="155"/>
      <c r="AY24" s="155"/>
      <c r="AZ24" s="155"/>
    </row>
    <row r="25" spans="1:52" x14ac:dyDescent="0.2">
      <c r="A25" s="203" t="s">
        <v>408</v>
      </c>
      <c r="B25" s="203"/>
      <c r="C25" s="203"/>
      <c r="D25" s="203"/>
      <c r="E25" s="203"/>
      <c r="F25" s="203"/>
      <c r="G25" s="203"/>
      <c r="H25" s="203"/>
      <c r="I25" s="203"/>
      <c r="J25" s="203"/>
      <c r="K25" s="105">
        <v>7</v>
      </c>
      <c r="L25" s="106">
        <v>6</v>
      </c>
      <c r="M25" s="105">
        <v>5</v>
      </c>
      <c r="N25" s="106">
        <v>4</v>
      </c>
      <c r="O25" s="105">
        <v>2</v>
      </c>
      <c r="P25" s="105">
        <v>4</v>
      </c>
      <c r="Q25" s="105">
        <v>3</v>
      </c>
      <c r="R25" s="105">
        <v>6</v>
      </c>
      <c r="S25" s="105">
        <v>4</v>
      </c>
      <c r="T25" s="105">
        <v>4</v>
      </c>
      <c r="U25" s="105">
        <v>4</v>
      </c>
      <c r="V25" s="105">
        <v>8</v>
      </c>
      <c r="W25" s="105">
        <v>6</v>
      </c>
      <c r="X25" s="105">
        <v>5</v>
      </c>
      <c r="Y25" s="105"/>
      <c r="Z25" s="105"/>
      <c r="AA25" s="105"/>
      <c r="AB25" s="105"/>
      <c r="AC25" s="105"/>
      <c r="AD25" s="105"/>
      <c r="AE25" s="105"/>
      <c r="AF25" s="105"/>
      <c r="AG25" s="105"/>
      <c r="AH25" s="105"/>
      <c r="AI25" s="105"/>
      <c r="AJ25" s="105"/>
      <c r="AK25" s="105"/>
      <c r="AL25" s="105"/>
      <c r="AM25" s="105"/>
      <c r="AN25" s="105"/>
      <c r="AO25" s="105"/>
      <c r="AP25" s="105"/>
      <c r="AQ25" s="105"/>
      <c r="AR25" s="155"/>
      <c r="AS25" s="155"/>
      <c r="AT25" s="155"/>
      <c r="AU25" s="155"/>
      <c r="AV25" s="155"/>
      <c r="AW25" s="155"/>
      <c r="AX25" s="155"/>
      <c r="AY25" s="155"/>
      <c r="AZ25" s="155"/>
    </row>
    <row r="26" spans="1:52" x14ac:dyDescent="0.2">
      <c r="A26" s="203" t="s">
        <v>48</v>
      </c>
      <c r="B26" s="203"/>
      <c r="C26" s="203"/>
      <c r="D26" s="203"/>
      <c r="E26" s="203"/>
      <c r="F26" s="203"/>
      <c r="G26" s="203"/>
      <c r="H26" s="203"/>
      <c r="I26" s="203"/>
      <c r="J26" s="203"/>
      <c r="K26" s="105">
        <v>3</v>
      </c>
      <c r="L26" s="106">
        <v>5</v>
      </c>
      <c r="M26" s="105">
        <v>9</v>
      </c>
      <c r="N26" s="106">
        <v>5</v>
      </c>
      <c r="O26" s="105">
        <v>5</v>
      </c>
      <c r="P26" s="105">
        <v>3</v>
      </c>
      <c r="Q26" s="105">
        <v>4</v>
      </c>
      <c r="R26" s="105">
        <v>7</v>
      </c>
      <c r="S26" s="105">
        <v>6</v>
      </c>
      <c r="T26" s="105">
        <v>7</v>
      </c>
      <c r="U26" s="105">
        <v>6</v>
      </c>
      <c r="V26" s="105">
        <v>6</v>
      </c>
      <c r="W26" s="105">
        <v>8</v>
      </c>
      <c r="X26" s="105">
        <v>7</v>
      </c>
      <c r="Y26" s="105"/>
      <c r="Z26" s="105"/>
      <c r="AA26" s="105"/>
      <c r="AB26" s="105"/>
      <c r="AC26" s="105"/>
      <c r="AD26" s="105"/>
      <c r="AE26" s="105"/>
      <c r="AF26" s="105"/>
      <c r="AG26" s="105"/>
      <c r="AH26" s="105"/>
      <c r="AI26" s="105"/>
      <c r="AJ26" s="105"/>
      <c r="AK26" s="105"/>
      <c r="AL26" s="105"/>
      <c r="AM26" s="105"/>
      <c r="AN26" s="105"/>
      <c r="AO26" s="105"/>
      <c r="AP26" s="105"/>
      <c r="AQ26" s="105"/>
      <c r="AR26" s="155"/>
      <c r="AS26" s="155"/>
      <c r="AT26" s="155"/>
      <c r="AU26" s="155"/>
      <c r="AV26" s="155"/>
      <c r="AW26" s="155"/>
      <c r="AX26" s="155"/>
      <c r="AY26" s="155"/>
      <c r="AZ26" s="155"/>
    </row>
    <row r="27" spans="1:52" x14ac:dyDescent="0.2">
      <c r="A27" s="144" t="s">
        <v>247</v>
      </c>
      <c r="B27" s="144"/>
      <c r="C27" s="144"/>
      <c r="D27" s="144"/>
      <c r="E27" s="144"/>
      <c r="F27" s="144"/>
      <c r="G27" s="144"/>
      <c r="H27" s="144"/>
      <c r="I27" s="144"/>
      <c r="J27" s="144"/>
      <c r="K27" s="201">
        <v>38</v>
      </c>
      <c r="L27" s="376">
        <v>36</v>
      </c>
      <c r="M27" s="201">
        <v>39</v>
      </c>
      <c r="N27" s="376">
        <v>35</v>
      </c>
      <c r="O27" s="201">
        <v>30</v>
      </c>
      <c r="P27" s="201">
        <v>26</v>
      </c>
      <c r="Q27" s="201">
        <v>20</v>
      </c>
      <c r="R27" s="201">
        <v>26</v>
      </c>
      <c r="S27" s="201">
        <v>26</v>
      </c>
      <c r="T27" s="201">
        <v>44</v>
      </c>
      <c r="U27" s="201">
        <v>45</v>
      </c>
      <c r="V27" s="201">
        <v>40</v>
      </c>
      <c r="W27" s="201">
        <v>40</v>
      </c>
      <c r="X27" s="201">
        <v>43</v>
      </c>
      <c r="Y27" s="201"/>
      <c r="Z27" s="201"/>
      <c r="AA27" s="201"/>
      <c r="AB27" s="201"/>
      <c r="AC27" s="201"/>
      <c r="AD27" s="201"/>
      <c r="AE27" s="201"/>
      <c r="AF27" s="201"/>
      <c r="AG27" s="201"/>
      <c r="AH27" s="201"/>
      <c r="AI27" s="201"/>
      <c r="AJ27" s="201"/>
      <c r="AK27" s="201"/>
      <c r="AL27" s="201"/>
      <c r="AM27" s="201"/>
      <c r="AN27" s="201"/>
      <c r="AO27" s="201"/>
      <c r="AP27" s="201"/>
      <c r="AQ27" s="201"/>
      <c r="AR27" s="155"/>
      <c r="AS27" s="155"/>
      <c r="AT27" s="155"/>
      <c r="AU27" s="155"/>
      <c r="AV27" s="155"/>
      <c r="AW27" s="155"/>
      <c r="AX27" s="155"/>
      <c r="AY27" s="155"/>
      <c r="AZ27" s="155"/>
    </row>
    <row r="28" spans="1:52" x14ac:dyDescent="0.2">
      <c r="A28" s="144" t="s">
        <v>246</v>
      </c>
      <c r="B28" s="144"/>
      <c r="C28" s="144"/>
      <c r="D28" s="144"/>
      <c r="E28" s="144"/>
      <c r="F28" s="144"/>
      <c r="G28" s="144"/>
      <c r="H28" s="144"/>
      <c r="I28" s="144"/>
      <c r="J28" s="144"/>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55"/>
      <c r="AS28" s="155"/>
      <c r="AT28" s="155"/>
      <c r="AU28" s="155"/>
      <c r="AV28" s="155"/>
      <c r="AW28" s="155"/>
      <c r="AX28" s="155"/>
      <c r="AY28" s="155"/>
      <c r="AZ28" s="155"/>
    </row>
    <row r="29" spans="1:52" x14ac:dyDescent="0.2">
      <c r="A29" s="203" t="s">
        <v>47</v>
      </c>
      <c r="B29" s="203"/>
      <c r="C29" s="203"/>
      <c r="D29" s="203"/>
      <c r="E29" s="203"/>
      <c r="F29" s="203"/>
      <c r="G29" s="203"/>
      <c r="H29" s="203"/>
      <c r="I29" s="203"/>
      <c r="J29" s="203"/>
      <c r="K29" s="105">
        <v>23</v>
      </c>
      <c r="L29" s="105">
        <v>23</v>
      </c>
      <c r="M29" s="105">
        <v>27</v>
      </c>
      <c r="N29" s="105">
        <v>23</v>
      </c>
      <c r="O29" s="105">
        <v>25</v>
      </c>
      <c r="P29" s="105">
        <v>27</v>
      </c>
      <c r="Q29" s="105">
        <v>26</v>
      </c>
      <c r="R29" s="105">
        <v>21</v>
      </c>
      <c r="S29" s="105">
        <v>22</v>
      </c>
      <c r="T29" s="105">
        <v>19</v>
      </c>
      <c r="U29" s="105">
        <v>17</v>
      </c>
      <c r="V29" s="105">
        <v>16</v>
      </c>
      <c r="W29" s="105">
        <v>17</v>
      </c>
      <c r="X29" s="105">
        <v>13</v>
      </c>
      <c r="Y29" s="105"/>
      <c r="Z29" s="105"/>
      <c r="AA29" s="105"/>
      <c r="AB29" s="105"/>
      <c r="AC29" s="105"/>
      <c r="AD29" s="105"/>
      <c r="AE29" s="105"/>
      <c r="AF29" s="105"/>
      <c r="AG29" s="105"/>
      <c r="AH29" s="105"/>
      <c r="AI29" s="105"/>
      <c r="AJ29" s="105"/>
      <c r="AK29" s="105"/>
      <c r="AL29" s="105"/>
      <c r="AM29" s="105"/>
      <c r="AN29" s="105"/>
      <c r="AO29" s="105"/>
      <c r="AP29" s="105"/>
      <c r="AQ29" s="105"/>
      <c r="AR29" s="155"/>
      <c r="AS29" s="155"/>
      <c r="AT29" s="155"/>
      <c r="AU29" s="155"/>
      <c r="AV29" s="155"/>
      <c r="AW29" s="155"/>
      <c r="AX29" s="155"/>
      <c r="AY29" s="155"/>
      <c r="AZ29" s="155"/>
    </row>
    <row r="30" spans="1:52" x14ac:dyDescent="0.2">
      <c r="A30" s="203" t="s">
        <v>407</v>
      </c>
      <c r="B30" s="203"/>
      <c r="C30" s="203"/>
      <c r="D30" s="203"/>
      <c r="E30" s="203"/>
      <c r="F30" s="203"/>
      <c r="G30" s="203"/>
      <c r="H30" s="203"/>
      <c r="I30" s="203"/>
      <c r="J30" s="203"/>
      <c r="K30" s="105">
        <v>3</v>
      </c>
      <c r="L30" s="105">
        <v>5</v>
      </c>
      <c r="M30" s="105">
        <v>4</v>
      </c>
      <c r="N30" s="105">
        <v>2</v>
      </c>
      <c r="O30" s="105">
        <v>2</v>
      </c>
      <c r="P30" s="105">
        <v>1</v>
      </c>
      <c r="Q30" s="105">
        <v>2</v>
      </c>
      <c r="R30" s="105">
        <v>2</v>
      </c>
      <c r="S30" s="105">
        <v>1</v>
      </c>
      <c r="T30" s="105">
        <v>1</v>
      </c>
      <c r="U30" s="105">
        <v>0</v>
      </c>
      <c r="V30" s="105">
        <v>0</v>
      </c>
      <c r="W30" s="105">
        <v>1</v>
      </c>
      <c r="X30" s="105">
        <v>1</v>
      </c>
      <c r="Y30" s="105"/>
      <c r="Z30" s="105"/>
      <c r="AA30" s="105"/>
      <c r="AB30" s="105"/>
      <c r="AC30" s="105"/>
      <c r="AD30" s="105"/>
      <c r="AE30" s="105"/>
      <c r="AF30" s="105"/>
      <c r="AG30" s="105"/>
      <c r="AH30" s="105"/>
      <c r="AI30" s="105"/>
      <c r="AJ30" s="105"/>
      <c r="AK30" s="105"/>
      <c r="AL30" s="105"/>
      <c r="AM30" s="105"/>
      <c r="AN30" s="105"/>
      <c r="AO30" s="105"/>
      <c r="AP30" s="105"/>
      <c r="AQ30" s="105"/>
      <c r="AR30" s="155"/>
      <c r="AS30" s="155"/>
      <c r="AT30" s="155"/>
      <c r="AU30" s="155"/>
      <c r="AV30" s="155"/>
      <c r="AW30" s="155"/>
      <c r="AX30" s="155"/>
      <c r="AY30" s="155"/>
      <c r="AZ30" s="155"/>
    </row>
    <row r="31" spans="1:52" x14ac:dyDescent="0.2">
      <c r="A31" s="203" t="s">
        <v>408</v>
      </c>
      <c r="B31" s="203"/>
      <c r="C31" s="203"/>
      <c r="D31" s="203"/>
      <c r="E31" s="203"/>
      <c r="F31" s="203"/>
      <c r="G31" s="203"/>
      <c r="H31" s="203"/>
      <c r="I31" s="203"/>
      <c r="J31" s="203"/>
      <c r="K31" s="105">
        <v>4</v>
      </c>
      <c r="L31" s="105">
        <v>3</v>
      </c>
      <c r="M31" s="105">
        <v>3</v>
      </c>
      <c r="N31" s="105">
        <v>5</v>
      </c>
      <c r="O31" s="105">
        <v>5</v>
      </c>
      <c r="P31" s="105">
        <v>4</v>
      </c>
      <c r="Q31" s="105">
        <v>3</v>
      </c>
      <c r="R31" s="105">
        <v>3</v>
      </c>
      <c r="S31" s="105">
        <v>4</v>
      </c>
      <c r="T31" s="105">
        <v>5</v>
      </c>
      <c r="U31" s="105">
        <v>5</v>
      </c>
      <c r="V31" s="105">
        <v>4</v>
      </c>
      <c r="W31" s="105">
        <v>4</v>
      </c>
      <c r="X31" s="105">
        <v>2</v>
      </c>
      <c r="Y31" s="105"/>
      <c r="Z31" s="105"/>
      <c r="AA31" s="105"/>
      <c r="AB31" s="105"/>
      <c r="AC31" s="105"/>
      <c r="AD31" s="105"/>
      <c r="AE31" s="105"/>
      <c r="AF31" s="105"/>
      <c r="AG31" s="105"/>
      <c r="AH31" s="105"/>
      <c r="AI31" s="105"/>
      <c r="AJ31" s="105"/>
      <c r="AK31" s="105"/>
      <c r="AL31" s="105"/>
      <c r="AM31" s="105"/>
      <c r="AN31" s="105"/>
      <c r="AO31" s="105"/>
      <c r="AP31" s="105"/>
      <c r="AQ31" s="105"/>
      <c r="AR31" s="155"/>
      <c r="AS31" s="155"/>
      <c r="AT31" s="155"/>
      <c r="AU31" s="155"/>
      <c r="AV31" s="155"/>
      <c r="AW31" s="155"/>
      <c r="AX31" s="155"/>
      <c r="AY31" s="155"/>
      <c r="AZ31" s="155"/>
    </row>
    <row r="32" spans="1:52" x14ac:dyDescent="0.2">
      <c r="A32" s="203" t="s">
        <v>48</v>
      </c>
      <c r="B32" s="203"/>
      <c r="C32" s="203"/>
      <c r="D32" s="203"/>
      <c r="E32" s="203"/>
      <c r="F32" s="203"/>
      <c r="G32" s="203"/>
      <c r="H32" s="203"/>
      <c r="I32" s="203"/>
      <c r="J32" s="203"/>
      <c r="K32" s="105">
        <v>4</v>
      </c>
      <c r="L32" s="105">
        <v>6</v>
      </c>
      <c r="M32" s="105">
        <v>6</v>
      </c>
      <c r="N32" s="105">
        <v>5</v>
      </c>
      <c r="O32" s="105">
        <v>5</v>
      </c>
      <c r="P32" s="105">
        <v>6</v>
      </c>
      <c r="Q32" s="105">
        <v>6</v>
      </c>
      <c r="R32" s="105">
        <v>6</v>
      </c>
      <c r="S32" s="105">
        <v>7</v>
      </c>
      <c r="T32" s="105">
        <v>6</v>
      </c>
      <c r="U32" s="105">
        <v>6</v>
      </c>
      <c r="V32" s="105">
        <v>7</v>
      </c>
      <c r="W32" s="105">
        <v>7</v>
      </c>
      <c r="X32" s="105">
        <v>6</v>
      </c>
      <c r="Y32" s="105"/>
      <c r="Z32" s="105"/>
      <c r="AA32" s="105"/>
      <c r="AB32" s="105"/>
      <c r="AC32" s="105"/>
      <c r="AD32" s="105"/>
      <c r="AE32" s="105"/>
      <c r="AF32" s="105"/>
      <c r="AG32" s="105"/>
      <c r="AH32" s="105"/>
      <c r="AI32" s="105"/>
      <c r="AJ32" s="105"/>
      <c r="AK32" s="105"/>
      <c r="AL32" s="105"/>
      <c r="AM32" s="105"/>
      <c r="AN32" s="105"/>
      <c r="AO32" s="105"/>
      <c r="AP32" s="105"/>
      <c r="AQ32" s="105"/>
      <c r="AR32" s="155"/>
      <c r="AS32" s="155"/>
      <c r="AT32" s="155"/>
      <c r="AU32" s="155"/>
      <c r="AV32" s="155"/>
      <c r="AW32" s="155"/>
      <c r="AX32" s="155"/>
      <c r="AY32" s="155"/>
      <c r="AZ32" s="155"/>
    </row>
    <row r="33" spans="1:52" x14ac:dyDescent="0.2">
      <c r="A33" s="144" t="s">
        <v>247</v>
      </c>
      <c r="B33" s="144"/>
      <c r="C33" s="144"/>
      <c r="D33" s="144"/>
      <c r="E33" s="144"/>
      <c r="F33" s="144"/>
      <c r="G33" s="144"/>
      <c r="H33" s="144"/>
      <c r="I33" s="144"/>
      <c r="J33" s="144"/>
      <c r="K33" s="201">
        <v>34</v>
      </c>
      <c r="L33" s="201">
        <v>37</v>
      </c>
      <c r="M33" s="201">
        <v>40</v>
      </c>
      <c r="N33" s="201">
        <v>35</v>
      </c>
      <c r="O33" s="201">
        <v>37</v>
      </c>
      <c r="P33" s="201">
        <v>38</v>
      </c>
      <c r="Q33" s="201">
        <v>37</v>
      </c>
      <c r="R33" s="201">
        <v>32</v>
      </c>
      <c r="S33" s="201">
        <v>34</v>
      </c>
      <c r="T33" s="201">
        <v>31</v>
      </c>
      <c r="U33" s="201">
        <v>28</v>
      </c>
      <c r="V33" s="201">
        <v>27</v>
      </c>
      <c r="W33" s="201">
        <v>29</v>
      </c>
      <c r="X33" s="201">
        <v>22</v>
      </c>
      <c r="Y33" s="201"/>
      <c r="Z33" s="201"/>
      <c r="AA33" s="201"/>
      <c r="AB33" s="201"/>
      <c r="AC33" s="201"/>
      <c r="AD33" s="201"/>
      <c r="AE33" s="201"/>
      <c r="AF33" s="201"/>
      <c r="AG33" s="201"/>
      <c r="AH33" s="201"/>
      <c r="AI33" s="201"/>
      <c r="AJ33" s="201"/>
      <c r="AK33" s="201"/>
      <c r="AL33" s="201"/>
      <c r="AM33" s="201"/>
      <c r="AN33" s="201"/>
      <c r="AO33" s="201"/>
      <c r="AP33" s="201"/>
      <c r="AQ33" s="201"/>
      <c r="AR33" s="155"/>
      <c r="AS33" s="155"/>
      <c r="AT33" s="155"/>
      <c r="AU33" s="155"/>
      <c r="AV33" s="155"/>
      <c r="AW33" s="155"/>
      <c r="AX33" s="155"/>
      <c r="AY33" s="155"/>
      <c r="AZ33" s="155"/>
    </row>
    <row r="34" spans="1:52" x14ac:dyDescent="0.2">
      <c r="A34" s="200"/>
      <c r="B34" s="200"/>
      <c r="C34" s="200"/>
      <c r="D34" s="200"/>
      <c r="E34" s="200"/>
      <c r="F34" s="200"/>
      <c r="G34" s="200"/>
      <c r="H34" s="200"/>
      <c r="I34" s="200"/>
      <c r="J34" s="200"/>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46"/>
      <c r="AI34" s="346"/>
      <c r="AJ34" s="346"/>
      <c r="AK34" s="346"/>
      <c r="AL34" s="346"/>
      <c r="AM34" s="346"/>
      <c r="AN34" s="346"/>
      <c r="AO34" s="346"/>
      <c r="AP34" s="346"/>
      <c r="AQ34" s="346"/>
      <c r="AR34" s="155"/>
      <c r="AS34" s="155"/>
      <c r="AT34" s="155"/>
      <c r="AU34" s="155"/>
      <c r="AV34" s="155"/>
      <c r="AW34" s="155"/>
      <c r="AX34" s="155"/>
      <c r="AY34" s="155"/>
      <c r="AZ34" s="155"/>
    </row>
    <row r="35" spans="1:52" x14ac:dyDescent="0.2">
      <c r="A35" s="200" t="s">
        <v>2</v>
      </c>
      <c r="B35" s="200"/>
      <c r="C35" s="200"/>
      <c r="D35" s="200"/>
      <c r="E35" s="200"/>
      <c r="F35" s="200"/>
      <c r="G35" s="200"/>
      <c r="H35" s="200"/>
      <c r="I35" s="200"/>
      <c r="J35" s="200"/>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155"/>
      <c r="AS35" s="155"/>
      <c r="AT35" s="155"/>
      <c r="AU35" s="155"/>
      <c r="AV35" s="155"/>
      <c r="AW35" s="155"/>
      <c r="AX35" s="155"/>
      <c r="AY35" s="155"/>
      <c r="AZ35" s="155"/>
    </row>
    <row r="36" spans="1:52" x14ac:dyDescent="0.2">
      <c r="A36" s="203" t="s">
        <v>47</v>
      </c>
      <c r="B36" s="203"/>
      <c r="C36" s="203"/>
      <c r="D36" s="203"/>
      <c r="E36" s="203"/>
      <c r="F36" s="203"/>
      <c r="G36" s="203"/>
      <c r="H36" s="203"/>
      <c r="I36" s="203"/>
      <c r="J36" s="203"/>
      <c r="K36" s="62">
        <f>K17/K21</f>
        <v>0.63485477178423233</v>
      </c>
      <c r="L36" s="62">
        <f t="shared" ref="L36:Q36" si="0">L17/L21</f>
        <v>0.62068965517241381</v>
      </c>
      <c r="M36" s="62">
        <f t="shared" si="0"/>
        <v>0.6224899598393574</v>
      </c>
      <c r="N36" s="62">
        <f t="shared" si="0"/>
        <v>0.71186440677966101</v>
      </c>
      <c r="O36" s="62">
        <f t="shared" si="0"/>
        <v>0.71153846153846156</v>
      </c>
      <c r="P36" s="62">
        <f t="shared" si="0"/>
        <v>0.70833333333333337</v>
      </c>
      <c r="Q36" s="62">
        <f t="shared" si="0"/>
        <v>0.72030651340996166</v>
      </c>
      <c r="R36" s="62">
        <f>R17/R21</f>
        <v>0.74347826086956526</v>
      </c>
      <c r="S36" s="62">
        <f>S17/S21</f>
        <v>0.72</v>
      </c>
      <c r="T36" s="62">
        <f t="shared" ref="T36:AQ36" si="1">T17/T21</f>
        <v>0.68627450980392157</v>
      </c>
      <c r="U36" s="62">
        <f t="shared" si="1"/>
        <v>0.70967741935483875</v>
      </c>
      <c r="V36" s="62">
        <f t="shared" si="1"/>
        <v>0.71361502347417838</v>
      </c>
      <c r="W36" s="62">
        <f t="shared" si="1"/>
        <v>0.64500000000000002</v>
      </c>
      <c r="X36" s="62">
        <f t="shared" si="1"/>
        <v>0.64678899082568808</v>
      </c>
      <c r="Y36" s="62" t="e">
        <f t="shared" si="1"/>
        <v>#DIV/0!</v>
      </c>
      <c r="Z36" s="62" t="e">
        <f t="shared" si="1"/>
        <v>#DIV/0!</v>
      </c>
      <c r="AA36" s="62" t="e">
        <f t="shared" si="1"/>
        <v>#DIV/0!</v>
      </c>
      <c r="AB36" s="62" t="e">
        <f t="shared" si="1"/>
        <v>#DIV/0!</v>
      </c>
      <c r="AC36" s="62" t="e">
        <f t="shared" si="1"/>
        <v>#DIV/0!</v>
      </c>
      <c r="AD36" s="62" t="e">
        <f t="shared" si="1"/>
        <v>#DIV/0!</v>
      </c>
      <c r="AE36" s="62" t="e">
        <f t="shared" si="1"/>
        <v>#DIV/0!</v>
      </c>
      <c r="AF36" s="62" t="e">
        <f t="shared" si="1"/>
        <v>#DIV/0!</v>
      </c>
      <c r="AG36" s="62" t="e">
        <f t="shared" si="1"/>
        <v>#DIV/0!</v>
      </c>
      <c r="AH36" s="62" t="e">
        <f t="shared" si="1"/>
        <v>#DIV/0!</v>
      </c>
      <c r="AI36" s="62" t="e">
        <f t="shared" si="1"/>
        <v>#DIV/0!</v>
      </c>
      <c r="AJ36" s="62" t="e">
        <f t="shared" si="1"/>
        <v>#DIV/0!</v>
      </c>
      <c r="AK36" s="62" t="e">
        <f t="shared" si="1"/>
        <v>#DIV/0!</v>
      </c>
      <c r="AL36" s="62" t="e">
        <f t="shared" si="1"/>
        <v>#DIV/0!</v>
      </c>
      <c r="AM36" s="62" t="e">
        <f t="shared" si="1"/>
        <v>#DIV/0!</v>
      </c>
      <c r="AN36" s="62" t="e">
        <f t="shared" si="1"/>
        <v>#DIV/0!</v>
      </c>
      <c r="AO36" s="62" t="e">
        <f t="shared" si="1"/>
        <v>#DIV/0!</v>
      </c>
      <c r="AP36" s="62" t="e">
        <f t="shared" si="1"/>
        <v>#DIV/0!</v>
      </c>
      <c r="AQ36" s="62" t="e">
        <f t="shared" si="1"/>
        <v>#DIV/0!</v>
      </c>
      <c r="AR36" s="155"/>
      <c r="AS36" s="155"/>
      <c r="AT36" s="155"/>
      <c r="AU36" s="155"/>
      <c r="AV36" s="155"/>
      <c r="AW36" s="155"/>
      <c r="AX36" s="155"/>
      <c r="AY36" s="155"/>
      <c r="AZ36" s="155"/>
    </row>
    <row r="37" spans="1:52" x14ac:dyDescent="0.2">
      <c r="A37" s="203" t="s">
        <v>407</v>
      </c>
      <c r="B37" s="203"/>
      <c r="C37" s="203"/>
      <c r="D37" s="203"/>
      <c r="E37" s="203"/>
      <c r="F37" s="203"/>
      <c r="G37" s="203"/>
      <c r="H37" s="203"/>
      <c r="I37" s="203"/>
      <c r="J37" s="203"/>
      <c r="K37" s="62">
        <f>K18/K21</f>
        <v>0.14522821576763487</v>
      </c>
      <c r="L37" s="62">
        <f t="shared" ref="L37:S37" si="2">L18/L21</f>
        <v>0.20258620689655171</v>
      </c>
      <c r="M37" s="62">
        <f t="shared" si="2"/>
        <v>0.17670682730923695</v>
      </c>
      <c r="N37" s="62">
        <f t="shared" si="2"/>
        <v>0.13135593220338984</v>
      </c>
      <c r="O37" s="62">
        <f t="shared" si="2"/>
        <v>0.10096153846153846</v>
      </c>
      <c r="P37" s="62">
        <f t="shared" si="2"/>
        <v>0.14583333333333334</v>
      </c>
      <c r="Q37" s="62">
        <f t="shared" si="2"/>
        <v>0.10727969348659004</v>
      </c>
      <c r="R37" s="62">
        <f t="shared" si="2"/>
        <v>0.10434782608695652</v>
      </c>
      <c r="S37" s="62">
        <f t="shared" si="2"/>
        <v>6.6666666666666666E-2</v>
      </c>
      <c r="T37" s="62">
        <f t="shared" ref="T37:AQ37" si="3">T18/T21</f>
        <v>8.3333333333333329E-2</v>
      </c>
      <c r="U37" s="62">
        <f t="shared" si="3"/>
        <v>4.3010752688172046E-2</v>
      </c>
      <c r="V37" s="62">
        <f t="shared" si="3"/>
        <v>5.1643192488262914E-2</v>
      </c>
      <c r="W37" s="62">
        <f t="shared" si="3"/>
        <v>0.06</v>
      </c>
      <c r="X37" s="62">
        <f t="shared" si="3"/>
        <v>7.7981651376146793E-2</v>
      </c>
      <c r="Y37" s="62" t="e">
        <f t="shared" si="3"/>
        <v>#DIV/0!</v>
      </c>
      <c r="Z37" s="62" t="e">
        <f t="shared" si="3"/>
        <v>#DIV/0!</v>
      </c>
      <c r="AA37" s="62" t="e">
        <f t="shared" si="3"/>
        <v>#DIV/0!</v>
      </c>
      <c r="AB37" s="62" t="e">
        <f t="shared" si="3"/>
        <v>#DIV/0!</v>
      </c>
      <c r="AC37" s="62" t="e">
        <f t="shared" si="3"/>
        <v>#DIV/0!</v>
      </c>
      <c r="AD37" s="62" t="e">
        <f t="shared" si="3"/>
        <v>#DIV/0!</v>
      </c>
      <c r="AE37" s="62" t="e">
        <f t="shared" si="3"/>
        <v>#DIV/0!</v>
      </c>
      <c r="AF37" s="62" t="e">
        <f t="shared" si="3"/>
        <v>#DIV/0!</v>
      </c>
      <c r="AG37" s="62" t="e">
        <f t="shared" si="3"/>
        <v>#DIV/0!</v>
      </c>
      <c r="AH37" s="62" t="e">
        <f t="shared" si="3"/>
        <v>#DIV/0!</v>
      </c>
      <c r="AI37" s="62" t="e">
        <f t="shared" si="3"/>
        <v>#DIV/0!</v>
      </c>
      <c r="AJ37" s="62" t="e">
        <f t="shared" si="3"/>
        <v>#DIV/0!</v>
      </c>
      <c r="AK37" s="62" t="e">
        <f t="shared" si="3"/>
        <v>#DIV/0!</v>
      </c>
      <c r="AL37" s="62" t="e">
        <f t="shared" si="3"/>
        <v>#DIV/0!</v>
      </c>
      <c r="AM37" s="62" t="e">
        <f t="shared" si="3"/>
        <v>#DIV/0!</v>
      </c>
      <c r="AN37" s="62" t="e">
        <f t="shared" si="3"/>
        <v>#DIV/0!</v>
      </c>
      <c r="AO37" s="62" t="e">
        <f t="shared" si="3"/>
        <v>#DIV/0!</v>
      </c>
      <c r="AP37" s="62" t="e">
        <f t="shared" si="3"/>
        <v>#DIV/0!</v>
      </c>
      <c r="AQ37" s="62" t="e">
        <f t="shared" si="3"/>
        <v>#DIV/0!</v>
      </c>
      <c r="AR37" s="155"/>
      <c r="AS37" s="155"/>
      <c r="AT37" s="155"/>
      <c r="AU37" s="155"/>
      <c r="AV37" s="155"/>
      <c r="AW37" s="155"/>
      <c r="AX37" s="155"/>
      <c r="AY37" s="155"/>
      <c r="AZ37" s="155"/>
    </row>
    <row r="38" spans="1:52" x14ac:dyDescent="0.2">
      <c r="A38" s="203" t="s">
        <v>408</v>
      </c>
      <c r="B38" s="203"/>
      <c r="C38" s="203"/>
      <c r="D38" s="203"/>
      <c r="E38" s="203"/>
      <c r="F38" s="203"/>
      <c r="G38" s="203"/>
      <c r="H38" s="203"/>
      <c r="I38" s="203"/>
      <c r="J38" s="203"/>
      <c r="K38" s="62">
        <f>K19/K21</f>
        <v>6.2240663900414939E-2</v>
      </c>
      <c r="L38" s="62">
        <f t="shared" ref="L38:S38" si="4">L19/L21</f>
        <v>5.6034482758620691E-2</v>
      </c>
      <c r="M38" s="62">
        <f t="shared" si="4"/>
        <v>0.10040160642570281</v>
      </c>
      <c r="N38" s="62">
        <f t="shared" si="4"/>
        <v>5.0847457627118647E-2</v>
      </c>
      <c r="O38" s="62">
        <f t="shared" si="4"/>
        <v>6.25E-2</v>
      </c>
      <c r="P38" s="62">
        <f t="shared" si="4"/>
        <v>7.0833333333333331E-2</v>
      </c>
      <c r="Q38" s="62">
        <f t="shared" si="4"/>
        <v>3.4482758620689655E-2</v>
      </c>
      <c r="R38" s="62">
        <f t="shared" si="4"/>
        <v>4.3478260869565216E-2</v>
      </c>
      <c r="S38" s="62">
        <f t="shared" si="4"/>
        <v>8.8888888888888892E-2</v>
      </c>
      <c r="T38" s="62">
        <f t="shared" ref="T38:AQ38" si="5">T19/T21</f>
        <v>0.10784313725490197</v>
      </c>
      <c r="U38" s="62">
        <f t="shared" si="5"/>
        <v>0.15591397849462366</v>
      </c>
      <c r="V38" s="62">
        <f t="shared" si="5"/>
        <v>0.11267605633802817</v>
      </c>
      <c r="W38" s="62">
        <f t="shared" si="5"/>
        <v>0.12</v>
      </c>
      <c r="X38" s="62">
        <f t="shared" si="5"/>
        <v>7.7981651376146793E-2</v>
      </c>
      <c r="Y38" s="62" t="e">
        <f t="shared" si="5"/>
        <v>#DIV/0!</v>
      </c>
      <c r="Z38" s="62" t="e">
        <f t="shared" si="5"/>
        <v>#DIV/0!</v>
      </c>
      <c r="AA38" s="62" t="e">
        <f t="shared" si="5"/>
        <v>#DIV/0!</v>
      </c>
      <c r="AB38" s="62" t="e">
        <f t="shared" si="5"/>
        <v>#DIV/0!</v>
      </c>
      <c r="AC38" s="62" t="e">
        <f t="shared" si="5"/>
        <v>#DIV/0!</v>
      </c>
      <c r="AD38" s="62" t="e">
        <f t="shared" si="5"/>
        <v>#DIV/0!</v>
      </c>
      <c r="AE38" s="62" t="e">
        <f t="shared" si="5"/>
        <v>#DIV/0!</v>
      </c>
      <c r="AF38" s="62" t="e">
        <f t="shared" si="5"/>
        <v>#DIV/0!</v>
      </c>
      <c r="AG38" s="62" t="e">
        <f t="shared" si="5"/>
        <v>#DIV/0!</v>
      </c>
      <c r="AH38" s="62" t="e">
        <f t="shared" si="5"/>
        <v>#DIV/0!</v>
      </c>
      <c r="AI38" s="62" t="e">
        <f t="shared" si="5"/>
        <v>#DIV/0!</v>
      </c>
      <c r="AJ38" s="62" t="e">
        <f t="shared" si="5"/>
        <v>#DIV/0!</v>
      </c>
      <c r="AK38" s="62" t="e">
        <f t="shared" si="5"/>
        <v>#DIV/0!</v>
      </c>
      <c r="AL38" s="62" t="e">
        <f t="shared" si="5"/>
        <v>#DIV/0!</v>
      </c>
      <c r="AM38" s="62" t="e">
        <f t="shared" si="5"/>
        <v>#DIV/0!</v>
      </c>
      <c r="AN38" s="62" t="e">
        <f t="shared" si="5"/>
        <v>#DIV/0!</v>
      </c>
      <c r="AO38" s="62" t="e">
        <f t="shared" si="5"/>
        <v>#DIV/0!</v>
      </c>
      <c r="AP38" s="62" t="e">
        <f t="shared" si="5"/>
        <v>#DIV/0!</v>
      </c>
      <c r="AQ38" s="62" t="e">
        <f t="shared" si="5"/>
        <v>#DIV/0!</v>
      </c>
      <c r="AR38" s="155"/>
      <c r="AS38" s="155"/>
      <c r="AT38" s="155"/>
      <c r="AU38" s="155"/>
      <c r="AV38" s="155"/>
      <c r="AW38" s="155"/>
      <c r="AX38" s="155"/>
      <c r="AY38" s="155"/>
      <c r="AZ38" s="155"/>
    </row>
    <row r="39" spans="1:52" x14ac:dyDescent="0.2">
      <c r="A39" s="203" t="s">
        <v>48</v>
      </c>
      <c r="B39" s="203"/>
      <c r="C39" s="203"/>
      <c r="D39" s="203"/>
      <c r="E39" s="203"/>
      <c r="F39" s="203"/>
      <c r="G39" s="203"/>
      <c r="H39" s="203"/>
      <c r="I39" s="203"/>
      <c r="J39" s="203"/>
      <c r="K39" s="62">
        <f>K20/K21</f>
        <v>0.13692946058091288</v>
      </c>
      <c r="L39" s="62">
        <f t="shared" ref="L39:S39" si="6">L20/L21</f>
        <v>9.9137931034482762E-2</v>
      </c>
      <c r="M39" s="62">
        <f t="shared" si="6"/>
        <v>9.2369477911646583E-2</v>
      </c>
      <c r="N39" s="62">
        <f t="shared" si="6"/>
        <v>9.7457627118644072E-2</v>
      </c>
      <c r="O39" s="62">
        <f t="shared" si="6"/>
        <v>0.125</v>
      </c>
      <c r="P39" s="62">
        <f t="shared" si="6"/>
        <v>7.0833333333333331E-2</v>
      </c>
      <c r="Q39" s="62">
        <f t="shared" si="6"/>
        <v>0.13793103448275862</v>
      </c>
      <c r="R39" s="62">
        <f t="shared" si="6"/>
        <v>0.10434782608695652</v>
      </c>
      <c r="S39" s="62">
        <f t="shared" si="6"/>
        <v>0.12</v>
      </c>
      <c r="T39" s="62">
        <f t="shared" ref="T39:AQ39" si="7">T20/T21</f>
        <v>0.11764705882352941</v>
      </c>
      <c r="U39" s="62">
        <f t="shared" si="7"/>
        <v>8.6021505376344093E-2</v>
      </c>
      <c r="V39" s="62">
        <f t="shared" si="7"/>
        <v>0.11267605633802817</v>
      </c>
      <c r="W39" s="62">
        <f t="shared" si="7"/>
        <v>0.15</v>
      </c>
      <c r="X39" s="62">
        <f t="shared" si="7"/>
        <v>0.1834862385321101</v>
      </c>
      <c r="Y39" s="62" t="e">
        <f t="shared" si="7"/>
        <v>#DIV/0!</v>
      </c>
      <c r="Z39" s="62" t="e">
        <f t="shared" si="7"/>
        <v>#DIV/0!</v>
      </c>
      <c r="AA39" s="62" t="e">
        <f t="shared" si="7"/>
        <v>#DIV/0!</v>
      </c>
      <c r="AB39" s="62" t="e">
        <f t="shared" si="7"/>
        <v>#DIV/0!</v>
      </c>
      <c r="AC39" s="62" t="e">
        <f t="shared" si="7"/>
        <v>#DIV/0!</v>
      </c>
      <c r="AD39" s="62" t="e">
        <f t="shared" si="7"/>
        <v>#DIV/0!</v>
      </c>
      <c r="AE39" s="62" t="e">
        <f t="shared" si="7"/>
        <v>#DIV/0!</v>
      </c>
      <c r="AF39" s="62" t="e">
        <f t="shared" si="7"/>
        <v>#DIV/0!</v>
      </c>
      <c r="AG39" s="62" t="e">
        <f t="shared" si="7"/>
        <v>#DIV/0!</v>
      </c>
      <c r="AH39" s="62" t="e">
        <f t="shared" si="7"/>
        <v>#DIV/0!</v>
      </c>
      <c r="AI39" s="62" t="e">
        <f t="shared" si="7"/>
        <v>#DIV/0!</v>
      </c>
      <c r="AJ39" s="62" t="e">
        <f t="shared" si="7"/>
        <v>#DIV/0!</v>
      </c>
      <c r="AK39" s="62" t="e">
        <f t="shared" si="7"/>
        <v>#DIV/0!</v>
      </c>
      <c r="AL39" s="62" t="e">
        <f t="shared" si="7"/>
        <v>#DIV/0!</v>
      </c>
      <c r="AM39" s="62" t="e">
        <f t="shared" si="7"/>
        <v>#DIV/0!</v>
      </c>
      <c r="AN39" s="62" t="e">
        <f t="shared" si="7"/>
        <v>#DIV/0!</v>
      </c>
      <c r="AO39" s="62" t="e">
        <f t="shared" si="7"/>
        <v>#DIV/0!</v>
      </c>
      <c r="AP39" s="62" t="e">
        <f t="shared" si="7"/>
        <v>#DIV/0!</v>
      </c>
      <c r="AQ39" s="62" t="e">
        <f t="shared" si="7"/>
        <v>#DIV/0!</v>
      </c>
      <c r="AR39" s="155"/>
      <c r="AS39" s="155"/>
      <c r="AT39" s="155"/>
      <c r="AU39" s="155"/>
      <c r="AV39" s="155"/>
      <c r="AW39" s="155"/>
      <c r="AX39" s="155"/>
      <c r="AY39" s="155"/>
      <c r="AZ39" s="155"/>
    </row>
    <row r="40" spans="1:52" x14ac:dyDescent="0.2">
      <c r="A40" s="99"/>
      <c r="B40" s="99"/>
      <c r="C40" s="99"/>
      <c r="D40" s="99"/>
      <c r="E40" s="99"/>
      <c r="F40" s="99"/>
      <c r="G40" s="99"/>
      <c r="H40" s="99"/>
      <c r="I40" s="99"/>
      <c r="J40" s="99"/>
      <c r="K40" s="662"/>
      <c r="L40" s="662"/>
      <c r="M40" s="662"/>
      <c r="N40" s="662"/>
      <c r="O40" s="662"/>
      <c r="P40" s="662"/>
      <c r="Q40" s="662"/>
      <c r="R40" s="662"/>
      <c r="S40" s="662"/>
      <c r="T40" s="662"/>
      <c r="U40" s="662"/>
      <c r="V40" s="662"/>
      <c r="W40" s="662"/>
      <c r="X40" s="662"/>
      <c r="Y40" s="662"/>
      <c r="Z40" s="662"/>
      <c r="AA40" s="662"/>
      <c r="AB40" s="662"/>
      <c r="AC40" s="662"/>
      <c r="AD40" s="662"/>
      <c r="AE40" s="662"/>
      <c r="AF40" s="662"/>
      <c r="AG40" s="662"/>
      <c r="AH40" s="662"/>
      <c r="AI40" s="662"/>
      <c r="AJ40" s="662"/>
      <c r="AK40" s="662"/>
      <c r="AL40" s="662"/>
      <c r="AM40" s="662"/>
      <c r="AN40" s="662"/>
      <c r="AO40" s="662"/>
      <c r="AP40" s="662"/>
      <c r="AQ40" s="662"/>
      <c r="AR40" s="155"/>
      <c r="AS40" s="155"/>
      <c r="AT40" s="155"/>
      <c r="AU40" s="155"/>
      <c r="AV40" s="155"/>
      <c r="AW40" s="155"/>
      <c r="AX40" s="155"/>
      <c r="AY40" s="155"/>
      <c r="AZ40" s="155"/>
    </row>
    <row r="41" spans="1:52" x14ac:dyDescent="0.2">
      <c r="A41" s="200" t="s">
        <v>742</v>
      </c>
      <c r="B41" s="210"/>
      <c r="C41" s="99"/>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row>
    <row r="42" spans="1:52" x14ac:dyDescent="0.2">
      <c r="A42" s="203" t="s">
        <v>47</v>
      </c>
      <c r="B42" s="75"/>
      <c r="C42" s="75"/>
      <c r="D42" s="75"/>
      <c r="E42" s="75"/>
      <c r="F42" s="75"/>
      <c r="G42" s="75"/>
      <c r="H42" s="75"/>
      <c r="I42" s="75"/>
      <c r="J42" s="75"/>
      <c r="K42" s="76">
        <v>198</v>
      </c>
      <c r="L42" s="76">
        <v>192</v>
      </c>
      <c r="M42" s="77">
        <v>201</v>
      </c>
      <c r="N42" s="76">
        <v>225</v>
      </c>
      <c r="O42" s="77">
        <v>198</v>
      </c>
      <c r="P42" s="77">
        <v>203</v>
      </c>
      <c r="Q42" s="77">
        <v>228</v>
      </c>
      <c r="R42" s="77">
        <v>222</v>
      </c>
      <c r="S42" s="77">
        <v>192</v>
      </c>
      <c r="T42" s="466">
        <v>215</v>
      </c>
      <c r="U42" s="486">
        <v>201</v>
      </c>
      <c r="V42" s="486">
        <v>187</v>
      </c>
      <c r="W42" s="486">
        <v>161</v>
      </c>
      <c r="X42" s="487">
        <v>173</v>
      </c>
      <c r="Y42" s="487"/>
      <c r="Z42" s="487"/>
      <c r="AA42" s="487"/>
      <c r="AB42" s="487"/>
      <c r="AC42" s="487"/>
      <c r="AD42" s="487"/>
      <c r="AE42" s="487"/>
      <c r="AF42" s="487"/>
      <c r="AG42" s="487"/>
      <c r="AH42" s="487"/>
      <c r="AI42" s="487"/>
      <c r="AJ42" s="487"/>
      <c r="AK42" s="487"/>
      <c r="AL42" s="487"/>
      <c r="AM42" s="487"/>
      <c r="AN42" s="487"/>
      <c r="AO42" s="487"/>
      <c r="AP42" s="487"/>
      <c r="AQ42" s="487"/>
    </row>
    <row r="43" spans="1:52" x14ac:dyDescent="0.2">
      <c r="A43" s="203" t="s">
        <v>407</v>
      </c>
      <c r="B43" s="75"/>
      <c r="C43" s="75"/>
      <c r="D43" s="75"/>
      <c r="E43" s="75"/>
      <c r="F43" s="75"/>
      <c r="G43" s="75"/>
      <c r="H43" s="75"/>
      <c r="I43" s="75"/>
      <c r="J43" s="75"/>
      <c r="K43" s="76">
        <v>40</v>
      </c>
      <c r="L43" s="76">
        <v>61</v>
      </c>
      <c r="M43" s="77">
        <v>60</v>
      </c>
      <c r="N43" s="76">
        <v>41</v>
      </c>
      <c r="O43" s="77">
        <v>26</v>
      </c>
      <c r="P43" s="77">
        <v>47</v>
      </c>
      <c r="Q43" s="77">
        <v>41</v>
      </c>
      <c r="R43" s="77">
        <v>25</v>
      </c>
      <c r="S43" s="77">
        <v>16</v>
      </c>
      <c r="T43" s="466">
        <v>29</v>
      </c>
      <c r="U43" s="486">
        <v>11</v>
      </c>
      <c r="V43" s="486">
        <v>11</v>
      </c>
      <c r="W43" s="486">
        <v>14</v>
      </c>
      <c r="X43" s="487">
        <v>19</v>
      </c>
      <c r="Y43" s="487"/>
      <c r="Z43" s="487"/>
      <c r="AA43" s="487"/>
      <c r="AB43" s="487"/>
      <c r="AC43" s="487"/>
      <c r="AD43" s="487"/>
      <c r="AE43" s="487"/>
      <c r="AF43" s="487"/>
      <c r="AG43" s="487"/>
      <c r="AH43" s="487"/>
      <c r="AI43" s="487"/>
      <c r="AJ43" s="487"/>
      <c r="AK43" s="487"/>
      <c r="AL43" s="487"/>
      <c r="AM43" s="487"/>
      <c r="AN43" s="487"/>
      <c r="AO43" s="487"/>
      <c r="AP43" s="487"/>
      <c r="AQ43" s="487"/>
    </row>
    <row r="44" spans="1:52" x14ac:dyDescent="0.2">
      <c r="A44" s="203" t="s">
        <v>408</v>
      </c>
      <c r="B44" s="75"/>
      <c r="C44" s="75"/>
      <c r="D44" s="75"/>
      <c r="E44" s="75"/>
      <c r="F44" s="75"/>
      <c r="G44" s="75" t="s">
        <v>385</v>
      </c>
      <c r="H44" s="75"/>
      <c r="I44" s="75"/>
      <c r="J44" s="75"/>
      <c r="K44" s="76">
        <v>24</v>
      </c>
      <c r="L44" s="76">
        <v>27</v>
      </c>
      <c r="M44" s="77">
        <v>34</v>
      </c>
      <c r="N44" s="76">
        <v>21</v>
      </c>
      <c r="O44" s="77">
        <v>22</v>
      </c>
      <c r="P44" s="77">
        <v>22</v>
      </c>
      <c r="Q44" s="77">
        <v>16</v>
      </c>
      <c r="R44" s="77">
        <v>18</v>
      </c>
      <c r="S44" s="77">
        <v>30</v>
      </c>
      <c r="T44" s="466">
        <v>34</v>
      </c>
      <c r="U44" s="486">
        <v>38</v>
      </c>
      <c r="V44" s="486">
        <v>37</v>
      </c>
      <c r="W44" s="486">
        <v>25</v>
      </c>
      <c r="X44" s="487">
        <v>19</v>
      </c>
      <c r="Y44" s="487"/>
      <c r="Z44" s="487"/>
      <c r="AA44" s="487"/>
      <c r="AB44" s="487"/>
      <c r="AC44" s="487"/>
      <c r="AD44" s="487"/>
      <c r="AE44" s="487"/>
      <c r="AF44" s="487"/>
      <c r="AG44" s="487"/>
      <c r="AH44" s="487"/>
      <c r="AI44" s="487"/>
      <c r="AJ44" s="487"/>
      <c r="AK44" s="487"/>
      <c r="AL44" s="487"/>
      <c r="AM44" s="487"/>
      <c r="AN44" s="487"/>
      <c r="AO44" s="487"/>
      <c r="AP44" s="487"/>
      <c r="AQ44" s="487"/>
    </row>
    <row r="45" spans="1:52" x14ac:dyDescent="0.2">
      <c r="A45" s="203" t="s">
        <v>48</v>
      </c>
      <c r="B45" s="75"/>
      <c r="C45" s="75"/>
      <c r="D45" s="75"/>
      <c r="E45" s="75"/>
      <c r="F45" s="75"/>
      <c r="G45" s="75"/>
      <c r="H45" s="75"/>
      <c r="I45" s="75"/>
      <c r="J45" s="75"/>
      <c r="K45" s="76">
        <v>40</v>
      </c>
      <c r="L45" s="76">
        <v>38</v>
      </c>
      <c r="M45" s="77">
        <v>38</v>
      </c>
      <c r="N45" s="76">
        <v>36</v>
      </c>
      <c r="O45" s="77">
        <v>41</v>
      </c>
      <c r="P45" s="77">
        <v>26</v>
      </c>
      <c r="Q45" s="77">
        <v>51</v>
      </c>
      <c r="R45" s="77">
        <v>49</v>
      </c>
      <c r="S45" s="77">
        <v>42</v>
      </c>
      <c r="T45" s="466">
        <v>47</v>
      </c>
      <c r="U45" s="486">
        <v>36</v>
      </c>
      <c r="V45" s="486">
        <v>36</v>
      </c>
      <c r="W45" s="486">
        <v>39</v>
      </c>
      <c r="X45" s="487">
        <v>45</v>
      </c>
      <c r="Y45" s="487"/>
      <c r="Z45" s="487"/>
      <c r="AA45" s="487"/>
      <c r="AB45" s="487"/>
      <c r="AC45" s="487"/>
      <c r="AD45" s="487"/>
      <c r="AE45" s="487"/>
      <c r="AF45" s="487"/>
      <c r="AG45" s="487"/>
      <c r="AH45" s="487"/>
      <c r="AI45" s="487"/>
      <c r="AJ45" s="487"/>
      <c r="AK45" s="487"/>
      <c r="AL45" s="487"/>
      <c r="AM45" s="487"/>
      <c r="AN45" s="487"/>
      <c r="AO45" s="487"/>
      <c r="AP45" s="487"/>
      <c r="AQ45" s="487"/>
    </row>
    <row r="46" spans="1:52" ht="25.5" x14ac:dyDescent="0.2">
      <c r="A46" s="127" t="s">
        <v>259</v>
      </c>
      <c r="B46" s="75">
        <v>281</v>
      </c>
      <c r="C46" s="75">
        <v>275</v>
      </c>
      <c r="D46" s="75">
        <v>269</v>
      </c>
      <c r="E46" s="75">
        <v>260</v>
      </c>
      <c r="F46" s="75">
        <v>251</v>
      </c>
      <c r="G46" s="75">
        <v>238</v>
      </c>
      <c r="H46" s="75">
        <v>220</v>
      </c>
      <c r="I46" s="75">
        <v>227</v>
      </c>
      <c r="J46" s="75">
        <v>262</v>
      </c>
      <c r="K46" s="75">
        <v>308</v>
      </c>
      <c r="L46" s="75">
        <f>287+36</f>
        <v>323</v>
      </c>
      <c r="M46" s="78">
        <v>335</v>
      </c>
      <c r="N46" s="75">
        <v>326</v>
      </c>
      <c r="O46" s="78">
        <v>287</v>
      </c>
      <c r="P46" s="78">
        <v>299</v>
      </c>
      <c r="Q46" s="78">
        <v>336</v>
      </c>
      <c r="R46" s="78">
        <v>317</v>
      </c>
      <c r="S46" s="78">
        <v>281</v>
      </c>
      <c r="T46" s="467">
        <v>326</v>
      </c>
      <c r="U46" s="487">
        <v>287</v>
      </c>
      <c r="V46" s="487">
        <v>274</v>
      </c>
      <c r="W46" s="487">
        <v>245</v>
      </c>
      <c r="X46" s="487">
        <v>259</v>
      </c>
      <c r="Y46" s="487"/>
      <c r="Z46" s="487"/>
      <c r="AA46" s="487"/>
      <c r="AB46" s="487"/>
      <c r="AC46" s="487"/>
      <c r="AD46" s="487"/>
      <c r="AE46" s="487"/>
      <c r="AF46" s="487"/>
      <c r="AG46" s="487"/>
      <c r="AH46" s="487"/>
      <c r="AI46" s="487"/>
      <c r="AJ46" s="487"/>
      <c r="AK46" s="487"/>
      <c r="AL46" s="487"/>
      <c r="AM46" s="487"/>
      <c r="AN46" s="487"/>
      <c r="AO46" s="487"/>
      <c r="AP46" s="487"/>
      <c r="AQ46" s="487"/>
    </row>
    <row r="47" spans="1:52" x14ac:dyDescent="0.2">
      <c r="A47" s="205" t="s">
        <v>291</v>
      </c>
      <c r="B47" s="206">
        <f>MEDIAN($B$46:$M$46)</f>
        <v>265.5</v>
      </c>
      <c r="C47" s="206">
        <f t="shared" ref="C47:N48" si="8">MEDIAN($B$46:$M$46)</f>
        <v>265.5</v>
      </c>
      <c r="D47" s="206">
        <f t="shared" si="8"/>
        <v>265.5</v>
      </c>
      <c r="E47" s="206">
        <f t="shared" si="8"/>
        <v>265.5</v>
      </c>
      <c r="F47" s="206">
        <f t="shared" si="8"/>
        <v>265.5</v>
      </c>
      <c r="G47" s="206">
        <f t="shared" si="8"/>
        <v>265.5</v>
      </c>
      <c r="H47" s="206">
        <f t="shared" si="8"/>
        <v>265.5</v>
      </c>
      <c r="I47" s="206">
        <f t="shared" si="8"/>
        <v>265.5</v>
      </c>
      <c r="J47" s="206">
        <f t="shared" si="8"/>
        <v>265.5</v>
      </c>
      <c r="K47" s="206">
        <f t="shared" si="8"/>
        <v>265.5</v>
      </c>
      <c r="L47" s="206">
        <f t="shared" si="8"/>
        <v>265.5</v>
      </c>
      <c r="M47" s="206">
        <f t="shared" si="8"/>
        <v>265.5</v>
      </c>
      <c r="N47" s="206"/>
      <c r="O47" s="206" t="s">
        <v>385</v>
      </c>
      <c r="P47" s="206" t="s">
        <v>385</v>
      </c>
      <c r="Q47" s="206" t="s">
        <v>385</v>
      </c>
      <c r="R47" s="206" t="s">
        <v>385</v>
      </c>
      <c r="S47" s="206" t="s">
        <v>385</v>
      </c>
      <c r="T47" s="468"/>
      <c r="U47" s="488"/>
      <c r="V47" s="488"/>
      <c r="W47" s="488"/>
      <c r="X47" s="488"/>
      <c r="Y47" s="488"/>
      <c r="Z47" s="488"/>
      <c r="AA47" s="488"/>
      <c r="AB47" s="488"/>
      <c r="AC47" s="488"/>
      <c r="AD47" s="488"/>
      <c r="AE47" s="488"/>
      <c r="AF47" s="488"/>
      <c r="AG47" s="488"/>
      <c r="AH47" s="488"/>
      <c r="AI47" s="488"/>
      <c r="AJ47" s="488"/>
      <c r="AK47" s="488"/>
      <c r="AL47" s="488"/>
      <c r="AM47" s="488"/>
      <c r="AN47" s="488"/>
      <c r="AO47" s="488"/>
      <c r="AP47" s="488"/>
      <c r="AQ47" s="488"/>
    </row>
    <row r="48" spans="1:52" x14ac:dyDescent="0.2">
      <c r="A48" s="666" t="s">
        <v>184</v>
      </c>
      <c r="B48" s="206"/>
      <c r="C48" s="206"/>
      <c r="D48" s="206"/>
      <c r="E48" s="206"/>
      <c r="F48" s="206"/>
      <c r="G48" s="206"/>
      <c r="H48" s="206"/>
      <c r="I48" s="206"/>
      <c r="J48" s="206"/>
      <c r="K48" s="206"/>
      <c r="L48" s="206"/>
      <c r="M48" s="206">
        <f t="shared" si="8"/>
        <v>265.5</v>
      </c>
      <c r="N48" s="206">
        <f t="shared" si="8"/>
        <v>265.5</v>
      </c>
      <c r="O48" s="206"/>
      <c r="P48" s="206"/>
      <c r="Q48" s="206"/>
      <c r="R48" s="206"/>
      <c r="S48" s="206"/>
      <c r="T48" s="468"/>
      <c r="U48" s="488"/>
      <c r="V48" s="488"/>
      <c r="W48" s="488"/>
      <c r="X48" s="488"/>
      <c r="Y48" s="488"/>
      <c r="Z48" s="488"/>
      <c r="AA48" s="488"/>
      <c r="AB48" s="488"/>
      <c r="AC48" s="488"/>
      <c r="AD48" s="488"/>
      <c r="AE48" s="488"/>
      <c r="AF48" s="488"/>
      <c r="AG48" s="488"/>
      <c r="AH48" s="488"/>
      <c r="AI48" s="488"/>
      <c r="AJ48" s="488"/>
      <c r="AK48" s="488"/>
      <c r="AL48" s="488"/>
      <c r="AM48" s="488"/>
      <c r="AN48" s="488"/>
      <c r="AO48" s="488"/>
      <c r="AP48" s="488"/>
      <c r="AQ48" s="488"/>
    </row>
    <row r="49" spans="1:47" x14ac:dyDescent="0.2">
      <c r="A49" s="205" t="s">
        <v>753</v>
      </c>
      <c r="B49" s="206"/>
      <c r="C49" s="206"/>
      <c r="D49" s="206"/>
      <c r="E49" s="206"/>
      <c r="F49" s="206"/>
      <c r="G49" s="206"/>
      <c r="H49" s="206"/>
      <c r="I49" s="206"/>
      <c r="J49" s="206"/>
      <c r="K49" s="206"/>
      <c r="L49" s="206"/>
      <c r="M49" s="206"/>
      <c r="N49" s="206">
        <f>MEDIAN($N$46:$Y$46)</f>
        <v>287</v>
      </c>
      <c r="O49" s="206">
        <f t="shared" ref="O49:X49" si="9">MEDIAN($N$46:$Y$46)</f>
        <v>287</v>
      </c>
      <c r="P49" s="206">
        <f t="shared" si="9"/>
        <v>287</v>
      </c>
      <c r="Q49" s="206">
        <f t="shared" si="9"/>
        <v>287</v>
      </c>
      <c r="R49" s="206">
        <f t="shared" si="9"/>
        <v>287</v>
      </c>
      <c r="S49" s="206">
        <f t="shared" si="9"/>
        <v>287</v>
      </c>
      <c r="T49" s="206">
        <f t="shared" si="9"/>
        <v>287</v>
      </c>
      <c r="U49" s="206">
        <f t="shared" si="9"/>
        <v>287</v>
      </c>
      <c r="V49" s="206">
        <f t="shared" si="9"/>
        <v>287</v>
      </c>
      <c r="W49" s="206">
        <f t="shared" si="9"/>
        <v>287</v>
      </c>
      <c r="X49" s="206">
        <f t="shared" si="9"/>
        <v>287</v>
      </c>
      <c r="Y49" s="488"/>
      <c r="Z49" s="488"/>
      <c r="AA49" s="488"/>
      <c r="AB49" s="488"/>
      <c r="AC49" s="488"/>
      <c r="AD49" s="488"/>
      <c r="AE49" s="488"/>
      <c r="AF49" s="488"/>
      <c r="AG49" s="488"/>
      <c r="AH49" s="488"/>
      <c r="AI49" s="488"/>
      <c r="AJ49" s="488"/>
      <c r="AK49" s="488"/>
      <c r="AL49" s="488"/>
      <c r="AM49" s="488"/>
      <c r="AN49" s="488"/>
      <c r="AO49" s="488"/>
      <c r="AP49" s="488"/>
      <c r="AQ49" s="488"/>
    </row>
    <row r="50" spans="1:47" x14ac:dyDescent="0.2">
      <c r="A50" s="205" t="s">
        <v>319</v>
      </c>
      <c r="B50" s="206"/>
      <c r="C50" s="206"/>
      <c r="D50" s="206"/>
      <c r="E50" s="206"/>
      <c r="F50" s="206"/>
      <c r="G50" s="206"/>
      <c r="H50" s="206"/>
      <c r="I50" s="206"/>
      <c r="J50" s="206"/>
      <c r="K50" s="206"/>
      <c r="L50" s="206"/>
      <c r="M50" s="206"/>
      <c r="N50" s="206"/>
      <c r="O50" s="206"/>
      <c r="P50" s="206"/>
      <c r="Q50" s="206"/>
      <c r="R50" s="206"/>
      <c r="S50" s="206"/>
      <c r="T50" s="206"/>
      <c r="U50" s="206"/>
      <c r="V50" s="206"/>
      <c r="W50" s="206"/>
      <c r="X50" s="206"/>
      <c r="Y50" s="488"/>
      <c r="Z50" s="488"/>
      <c r="AA50" s="488"/>
      <c r="AB50" s="488"/>
      <c r="AC50" s="488"/>
      <c r="AD50" s="488"/>
      <c r="AE50" s="488"/>
      <c r="AF50" s="488"/>
      <c r="AG50" s="488"/>
      <c r="AH50" s="488"/>
      <c r="AI50" s="488"/>
      <c r="AJ50" s="488"/>
      <c r="AK50" s="488"/>
      <c r="AL50" s="488"/>
      <c r="AM50" s="488"/>
      <c r="AN50" s="488"/>
      <c r="AO50" s="488"/>
      <c r="AP50" s="488"/>
      <c r="AQ50" s="488"/>
    </row>
    <row r="51" spans="1:47" x14ac:dyDescent="0.2">
      <c r="A51" s="200"/>
      <c r="C51" s="134"/>
    </row>
    <row r="52" spans="1:47" x14ac:dyDescent="0.2">
      <c r="A52" s="655" t="s">
        <v>735</v>
      </c>
      <c r="B52" s="211"/>
      <c r="C52" s="134"/>
    </row>
    <row r="53" spans="1:47" x14ac:dyDescent="0.2">
      <c r="A53" s="656" t="s">
        <v>736</v>
      </c>
      <c r="B53" s="211"/>
      <c r="C53" s="134"/>
    </row>
    <row r="54" spans="1:47" ht="12.75" customHeight="1" x14ac:dyDescent="0.2">
      <c r="A54" s="215"/>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row>
    <row r="55" spans="1:47" ht="12.75" customHeight="1" x14ac:dyDescent="0.2">
      <c r="A55" s="574" t="s">
        <v>600</v>
      </c>
      <c r="B55" s="565"/>
      <c r="C55" s="565"/>
      <c r="D55" s="565"/>
      <c r="E55" s="565"/>
      <c r="F55" s="565"/>
      <c r="G55" s="565"/>
      <c r="H55" s="565"/>
      <c r="I55" s="565"/>
      <c r="J55" s="565"/>
      <c r="K55" s="207"/>
      <c r="L55" s="207"/>
      <c r="M55" s="555" t="s">
        <v>259</v>
      </c>
      <c r="N55" s="207"/>
      <c r="O55" s="207"/>
      <c r="P55" s="573"/>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row>
    <row r="56" spans="1:47" ht="12.75" customHeight="1" x14ac:dyDescent="0.2">
      <c r="A56" s="565"/>
      <c r="B56" s="566"/>
      <c r="C56" s="566"/>
      <c r="D56" s="566"/>
      <c r="E56" s="566"/>
      <c r="F56" s="566"/>
      <c r="G56" s="565"/>
      <c r="H56" s="565"/>
      <c r="I56" s="566"/>
      <c r="J56" s="566"/>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c r="AJ56" s="421"/>
      <c r="AK56" s="421"/>
      <c r="AL56" s="421"/>
      <c r="AM56" s="421"/>
      <c r="AN56" s="421"/>
      <c r="AO56" s="421"/>
      <c r="AP56" s="207"/>
      <c r="AQ56" s="207"/>
      <c r="AR56" s="207"/>
      <c r="AS56" s="207"/>
      <c r="AT56" s="207"/>
      <c r="AU56" s="207"/>
    </row>
    <row r="57" spans="1:47" ht="12.75" customHeight="1" x14ac:dyDescent="0.2">
      <c r="A57" s="565"/>
      <c r="B57" s="328"/>
      <c r="C57" s="328"/>
      <c r="D57" s="328"/>
      <c r="E57" s="328"/>
      <c r="F57" s="328"/>
      <c r="G57" s="565"/>
      <c r="H57" s="565"/>
      <c r="I57" s="328"/>
      <c r="J57" s="328"/>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207"/>
      <c r="AQ57" s="207"/>
      <c r="AR57" s="207"/>
      <c r="AS57" s="207"/>
      <c r="AT57" s="207"/>
      <c r="AU57" s="207"/>
    </row>
    <row r="58" spans="1:47" ht="12.75" customHeight="1" x14ac:dyDescent="0.2">
      <c r="A58" s="565"/>
      <c r="B58" s="328"/>
      <c r="C58" s="328"/>
      <c r="D58" s="328"/>
      <c r="E58" s="328"/>
      <c r="F58" s="328"/>
      <c r="G58" s="565"/>
      <c r="H58" s="565"/>
      <c r="I58" s="328"/>
      <c r="J58" s="328"/>
      <c r="K58" s="422"/>
      <c r="L58" s="422"/>
      <c r="M58" s="422"/>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207"/>
      <c r="AQ58" s="207"/>
      <c r="AR58" s="207"/>
      <c r="AS58" s="207"/>
      <c r="AT58" s="207"/>
      <c r="AU58" s="207"/>
    </row>
    <row r="59" spans="1:47" ht="12.75" customHeight="1" x14ac:dyDescent="0.2">
      <c r="A59" s="565"/>
      <c r="B59" s="328"/>
      <c r="C59" s="328"/>
      <c r="D59" s="328"/>
      <c r="E59" s="328"/>
      <c r="F59" s="328"/>
      <c r="G59" s="565"/>
      <c r="H59" s="565"/>
      <c r="I59" s="328"/>
      <c r="J59" s="328"/>
      <c r="K59" s="422"/>
      <c r="L59" s="422"/>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207"/>
      <c r="AQ59" s="207"/>
      <c r="AR59" s="207"/>
      <c r="AS59" s="207"/>
      <c r="AT59" s="207"/>
      <c r="AU59" s="207"/>
    </row>
    <row r="60" spans="1:47" ht="12.75" customHeight="1" x14ac:dyDescent="0.2">
      <c r="A60" s="565"/>
      <c r="B60" s="328"/>
      <c r="C60" s="328"/>
      <c r="D60" s="328"/>
      <c r="E60" s="328"/>
      <c r="F60" s="328"/>
      <c r="G60" s="565"/>
      <c r="H60" s="565"/>
      <c r="I60" s="328"/>
      <c r="J60" s="328"/>
      <c r="K60" s="422"/>
      <c r="L60" s="422"/>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207"/>
      <c r="AQ60" s="207"/>
      <c r="AR60" s="207"/>
      <c r="AS60" s="207"/>
      <c r="AT60" s="207"/>
      <c r="AU60" s="207"/>
    </row>
    <row r="61" spans="1:47" ht="12.75" customHeight="1" x14ac:dyDescent="0.2">
      <c r="A61" s="565"/>
      <c r="B61" s="328"/>
      <c r="C61" s="328"/>
      <c r="D61" s="328"/>
      <c r="E61" s="328"/>
      <c r="F61" s="328"/>
      <c r="G61" s="565"/>
      <c r="H61" s="565"/>
      <c r="I61" s="328"/>
      <c r="J61" s="328"/>
      <c r="K61" s="422"/>
      <c r="L61" s="422"/>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207"/>
      <c r="AQ61" s="207"/>
      <c r="AR61" s="207"/>
      <c r="AS61" s="207"/>
      <c r="AT61" s="207"/>
      <c r="AU61" s="207"/>
    </row>
    <row r="62" spans="1:47" ht="12.75" customHeight="1" x14ac:dyDescent="0.2">
      <c r="A62" s="565"/>
      <c r="B62" s="565"/>
      <c r="C62" s="565"/>
      <c r="D62" s="565"/>
      <c r="E62" s="565"/>
      <c r="F62" s="565"/>
      <c r="G62" s="565"/>
      <c r="H62" s="565"/>
      <c r="I62" s="565"/>
      <c r="J62" s="565"/>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row>
    <row r="63" spans="1:47" ht="12.75" customHeight="1" x14ac:dyDescent="0.2">
      <c r="A63" s="565"/>
      <c r="B63" s="565"/>
      <c r="C63" s="565"/>
      <c r="D63" s="565"/>
      <c r="E63" s="565"/>
      <c r="F63" s="565"/>
      <c r="G63" s="565"/>
      <c r="H63" s="565"/>
      <c r="I63" s="565"/>
      <c r="J63" s="565"/>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row>
    <row r="64" spans="1:47" ht="12.75" customHeight="1" x14ac:dyDescent="0.2">
      <c r="A64" s="565"/>
      <c r="B64" s="565"/>
      <c r="C64" s="565"/>
      <c r="D64" s="565"/>
      <c r="E64" s="565"/>
      <c r="F64" s="565"/>
      <c r="G64" s="565"/>
      <c r="H64" s="565"/>
      <c r="I64" s="565"/>
      <c r="J64" s="565"/>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row>
    <row r="65" spans="1:47" ht="12.75" customHeight="1" x14ac:dyDescent="0.2">
      <c r="A65" s="565"/>
      <c r="B65" s="565"/>
      <c r="C65" s="565"/>
      <c r="D65" s="565"/>
      <c r="E65" s="565"/>
      <c r="F65" s="565"/>
      <c r="G65" s="565"/>
      <c r="H65" s="565"/>
      <c r="I65" s="565"/>
      <c r="J65" s="565"/>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row>
    <row r="66" spans="1:47" ht="12.75" customHeight="1" x14ac:dyDescent="0.2">
      <c r="A66" s="565"/>
      <c r="B66" s="565"/>
      <c r="C66" s="565"/>
      <c r="D66" s="565"/>
      <c r="E66" s="565"/>
      <c r="F66" s="565"/>
      <c r="G66" s="565"/>
      <c r="H66" s="565"/>
      <c r="I66" s="565"/>
      <c r="J66" s="565"/>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row>
    <row r="67" spans="1:47" ht="12.75" customHeight="1" x14ac:dyDescent="0.2">
      <c r="A67" s="565"/>
      <c r="B67" s="572"/>
      <c r="C67" s="572"/>
      <c r="D67" s="572"/>
      <c r="E67" s="572"/>
      <c r="F67" s="572"/>
      <c r="G67" s="572"/>
      <c r="H67" s="565"/>
      <c r="I67" s="565"/>
      <c r="J67" s="565"/>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row>
    <row r="68" spans="1:47" ht="12.75" customHeight="1" x14ac:dyDescent="0.2">
      <c r="A68" s="567"/>
      <c r="B68" s="567"/>
      <c r="C68" s="567"/>
      <c r="D68" s="567"/>
      <c r="E68" s="567"/>
      <c r="F68" s="567"/>
      <c r="G68" s="567"/>
      <c r="H68" s="565"/>
      <c r="I68" s="565"/>
      <c r="J68" s="565"/>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row>
    <row r="69" spans="1:47" ht="12.75" customHeight="1" x14ac:dyDescent="0.2">
      <c r="A69" s="568"/>
      <c r="B69" s="569"/>
      <c r="C69" s="569"/>
      <c r="D69" s="569"/>
      <c r="E69" s="569"/>
      <c r="F69" s="569"/>
      <c r="G69" s="569"/>
      <c r="H69" s="565"/>
      <c r="I69" s="565"/>
      <c r="J69" s="565"/>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row>
    <row r="70" spans="1:47" ht="12.75" customHeight="1" x14ac:dyDescent="0.2">
      <c r="A70" s="568"/>
      <c r="B70" s="569"/>
      <c r="C70" s="569"/>
      <c r="D70" s="569"/>
      <c r="E70" s="569"/>
      <c r="F70" s="569"/>
      <c r="G70" s="569"/>
      <c r="H70" s="565"/>
      <c r="I70" s="565"/>
      <c r="J70" s="565"/>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row>
    <row r="71" spans="1:47" ht="12.75" customHeight="1" x14ac:dyDescent="0.2">
      <c r="A71" s="568"/>
      <c r="B71" s="569"/>
      <c r="C71" s="569"/>
      <c r="D71" s="569"/>
      <c r="E71" s="569"/>
      <c r="F71" s="569"/>
      <c r="G71" s="569"/>
      <c r="H71" s="565"/>
      <c r="I71" s="565"/>
      <c r="J71" s="565"/>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row>
    <row r="72" spans="1:47" ht="12.75" customHeight="1" x14ac:dyDescent="0.2">
      <c r="A72" s="568"/>
      <c r="B72" s="569"/>
      <c r="C72" s="569"/>
      <c r="D72" s="569"/>
      <c r="E72" s="569"/>
      <c r="F72" s="569"/>
      <c r="G72" s="569"/>
      <c r="H72" s="565"/>
      <c r="I72" s="565"/>
      <c r="J72" s="565"/>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row>
    <row r="73" spans="1:47" ht="12.75" customHeight="1" x14ac:dyDescent="0.2">
      <c r="A73" s="568"/>
      <c r="B73" s="570"/>
      <c r="C73" s="570"/>
      <c r="D73" s="570"/>
      <c r="E73" s="570"/>
      <c r="F73" s="570"/>
      <c r="G73" s="570"/>
      <c r="H73" s="565"/>
      <c r="I73" s="565"/>
      <c r="J73" s="565"/>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row>
    <row r="74" spans="1:47" ht="12.75" customHeight="1" x14ac:dyDescent="0.2">
      <c r="A74" s="571"/>
      <c r="B74" s="565"/>
      <c r="C74" s="565"/>
      <c r="D74" s="565"/>
      <c r="E74" s="565"/>
      <c r="F74" s="565"/>
      <c r="G74" s="565"/>
      <c r="H74" s="565"/>
      <c r="I74" s="565"/>
      <c r="J74" s="565"/>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row>
    <row r="75" spans="1:47" ht="12.75" customHeight="1" x14ac:dyDescent="0.2">
      <c r="A75" s="207"/>
    </row>
    <row r="76" spans="1:47" ht="12.75" customHeight="1" x14ac:dyDescent="0.2"/>
    <row r="77" spans="1:47" ht="12.75" customHeight="1" x14ac:dyDescent="0.2"/>
    <row r="78" spans="1:47" ht="12.75" customHeight="1" x14ac:dyDescent="0.2"/>
    <row r="79" spans="1:47" ht="12.75" customHeight="1" x14ac:dyDescent="0.2"/>
    <row r="80" spans="1:47" ht="12.75" customHeight="1" x14ac:dyDescent="0.2">
      <c r="A80" s="555" t="s">
        <v>589</v>
      </c>
      <c r="M80" s="554" t="s">
        <v>590</v>
      </c>
    </row>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spans="1:13" ht="12.75" customHeight="1" x14ac:dyDescent="0.2"/>
    <row r="98" spans="1:13" ht="12.75" customHeight="1" x14ac:dyDescent="0.2"/>
    <row r="99" spans="1:13" ht="12.75" customHeight="1" x14ac:dyDescent="0.2"/>
    <row r="100" spans="1:13" ht="12.75" customHeight="1" x14ac:dyDescent="0.2"/>
    <row r="101" spans="1:13" ht="12.75" customHeight="1" x14ac:dyDescent="0.2"/>
    <row r="102" spans="1:13" ht="12.75" customHeight="1" x14ac:dyDescent="0.2"/>
    <row r="103" spans="1:13" ht="12.75" customHeight="1" x14ac:dyDescent="0.2"/>
    <row r="104" spans="1:13" ht="12.75" customHeight="1" x14ac:dyDescent="0.2"/>
    <row r="105" spans="1:13" ht="12.75" customHeight="1" x14ac:dyDescent="0.2">
      <c r="A105" s="554" t="s">
        <v>591</v>
      </c>
      <c r="M105" s="554" t="s">
        <v>592</v>
      </c>
    </row>
    <row r="129" spans="1:49" s="199" customFormat="1" x14ac:dyDescent="0.2"/>
    <row r="130" spans="1:49" s="683" customFormat="1" x14ac:dyDescent="0.2">
      <c r="A130" s="674" t="s">
        <v>245</v>
      </c>
      <c r="B130" s="686"/>
    </row>
    <row r="131" spans="1:49" s="683" customFormat="1" x14ac:dyDescent="0.2">
      <c r="A131" s="674"/>
      <c r="B131" s="687">
        <v>42095</v>
      </c>
      <c r="C131" s="687">
        <v>42125</v>
      </c>
      <c r="D131" s="687">
        <v>42156</v>
      </c>
      <c r="E131" s="687">
        <v>42186</v>
      </c>
      <c r="F131" s="687">
        <v>42217</v>
      </c>
      <c r="G131" s="687">
        <v>42248</v>
      </c>
      <c r="H131" s="687">
        <v>42278</v>
      </c>
      <c r="I131" s="687">
        <v>42309</v>
      </c>
      <c r="J131" s="687">
        <v>42339</v>
      </c>
      <c r="K131" s="687">
        <v>42370</v>
      </c>
      <c r="L131" s="687">
        <v>42401</v>
      </c>
      <c r="M131" s="687">
        <v>42430</v>
      </c>
      <c r="N131" s="687">
        <v>42461</v>
      </c>
      <c r="O131" s="687">
        <v>42491</v>
      </c>
      <c r="P131" s="687">
        <v>42522</v>
      </c>
      <c r="Q131" s="687">
        <v>42552</v>
      </c>
      <c r="R131" s="687">
        <v>42583</v>
      </c>
      <c r="S131" s="687">
        <v>42614</v>
      </c>
      <c r="T131" s="687">
        <v>42644</v>
      </c>
      <c r="U131" s="687">
        <v>42675</v>
      </c>
      <c r="V131" s="687">
        <v>42705</v>
      </c>
      <c r="W131" s="687">
        <v>42736</v>
      </c>
      <c r="X131" s="687">
        <v>42767</v>
      </c>
      <c r="Y131" s="687">
        <v>42795</v>
      </c>
      <c r="Z131" s="687">
        <v>42826</v>
      </c>
      <c r="AA131" s="687">
        <v>42856</v>
      </c>
      <c r="AB131" s="687">
        <v>42887</v>
      </c>
      <c r="AC131" s="687">
        <v>42917</v>
      </c>
      <c r="AD131" s="687">
        <v>42948</v>
      </c>
      <c r="AE131" s="687"/>
      <c r="AF131" s="687"/>
      <c r="AG131" s="687"/>
      <c r="AH131" s="687"/>
      <c r="AI131" s="687"/>
      <c r="AJ131" s="687"/>
      <c r="AK131" s="687"/>
      <c r="AL131" s="687"/>
      <c r="AM131" s="687"/>
      <c r="AN131" s="687"/>
      <c r="AO131" s="687"/>
      <c r="AP131" s="687"/>
      <c r="AQ131" s="687"/>
      <c r="AR131" s="687"/>
      <c r="AS131" s="687"/>
      <c r="AT131" s="687"/>
      <c r="AU131" s="687"/>
      <c r="AV131" s="687"/>
      <c r="AW131" s="687"/>
    </row>
    <row r="132" spans="1:49" s="683" customFormat="1" x14ac:dyDescent="0.2">
      <c r="A132" s="683" t="s">
        <v>47</v>
      </c>
      <c r="H132" s="688"/>
      <c r="I132" s="688"/>
      <c r="J132" s="688"/>
      <c r="K132" s="688"/>
      <c r="L132" s="688"/>
      <c r="M132" s="688"/>
      <c r="N132" s="688"/>
      <c r="O132" s="688"/>
      <c r="P132" s="688"/>
      <c r="Q132" s="689">
        <f t="shared" ref="Q132:AD136" si="10">K42</f>
        <v>198</v>
      </c>
      <c r="R132" s="689">
        <f t="shared" si="10"/>
        <v>192</v>
      </c>
      <c r="S132" s="689">
        <f t="shared" si="10"/>
        <v>201</v>
      </c>
      <c r="T132" s="689">
        <f t="shared" si="10"/>
        <v>225</v>
      </c>
      <c r="U132" s="689">
        <f t="shared" si="10"/>
        <v>198</v>
      </c>
      <c r="V132" s="689">
        <f t="shared" si="10"/>
        <v>203</v>
      </c>
      <c r="W132" s="689">
        <f t="shared" si="10"/>
        <v>228</v>
      </c>
      <c r="X132" s="689">
        <f t="shared" si="10"/>
        <v>222</v>
      </c>
      <c r="Y132" s="689">
        <f t="shared" si="10"/>
        <v>192</v>
      </c>
      <c r="Z132" s="689">
        <f t="shared" si="10"/>
        <v>215</v>
      </c>
      <c r="AA132" s="689">
        <f t="shared" si="10"/>
        <v>201</v>
      </c>
      <c r="AB132" s="689">
        <f t="shared" si="10"/>
        <v>187</v>
      </c>
      <c r="AC132" s="689">
        <f t="shared" si="10"/>
        <v>161</v>
      </c>
      <c r="AD132" s="689">
        <f t="shared" si="10"/>
        <v>173</v>
      </c>
      <c r="AE132" s="689"/>
      <c r="AF132" s="689"/>
      <c r="AG132" s="689"/>
      <c r="AH132" s="689"/>
      <c r="AI132" s="689"/>
      <c r="AJ132" s="689"/>
      <c r="AK132" s="689"/>
      <c r="AL132" s="689"/>
      <c r="AM132" s="689"/>
      <c r="AN132" s="689"/>
      <c r="AO132" s="689"/>
      <c r="AP132" s="689"/>
      <c r="AQ132" s="689"/>
      <c r="AR132" s="689"/>
      <c r="AS132" s="689"/>
      <c r="AT132" s="689"/>
      <c r="AU132" s="689"/>
      <c r="AV132" s="689"/>
      <c r="AW132" s="689"/>
    </row>
    <row r="133" spans="1:49" s="683" customFormat="1" x14ac:dyDescent="0.2">
      <c r="A133" s="683" t="s">
        <v>407</v>
      </c>
      <c r="H133" s="688"/>
      <c r="I133" s="688"/>
      <c r="J133" s="688"/>
      <c r="K133" s="688"/>
      <c r="L133" s="688"/>
      <c r="M133" s="688"/>
      <c r="N133" s="688"/>
      <c r="O133" s="688"/>
      <c r="P133" s="688"/>
      <c r="Q133" s="689">
        <f t="shared" si="10"/>
        <v>40</v>
      </c>
      <c r="R133" s="689">
        <f t="shared" si="10"/>
        <v>61</v>
      </c>
      <c r="S133" s="689">
        <f t="shared" si="10"/>
        <v>60</v>
      </c>
      <c r="T133" s="689">
        <f t="shared" si="10"/>
        <v>41</v>
      </c>
      <c r="U133" s="689">
        <f t="shared" si="10"/>
        <v>26</v>
      </c>
      <c r="V133" s="689">
        <f t="shared" si="10"/>
        <v>47</v>
      </c>
      <c r="W133" s="689">
        <f t="shared" si="10"/>
        <v>41</v>
      </c>
      <c r="X133" s="689">
        <f t="shared" si="10"/>
        <v>25</v>
      </c>
      <c r="Y133" s="689">
        <f t="shared" si="10"/>
        <v>16</v>
      </c>
      <c r="Z133" s="689">
        <f t="shared" si="10"/>
        <v>29</v>
      </c>
      <c r="AA133" s="689">
        <f t="shared" si="10"/>
        <v>11</v>
      </c>
      <c r="AB133" s="689">
        <f t="shared" si="10"/>
        <v>11</v>
      </c>
      <c r="AC133" s="689">
        <f t="shared" si="10"/>
        <v>14</v>
      </c>
      <c r="AD133" s="689">
        <f t="shared" si="10"/>
        <v>19</v>
      </c>
      <c r="AE133" s="689"/>
      <c r="AF133" s="689"/>
      <c r="AG133" s="689"/>
      <c r="AH133" s="689"/>
      <c r="AI133" s="689"/>
      <c r="AJ133" s="689"/>
      <c r="AK133" s="689"/>
      <c r="AL133" s="689"/>
      <c r="AM133" s="689"/>
      <c r="AN133" s="689"/>
      <c r="AO133" s="689"/>
      <c r="AP133" s="689"/>
      <c r="AQ133" s="689"/>
      <c r="AR133" s="689"/>
      <c r="AS133" s="689"/>
      <c r="AT133" s="689"/>
      <c r="AU133" s="689"/>
      <c r="AV133" s="689"/>
      <c r="AW133" s="689"/>
    </row>
    <row r="134" spans="1:49" s="683" customFormat="1" x14ac:dyDescent="0.2">
      <c r="A134" s="683" t="s">
        <v>408</v>
      </c>
      <c r="H134" s="688"/>
      <c r="I134" s="688"/>
      <c r="J134" s="688"/>
      <c r="K134" s="688"/>
      <c r="L134" s="688"/>
      <c r="M134" s="688"/>
      <c r="N134" s="688"/>
      <c r="O134" s="688"/>
      <c r="P134" s="688"/>
      <c r="Q134" s="689">
        <f t="shared" si="10"/>
        <v>24</v>
      </c>
      <c r="R134" s="689">
        <f t="shared" si="10"/>
        <v>27</v>
      </c>
      <c r="S134" s="689">
        <f t="shared" si="10"/>
        <v>34</v>
      </c>
      <c r="T134" s="689">
        <f t="shared" si="10"/>
        <v>21</v>
      </c>
      <c r="U134" s="689">
        <f t="shared" si="10"/>
        <v>22</v>
      </c>
      <c r="V134" s="689">
        <f t="shared" si="10"/>
        <v>22</v>
      </c>
      <c r="W134" s="689">
        <f t="shared" si="10"/>
        <v>16</v>
      </c>
      <c r="X134" s="689">
        <f t="shared" si="10"/>
        <v>18</v>
      </c>
      <c r="Y134" s="689">
        <f t="shared" si="10"/>
        <v>30</v>
      </c>
      <c r="Z134" s="689">
        <f t="shared" si="10"/>
        <v>34</v>
      </c>
      <c r="AA134" s="689">
        <f t="shared" si="10"/>
        <v>38</v>
      </c>
      <c r="AB134" s="689">
        <f t="shared" si="10"/>
        <v>37</v>
      </c>
      <c r="AC134" s="689">
        <f t="shared" si="10"/>
        <v>25</v>
      </c>
      <c r="AD134" s="689">
        <f t="shared" si="10"/>
        <v>19</v>
      </c>
      <c r="AE134" s="689"/>
      <c r="AF134" s="689"/>
      <c r="AG134" s="689"/>
      <c r="AH134" s="689"/>
      <c r="AI134" s="689"/>
      <c r="AJ134" s="689"/>
      <c r="AK134" s="689"/>
      <c r="AL134" s="689"/>
      <c r="AM134" s="689"/>
      <c r="AN134" s="689"/>
      <c r="AO134" s="689"/>
      <c r="AP134" s="689"/>
      <c r="AQ134" s="689"/>
      <c r="AR134" s="689"/>
      <c r="AS134" s="689"/>
      <c r="AT134" s="689"/>
      <c r="AU134" s="689"/>
      <c r="AV134" s="689"/>
      <c r="AW134" s="689"/>
    </row>
    <row r="135" spans="1:49" s="683" customFormat="1" x14ac:dyDescent="0.2">
      <c r="A135" s="683" t="s">
        <v>48</v>
      </c>
      <c r="H135" s="688"/>
      <c r="I135" s="688"/>
      <c r="J135" s="688"/>
      <c r="K135" s="688"/>
      <c r="L135" s="688"/>
      <c r="M135" s="688"/>
      <c r="N135" s="688"/>
      <c r="O135" s="688"/>
      <c r="P135" s="688"/>
      <c r="Q135" s="689">
        <f t="shared" si="10"/>
        <v>40</v>
      </c>
      <c r="R135" s="689">
        <f t="shared" si="10"/>
        <v>38</v>
      </c>
      <c r="S135" s="689">
        <f t="shared" si="10"/>
        <v>38</v>
      </c>
      <c r="T135" s="689">
        <f t="shared" si="10"/>
        <v>36</v>
      </c>
      <c r="U135" s="689">
        <f t="shared" si="10"/>
        <v>41</v>
      </c>
      <c r="V135" s="689">
        <f t="shared" si="10"/>
        <v>26</v>
      </c>
      <c r="W135" s="689">
        <f t="shared" si="10"/>
        <v>51</v>
      </c>
      <c r="X135" s="689">
        <f t="shared" si="10"/>
        <v>49</v>
      </c>
      <c r="Y135" s="689">
        <f t="shared" si="10"/>
        <v>42</v>
      </c>
      <c r="Z135" s="689">
        <f t="shared" si="10"/>
        <v>47</v>
      </c>
      <c r="AA135" s="689">
        <f t="shared" si="10"/>
        <v>36</v>
      </c>
      <c r="AB135" s="689">
        <f t="shared" si="10"/>
        <v>36</v>
      </c>
      <c r="AC135" s="689">
        <f t="shared" si="10"/>
        <v>39</v>
      </c>
      <c r="AD135" s="689">
        <f t="shared" si="10"/>
        <v>45</v>
      </c>
      <c r="AE135" s="689"/>
      <c r="AF135" s="689"/>
      <c r="AG135" s="689"/>
      <c r="AH135" s="689"/>
      <c r="AI135" s="689"/>
      <c r="AJ135" s="689"/>
      <c r="AK135" s="689"/>
      <c r="AL135" s="689"/>
      <c r="AM135" s="689"/>
      <c r="AN135" s="689"/>
      <c r="AO135" s="689"/>
      <c r="AP135" s="689"/>
      <c r="AQ135" s="689"/>
      <c r="AR135" s="689"/>
      <c r="AS135" s="689"/>
      <c r="AT135" s="689"/>
      <c r="AU135" s="689"/>
      <c r="AV135" s="689"/>
      <c r="AW135" s="689"/>
    </row>
    <row r="136" spans="1:49" s="683" customFormat="1" ht="25.5" x14ac:dyDescent="0.2">
      <c r="A136" s="684" t="s">
        <v>259</v>
      </c>
      <c r="B136" s="684"/>
      <c r="C136" s="684"/>
      <c r="D136" s="684"/>
      <c r="E136" s="684"/>
      <c r="F136" s="684"/>
      <c r="G136" s="684"/>
      <c r="H136" s="689">
        <v>281</v>
      </c>
      <c r="I136" s="689">
        <v>275</v>
      </c>
      <c r="J136" s="689">
        <v>269</v>
      </c>
      <c r="K136" s="689">
        <v>260</v>
      </c>
      <c r="L136" s="689">
        <v>251</v>
      </c>
      <c r="M136" s="689">
        <v>238</v>
      </c>
      <c r="N136" s="689">
        <v>220</v>
      </c>
      <c r="O136" s="689">
        <v>227</v>
      </c>
      <c r="P136" s="689">
        <v>262</v>
      </c>
      <c r="Q136" s="689">
        <f t="shared" si="10"/>
        <v>308</v>
      </c>
      <c r="R136" s="689">
        <f t="shared" si="10"/>
        <v>323</v>
      </c>
      <c r="S136" s="689">
        <f t="shared" si="10"/>
        <v>335</v>
      </c>
      <c r="T136" s="689">
        <f t="shared" si="10"/>
        <v>326</v>
      </c>
      <c r="U136" s="689">
        <f t="shared" si="10"/>
        <v>287</v>
      </c>
      <c r="V136" s="689">
        <f t="shared" si="10"/>
        <v>299</v>
      </c>
      <c r="W136" s="689">
        <f t="shared" si="10"/>
        <v>336</v>
      </c>
      <c r="X136" s="689">
        <f t="shared" si="10"/>
        <v>317</v>
      </c>
      <c r="Y136" s="689">
        <f t="shared" si="10"/>
        <v>281</v>
      </c>
      <c r="Z136" s="689">
        <f t="shared" si="10"/>
        <v>326</v>
      </c>
      <c r="AA136" s="689">
        <f t="shared" si="10"/>
        <v>287</v>
      </c>
      <c r="AB136" s="689">
        <f t="shared" si="10"/>
        <v>274</v>
      </c>
      <c r="AC136" s="689">
        <f t="shared" si="10"/>
        <v>245</v>
      </c>
      <c r="AD136" s="689">
        <f t="shared" si="10"/>
        <v>259</v>
      </c>
      <c r="AE136" s="689"/>
      <c r="AF136" s="689"/>
      <c r="AG136" s="689"/>
      <c r="AH136" s="689"/>
      <c r="AI136" s="689"/>
      <c r="AJ136" s="689"/>
      <c r="AK136" s="689"/>
      <c r="AL136" s="689"/>
      <c r="AM136" s="689"/>
      <c r="AN136" s="689"/>
      <c r="AO136" s="689"/>
      <c r="AP136" s="689"/>
      <c r="AQ136" s="689"/>
      <c r="AR136" s="689"/>
      <c r="AS136" s="689"/>
      <c r="AT136" s="689"/>
      <c r="AU136" s="689"/>
      <c r="AV136" s="689"/>
      <c r="AW136" s="689"/>
    </row>
    <row r="137" spans="1:49" s="683" customFormat="1" ht="38.25" x14ac:dyDescent="0.2">
      <c r="A137" s="684" t="s">
        <v>33</v>
      </c>
      <c r="B137" s="684"/>
      <c r="C137" s="684"/>
      <c r="D137" s="684"/>
      <c r="E137" s="684"/>
      <c r="F137" s="684"/>
      <c r="G137" s="684"/>
      <c r="H137" s="685"/>
      <c r="I137" s="685"/>
      <c r="J137" s="685"/>
      <c r="K137" s="685"/>
      <c r="L137" s="685"/>
      <c r="M137" s="685"/>
      <c r="N137" s="685"/>
      <c r="O137" s="685"/>
      <c r="P137" s="685"/>
      <c r="Q137" s="685">
        <f>'Delayed Discharges'!K21</f>
        <v>241</v>
      </c>
      <c r="R137" s="685">
        <f>'Delayed Discharges'!L21</f>
        <v>232</v>
      </c>
      <c r="S137" s="685">
        <f>'Delayed Discharges'!M21</f>
        <v>249</v>
      </c>
      <c r="T137" s="685">
        <f>'Delayed Discharges'!N21</f>
        <v>236</v>
      </c>
      <c r="U137" s="685">
        <f>'Delayed Discharges'!O21</f>
        <v>208</v>
      </c>
      <c r="V137" s="685">
        <f>'Delayed Discharges'!P21</f>
        <v>240</v>
      </c>
      <c r="W137" s="685">
        <f>'Delayed Discharges'!Q21</f>
        <v>261</v>
      </c>
      <c r="X137" s="685">
        <f>'Delayed Discharges'!R21</f>
        <v>230</v>
      </c>
      <c r="Y137" s="685">
        <f>'Delayed Discharges'!S21</f>
        <v>225</v>
      </c>
      <c r="Z137" s="685">
        <f>'Delayed Discharges'!T21</f>
        <v>204</v>
      </c>
      <c r="AA137" s="685">
        <f>'Delayed Discharges'!U21</f>
        <v>186</v>
      </c>
      <c r="AB137" s="685">
        <f>'Delayed Discharges'!V21</f>
        <v>213</v>
      </c>
      <c r="AC137" s="685">
        <f>'Delayed Discharges'!W21</f>
        <v>200</v>
      </c>
      <c r="AD137" s="685">
        <f>'Delayed Discharges'!X21</f>
        <v>218</v>
      </c>
      <c r="AE137" s="685"/>
      <c r="AF137" s="685"/>
      <c r="AG137" s="685"/>
      <c r="AH137" s="685"/>
      <c r="AI137" s="685"/>
      <c r="AJ137" s="685"/>
      <c r="AK137" s="685"/>
      <c r="AL137" s="685"/>
      <c r="AM137" s="685"/>
      <c r="AN137" s="685"/>
      <c r="AO137" s="685"/>
      <c r="AP137" s="685"/>
      <c r="AQ137" s="685"/>
      <c r="AR137" s="685"/>
      <c r="AS137" s="685"/>
      <c r="AT137" s="685"/>
      <c r="AU137" s="685"/>
      <c r="AV137" s="685"/>
      <c r="AW137" s="685"/>
    </row>
    <row r="138" spans="1:49" s="683" customFormat="1" ht="38.25" x14ac:dyDescent="0.2">
      <c r="A138" s="684" t="s">
        <v>34</v>
      </c>
      <c r="B138" s="684"/>
      <c r="C138" s="684"/>
      <c r="D138" s="684"/>
      <c r="E138" s="684"/>
      <c r="F138" s="684"/>
      <c r="G138" s="684"/>
      <c r="H138" s="685"/>
      <c r="I138" s="685"/>
      <c r="J138" s="685"/>
      <c r="K138" s="685"/>
      <c r="L138" s="685"/>
      <c r="M138" s="685"/>
      <c r="N138" s="685"/>
      <c r="O138" s="685"/>
      <c r="P138" s="685"/>
      <c r="Q138" s="685">
        <f>'Delayed Discharges'!K18</f>
        <v>35</v>
      </c>
      <c r="R138" s="685">
        <f>'Delayed Discharges'!L18</f>
        <v>47</v>
      </c>
      <c r="S138" s="685">
        <f>'Delayed Discharges'!M18</f>
        <v>44</v>
      </c>
      <c r="T138" s="685">
        <f>'Delayed Discharges'!N18</f>
        <v>31</v>
      </c>
      <c r="U138" s="685">
        <f>'Delayed Discharges'!O18</f>
        <v>21</v>
      </c>
      <c r="V138" s="685">
        <f>'Delayed Discharges'!P18</f>
        <v>35</v>
      </c>
      <c r="W138" s="685">
        <f>'Delayed Discharges'!Q18</f>
        <v>28</v>
      </c>
      <c r="X138" s="685">
        <f>'Delayed Discharges'!R18</f>
        <v>24</v>
      </c>
      <c r="Y138" s="685">
        <f>'Delayed Discharges'!S18</f>
        <v>15</v>
      </c>
      <c r="Z138" s="685">
        <f>'Delayed Discharges'!T18</f>
        <v>17</v>
      </c>
      <c r="AA138" s="685">
        <f>'Delayed Discharges'!U18</f>
        <v>8</v>
      </c>
      <c r="AB138" s="685">
        <f>'Delayed Discharges'!V18</f>
        <v>11</v>
      </c>
      <c r="AC138" s="685">
        <f>'Delayed Discharges'!W18</f>
        <v>12</v>
      </c>
      <c r="AD138" s="685">
        <f>'Delayed Discharges'!X18</f>
        <v>17</v>
      </c>
      <c r="AE138" s="685"/>
      <c r="AF138" s="685"/>
      <c r="AG138" s="685"/>
      <c r="AH138" s="685"/>
      <c r="AI138" s="685"/>
      <c r="AJ138" s="685"/>
      <c r="AK138" s="685"/>
      <c r="AL138" s="685"/>
      <c r="AM138" s="685"/>
      <c r="AN138" s="685"/>
      <c r="AO138" s="685"/>
      <c r="AP138" s="685"/>
      <c r="AQ138" s="685"/>
      <c r="AR138" s="685"/>
      <c r="AS138" s="685"/>
      <c r="AT138" s="685"/>
      <c r="AU138" s="685"/>
      <c r="AV138" s="685"/>
      <c r="AW138" s="685"/>
    </row>
    <row r="139" spans="1:49" s="683" customFormat="1" ht="38.25" x14ac:dyDescent="0.2">
      <c r="A139" s="684" t="s">
        <v>35</v>
      </c>
      <c r="B139" s="684"/>
      <c r="C139" s="684"/>
      <c r="D139" s="684"/>
      <c r="E139" s="684"/>
      <c r="F139" s="684"/>
      <c r="G139" s="684"/>
      <c r="H139" s="685"/>
      <c r="I139" s="685"/>
      <c r="J139" s="685"/>
      <c r="K139" s="685"/>
      <c r="L139" s="685"/>
      <c r="M139" s="685"/>
      <c r="N139" s="685"/>
      <c r="O139" s="685"/>
      <c r="P139" s="685"/>
      <c r="Q139" s="685">
        <f>'Delayed Discharges'!K17</f>
        <v>153</v>
      </c>
      <c r="R139" s="685">
        <f>'Delayed Discharges'!L17</f>
        <v>144</v>
      </c>
      <c r="S139" s="685">
        <f>'Delayed Discharges'!M17</f>
        <v>155</v>
      </c>
      <c r="T139" s="685">
        <f>'Delayed Discharges'!N17</f>
        <v>168</v>
      </c>
      <c r="U139" s="685">
        <f>'Delayed Discharges'!O17</f>
        <v>148</v>
      </c>
      <c r="V139" s="685">
        <f>'Delayed Discharges'!P17</f>
        <v>170</v>
      </c>
      <c r="W139" s="685">
        <f>'Delayed Discharges'!Q17</f>
        <v>188</v>
      </c>
      <c r="X139" s="685">
        <f>'Delayed Discharges'!R17</f>
        <v>171</v>
      </c>
      <c r="Y139" s="685">
        <f>'Delayed Discharges'!S17</f>
        <v>162</v>
      </c>
      <c r="Z139" s="685">
        <f>'Delayed Discharges'!T17</f>
        <v>140</v>
      </c>
      <c r="AA139" s="685">
        <f>'Delayed Discharges'!U17</f>
        <v>132</v>
      </c>
      <c r="AB139" s="685">
        <f>'Delayed Discharges'!V17</f>
        <v>152</v>
      </c>
      <c r="AC139" s="685">
        <f>'Delayed Discharges'!W17</f>
        <v>129</v>
      </c>
      <c r="AD139" s="685">
        <f>'Delayed Discharges'!X17</f>
        <v>141</v>
      </c>
      <c r="AE139" s="685"/>
      <c r="AF139" s="685"/>
      <c r="AG139" s="685"/>
      <c r="AH139" s="685"/>
      <c r="AI139" s="685"/>
      <c r="AJ139" s="685"/>
      <c r="AK139" s="685"/>
      <c r="AL139" s="685"/>
      <c r="AM139" s="685"/>
      <c r="AN139" s="685"/>
      <c r="AO139" s="685"/>
      <c r="AP139" s="685"/>
      <c r="AQ139" s="685"/>
      <c r="AR139" s="685"/>
      <c r="AS139" s="685"/>
      <c r="AT139" s="685"/>
      <c r="AU139" s="685"/>
      <c r="AV139" s="685"/>
      <c r="AW139" s="685"/>
    </row>
    <row r="140" spans="1:49" s="683" customFormat="1" ht="38.25" x14ac:dyDescent="0.2">
      <c r="A140" s="684" t="s">
        <v>36</v>
      </c>
      <c r="B140" s="684"/>
      <c r="C140" s="684"/>
      <c r="D140" s="684"/>
      <c r="E140" s="684"/>
      <c r="F140" s="684"/>
      <c r="G140" s="684"/>
      <c r="H140" s="685"/>
      <c r="I140" s="685"/>
      <c r="J140" s="685"/>
      <c r="K140" s="685"/>
      <c r="L140" s="685"/>
      <c r="M140" s="685"/>
      <c r="N140" s="685"/>
      <c r="O140" s="685"/>
      <c r="P140" s="685"/>
      <c r="Q140" s="685">
        <f>'Delayed Discharges'!K19</f>
        <v>15</v>
      </c>
      <c r="R140" s="685">
        <f>'Delayed Discharges'!L19</f>
        <v>13</v>
      </c>
      <c r="S140" s="685">
        <f>'Delayed Discharges'!M19</f>
        <v>25</v>
      </c>
      <c r="T140" s="685">
        <f>'Delayed Discharges'!N19</f>
        <v>12</v>
      </c>
      <c r="U140" s="685">
        <f>'Delayed Discharges'!O19</f>
        <v>13</v>
      </c>
      <c r="V140" s="685">
        <f>'Delayed Discharges'!P19</f>
        <v>17</v>
      </c>
      <c r="W140" s="685">
        <f>'Delayed Discharges'!Q19</f>
        <v>9</v>
      </c>
      <c r="X140" s="685">
        <f>'Delayed Discharges'!R19</f>
        <v>10</v>
      </c>
      <c r="Y140" s="685">
        <f>'Delayed Discharges'!S19</f>
        <v>20</v>
      </c>
      <c r="Z140" s="685">
        <f>'Delayed Discharges'!T19</f>
        <v>22</v>
      </c>
      <c r="AA140" s="685">
        <f>'Delayed Discharges'!U19</f>
        <v>29</v>
      </c>
      <c r="AB140" s="685">
        <f>'Delayed Discharges'!V19</f>
        <v>24</v>
      </c>
      <c r="AC140" s="685">
        <f>'Delayed Discharges'!W19</f>
        <v>24</v>
      </c>
      <c r="AD140" s="685">
        <f>'Delayed Discharges'!X19</f>
        <v>17</v>
      </c>
      <c r="AE140" s="685"/>
      <c r="AF140" s="685"/>
      <c r="AG140" s="685"/>
      <c r="AH140" s="685"/>
      <c r="AI140" s="685"/>
      <c r="AJ140" s="685"/>
      <c r="AK140" s="685"/>
      <c r="AL140" s="685"/>
      <c r="AM140" s="685"/>
      <c r="AN140" s="685"/>
      <c r="AO140" s="685"/>
      <c r="AP140" s="685"/>
      <c r="AQ140" s="685"/>
      <c r="AR140" s="685"/>
      <c r="AS140" s="685"/>
      <c r="AT140" s="685"/>
      <c r="AU140" s="685"/>
      <c r="AV140" s="685"/>
      <c r="AW140" s="685"/>
    </row>
    <row r="141" spans="1:49" s="683" customFormat="1" ht="38.25" x14ac:dyDescent="0.2">
      <c r="A141" s="684" t="s">
        <v>37</v>
      </c>
      <c r="B141" s="684"/>
      <c r="C141" s="684"/>
      <c r="D141" s="684"/>
      <c r="E141" s="684"/>
      <c r="F141" s="684"/>
      <c r="G141" s="684"/>
      <c r="H141" s="685"/>
      <c r="I141" s="685"/>
      <c r="J141" s="685"/>
      <c r="K141" s="685"/>
      <c r="L141" s="685"/>
      <c r="M141" s="685"/>
      <c r="N141" s="685"/>
      <c r="O141" s="685"/>
      <c r="P141" s="685"/>
      <c r="Q141" s="685">
        <f>'Delayed Discharges'!K20</f>
        <v>33</v>
      </c>
      <c r="R141" s="685">
        <f>'Delayed Discharges'!L20</f>
        <v>23</v>
      </c>
      <c r="S141" s="685">
        <f>'Delayed Discharges'!M20</f>
        <v>23</v>
      </c>
      <c r="T141" s="685">
        <f>'Delayed Discharges'!N20</f>
        <v>23</v>
      </c>
      <c r="U141" s="685">
        <f>'Delayed Discharges'!O20</f>
        <v>26</v>
      </c>
      <c r="V141" s="685">
        <f>'Delayed Discharges'!P20</f>
        <v>17</v>
      </c>
      <c r="W141" s="685">
        <f>'Delayed Discharges'!Q20</f>
        <v>36</v>
      </c>
      <c r="X141" s="685">
        <f>'Delayed Discharges'!R20</f>
        <v>24</v>
      </c>
      <c r="Y141" s="685">
        <f>'Delayed Discharges'!S20</f>
        <v>27</v>
      </c>
      <c r="Z141" s="685">
        <f>'Delayed Discharges'!T20</f>
        <v>24</v>
      </c>
      <c r="AA141" s="685">
        <f>'Delayed Discharges'!U20</f>
        <v>16</v>
      </c>
      <c r="AB141" s="685">
        <f>'Delayed Discharges'!V20</f>
        <v>24</v>
      </c>
      <c r="AC141" s="685">
        <f>'Delayed Discharges'!W20</f>
        <v>30</v>
      </c>
      <c r="AD141" s="685">
        <f>'Delayed Discharges'!X20</f>
        <v>40</v>
      </c>
      <c r="AE141" s="685"/>
      <c r="AF141" s="685"/>
      <c r="AG141" s="685"/>
      <c r="AH141" s="685"/>
      <c r="AI141" s="685"/>
      <c r="AJ141" s="685"/>
      <c r="AK141" s="685"/>
      <c r="AL141" s="685"/>
      <c r="AM141" s="685"/>
      <c r="AN141" s="685"/>
      <c r="AO141" s="685"/>
      <c r="AP141" s="685"/>
      <c r="AQ141" s="685"/>
      <c r="AR141" s="685"/>
      <c r="AS141" s="685"/>
      <c r="AT141" s="685"/>
      <c r="AU141" s="685"/>
      <c r="AV141" s="685"/>
      <c r="AW141" s="685"/>
    </row>
    <row r="142" spans="1:49" s="683" customFormat="1" ht="38.25" x14ac:dyDescent="0.2">
      <c r="A142" s="684" t="s">
        <v>38</v>
      </c>
      <c r="B142" s="684">
        <v>135</v>
      </c>
      <c r="C142" s="684">
        <v>149</v>
      </c>
      <c r="D142" s="684">
        <v>166</v>
      </c>
      <c r="E142" s="684">
        <v>164</v>
      </c>
      <c r="F142" s="684">
        <v>162</v>
      </c>
      <c r="G142" s="684">
        <v>190</v>
      </c>
      <c r="H142" s="685">
        <v>169</v>
      </c>
      <c r="I142" s="685">
        <v>181</v>
      </c>
      <c r="J142" s="685">
        <v>167</v>
      </c>
      <c r="K142" s="685">
        <v>131</v>
      </c>
      <c r="L142" s="685">
        <v>147</v>
      </c>
      <c r="M142" s="685">
        <v>124</v>
      </c>
      <c r="N142" s="685">
        <v>82</v>
      </c>
      <c r="O142" s="685">
        <v>113</v>
      </c>
      <c r="P142" s="685">
        <v>147</v>
      </c>
      <c r="Q142" s="685"/>
      <c r="R142" s="685"/>
      <c r="S142" s="685"/>
      <c r="T142" s="685"/>
      <c r="U142" s="685"/>
      <c r="V142" s="685"/>
      <c r="W142" s="685"/>
      <c r="X142" s="685"/>
      <c r="Y142" s="685"/>
      <c r="Z142" s="685"/>
      <c r="AA142" s="685"/>
      <c r="AB142" s="685"/>
      <c r="AC142" s="685"/>
      <c r="AD142" s="685"/>
      <c r="AE142" s="685"/>
      <c r="AF142" s="685"/>
      <c r="AG142" s="685"/>
      <c r="AH142" s="685"/>
      <c r="AI142" s="685"/>
      <c r="AJ142" s="685"/>
      <c r="AK142" s="685"/>
      <c r="AL142" s="685"/>
      <c r="AM142" s="685"/>
      <c r="AN142" s="685"/>
      <c r="AO142" s="685"/>
      <c r="AP142" s="685"/>
      <c r="AQ142" s="685"/>
      <c r="AR142" s="685"/>
      <c r="AS142" s="685"/>
      <c r="AT142" s="685"/>
      <c r="AU142" s="685"/>
      <c r="AV142" s="685"/>
      <c r="AW142" s="685"/>
    </row>
    <row r="143" spans="1:49" s="199" customFormat="1" x14ac:dyDescent="0.2"/>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1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sheetPr>
  <dimension ref="A1:AH13"/>
  <sheetViews>
    <sheetView workbookViewId="0">
      <pane xSplit="1" topLeftCell="B1" activePane="topRight" state="frozen"/>
      <selection pane="topRight"/>
    </sheetView>
  </sheetViews>
  <sheetFormatPr defaultColWidth="9.140625" defaultRowHeight="12.75" x14ac:dyDescent="0.2"/>
  <cols>
    <col min="1" max="1" width="18.85546875" style="117" bestFit="1" customWidth="1"/>
    <col min="2" max="16384" width="9.140625" style="117"/>
  </cols>
  <sheetData>
    <row r="1" spans="1:34" x14ac:dyDescent="0.2">
      <c r="A1" s="116" t="s">
        <v>360</v>
      </c>
      <c r="M1" s="155"/>
    </row>
    <row r="2" spans="1:34" x14ac:dyDescent="0.2">
      <c r="A2" s="116"/>
    </row>
    <row r="3" spans="1:34" x14ac:dyDescent="0.2">
      <c r="A3" s="137" t="s">
        <v>151</v>
      </c>
      <c r="B3" s="139" t="str">
        <f>IF(HLOOKUP(MAX(B7:AH7),A7:AH10,4,0)&lt;HLOOKUP(MAX(B7:AH7),A7:AH10,3,0),"Better", "Worse")</f>
        <v>Worse</v>
      </c>
      <c r="C3" s="117" t="s">
        <v>226</v>
      </c>
    </row>
    <row r="4" spans="1:34" x14ac:dyDescent="0.2">
      <c r="A4" s="137" t="s">
        <v>148</v>
      </c>
      <c r="B4" s="138">
        <f>MAX(B7:AH7)</f>
        <v>42917</v>
      </c>
    </row>
    <row r="5" spans="1:34" x14ac:dyDescent="0.2">
      <c r="A5" s="137" t="s">
        <v>215</v>
      </c>
      <c r="B5" s="138" t="s">
        <v>229</v>
      </c>
    </row>
    <row r="6" spans="1:34" x14ac:dyDescent="0.2">
      <c r="A6" s="134"/>
      <c r="K6" s="207"/>
    </row>
    <row r="7" spans="1:34" x14ac:dyDescent="0.2">
      <c r="A7" s="140"/>
      <c r="B7" s="141">
        <v>42552</v>
      </c>
      <c r="C7" s="141">
        <v>42583</v>
      </c>
      <c r="D7" s="141">
        <v>42614</v>
      </c>
      <c r="E7" s="141">
        <v>42644</v>
      </c>
      <c r="F7" s="141">
        <v>42675</v>
      </c>
      <c r="G7" s="141">
        <v>42705</v>
      </c>
      <c r="H7" s="141">
        <v>42736</v>
      </c>
      <c r="I7" s="141">
        <v>42767</v>
      </c>
      <c r="J7" s="141">
        <v>42795</v>
      </c>
      <c r="K7" s="141">
        <v>42826</v>
      </c>
      <c r="L7" s="548">
        <v>42856</v>
      </c>
      <c r="M7" s="548">
        <v>42887</v>
      </c>
      <c r="N7" s="548">
        <v>42917</v>
      </c>
      <c r="O7" s="124"/>
      <c r="P7" s="124"/>
      <c r="Q7" s="124"/>
      <c r="R7" s="124"/>
      <c r="S7" s="124"/>
      <c r="T7" s="124"/>
      <c r="U7" s="124"/>
      <c r="V7" s="124"/>
      <c r="W7" s="124"/>
      <c r="X7" s="124"/>
      <c r="Y7" s="124"/>
      <c r="Z7" s="124"/>
      <c r="AA7" s="124"/>
      <c r="AB7" s="124"/>
      <c r="AC7" s="124"/>
      <c r="AD7" s="124"/>
      <c r="AE7" s="124"/>
      <c r="AF7" s="124"/>
      <c r="AG7" s="124"/>
      <c r="AH7" s="124"/>
    </row>
    <row r="8" spans="1:34" x14ac:dyDescent="0.2">
      <c r="A8" s="143" t="s">
        <v>386</v>
      </c>
      <c r="B8" s="213">
        <v>901</v>
      </c>
      <c r="C8" s="213">
        <v>913</v>
      </c>
      <c r="D8" s="213">
        <v>937</v>
      </c>
      <c r="E8" s="213">
        <v>981</v>
      </c>
      <c r="F8" s="213">
        <v>909</v>
      </c>
      <c r="G8" s="213">
        <v>938</v>
      </c>
      <c r="H8" s="213">
        <v>887</v>
      </c>
      <c r="I8" s="213">
        <v>873</v>
      </c>
      <c r="J8" s="213">
        <v>823</v>
      </c>
      <c r="K8" s="146">
        <v>757</v>
      </c>
      <c r="L8" s="146">
        <v>716</v>
      </c>
      <c r="M8" s="146">
        <v>765</v>
      </c>
      <c r="N8" s="146">
        <v>770</v>
      </c>
      <c r="O8" s="146"/>
      <c r="P8" s="146"/>
      <c r="Q8" s="146"/>
      <c r="R8" s="146"/>
      <c r="S8" s="146"/>
      <c r="T8" s="146"/>
      <c r="U8" s="146"/>
      <c r="V8" s="146"/>
      <c r="W8" s="146"/>
      <c r="X8" s="146"/>
      <c r="Y8" s="146"/>
      <c r="Z8" s="146"/>
      <c r="AA8" s="146"/>
      <c r="AB8" s="146"/>
      <c r="AC8" s="146"/>
      <c r="AD8" s="146"/>
      <c r="AE8" s="146"/>
      <c r="AF8" s="146"/>
      <c r="AG8" s="146"/>
      <c r="AH8" s="146"/>
    </row>
    <row r="9" spans="1:34" x14ac:dyDescent="0.2">
      <c r="A9" s="144" t="s">
        <v>230</v>
      </c>
      <c r="B9" s="216">
        <f>(B8/100)*14.66</f>
        <v>132.0866</v>
      </c>
      <c r="C9" s="424">
        <f t="shared" ref="C9:H9" si="0">(C8/100)*14.66</f>
        <v>133.84580000000003</v>
      </c>
      <c r="D9" s="424">
        <f t="shared" si="0"/>
        <v>137.36419999999998</v>
      </c>
      <c r="E9" s="424">
        <f>(E8/100)*14.66</f>
        <v>143.81460000000001</v>
      </c>
      <c r="F9" s="424">
        <f t="shared" si="0"/>
        <v>133.2594</v>
      </c>
      <c r="G9" s="424">
        <f t="shared" si="0"/>
        <v>137.51080000000002</v>
      </c>
      <c r="H9" s="424">
        <f t="shared" si="0"/>
        <v>130.0342</v>
      </c>
      <c r="I9" s="424">
        <f>(I8/100)*14.66</f>
        <v>127.98180000000001</v>
      </c>
      <c r="J9" s="424">
        <f>(J8/100)*14.66</f>
        <v>120.65180000000001</v>
      </c>
      <c r="K9" s="425">
        <f>(K8/100)*14.76</f>
        <v>111.7332</v>
      </c>
      <c r="L9" s="424">
        <f>(L8/100)*14.76</f>
        <v>105.6816</v>
      </c>
      <c r="M9" s="424">
        <f t="shared" ref="M9:V9" si="1">(M8/100)*14.76</f>
        <v>112.914</v>
      </c>
      <c r="N9" s="424">
        <f t="shared" si="1"/>
        <v>113.652</v>
      </c>
      <c r="O9" s="424">
        <f t="shared" si="1"/>
        <v>0</v>
      </c>
      <c r="P9" s="424">
        <f t="shared" si="1"/>
        <v>0</v>
      </c>
      <c r="Q9" s="424">
        <f t="shared" si="1"/>
        <v>0</v>
      </c>
      <c r="R9" s="424">
        <f t="shared" si="1"/>
        <v>0</v>
      </c>
      <c r="S9" s="424">
        <f t="shared" si="1"/>
        <v>0</v>
      </c>
      <c r="T9" s="424">
        <f t="shared" si="1"/>
        <v>0</v>
      </c>
      <c r="U9" s="424">
        <f t="shared" si="1"/>
        <v>0</v>
      </c>
      <c r="V9" s="424">
        <f t="shared" si="1"/>
        <v>0</v>
      </c>
      <c r="W9" s="124"/>
      <c r="X9" s="124"/>
      <c r="Y9" s="124"/>
      <c r="Z9" s="124"/>
      <c r="AA9" s="124"/>
      <c r="AB9" s="124"/>
      <c r="AC9" s="124"/>
      <c r="AD9" s="124"/>
      <c r="AE9" s="124"/>
      <c r="AF9" s="124"/>
      <c r="AG9" s="124"/>
      <c r="AH9" s="124"/>
    </row>
    <row r="10" spans="1:34" x14ac:dyDescent="0.2">
      <c r="A10" s="144" t="s">
        <v>387</v>
      </c>
      <c r="B10" s="217">
        <v>241</v>
      </c>
      <c r="C10" s="146">
        <v>231</v>
      </c>
      <c r="D10" s="146">
        <v>249</v>
      </c>
      <c r="E10" s="146">
        <v>236</v>
      </c>
      <c r="F10" s="146">
        <v>208</v>
      </c>
      <c r="G10" s="146">
        <v>260</v>
      </c>
      <c r="H10" s="146">
        <v>260</v>
      </c>
      <c r="I10" s="146">
        <v>231</v>
      </c>
      <c r="J10" s="146">
        <v>224</v>
      </c>
      <c r="K10" s="146">
        <v>204</v>
      </c>
      <c r="L10" s="146">
        <v>186</v>
      </c>
      <c r="M10" s="146">
        <v>212</v>
      </c>
      <c r="N10" s="146">
        <v>200</v>
      </c>
      <c r="O10" s="146"/>
      <c r="P10" s="146"/>
      <c r="Q10" s="146"/>
      <c r="R10" s="146"/>
      <c r="S10" s="146"/>
      <c r="T10" s="146"/>
      <c r="U10" s="146"/>
      <c r="V10" s="146"/>
      <c r="W10" s="146"/>
      <c r="X10" s="146"/>
      <c r="Y10" s="146"/>
      <c r="Z10" s="146"/>
      <c r="AA10" s="146"/>
      <c r="AB10" s="146"/>
      <c r="AC10" s="146"/>
      <c r="AD10" s="146"/>
      <c r="AE10" s="146"/>
      <c r="AF10" s="146"/>
      <c r="AG10" s="146"/>
      <c r="AH10" s="146"/>
    </row>
    <row r="12" spans="1:34" x14ac:dyDescent="0.2">
      <c r="A12" s="345" t="s">
        <v>597</v>
      </c>
    </row>
    <row r="13" spans="1:34" x14ac:dyDescent="0.2">
      <c r="A13" s="564" t="s">
        <v>598</v>
      </c>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W70"/>
  <sheetViews>
    <sheetView workbookViewId="0">
      <pane xSplit="1" topLeftCell="B1" activePane="topRight" state="frozen"/>
      <selection pane="topRight"/>
    </sheetView>
  </sheetViews>
  <sheetFormatPr defaultColWidth="9.140625" defaultRowHeight="12.75" x14ac:dyDescent="0.2"/>
  <cols>
    <col min="1" max="1" width="19.7109375" style="117" customWidth="1"/>
    <col min="2" max="2" width="9.140625" style="117" customWidth="1"/>
    <col min="3" max="16384" width="9.140625" style="117"/>
  </cols>
  <sheetData>
    <row r="1" spans="1:49" x14ac:dyDescent="0.2">
      <c r="A1" s="116" t="s">
        <v>360</v>
      </c>
      <c r="B1" s="573"/>
    </row>
    <row r="2" spans="1:49" x14ac:dyDescent="0.2">
      <c r="A2" s="116"/>
      <c r="B2" s="224"/>
    </row>
    <row r="3" spans="1:49" x14ac:dyDescent="0.2">
      <c r="A3" s="118" t="s">
        <v>454</v>
      </c>
      <c r="B3" s="117" t="s">
        <v>49</v>
      </c>
    </row>
    <row r="4" spans="1:49" x14ac:dyDescent="0.2">
      <c r="A4" s="118" t="s">
        <v>147</v>
      </c>
      <c r="B4" s="359">
        <f>HLOOKUP(MAX(B11:AW11),B11:AW16,2,0)</f>
        <v>9.1345319997687469</v>
      </c>
      <c r="N4" s="225"/>
    </row>
    <row r="5" spans="1:49" x14ac:dyDescent="0.2">
      <c r="A5" s="118" t="s">
        <v>119</v>
      </c>
      <c r="B5" s="138">
        <f>MAX(B11:AW11)</f>
        <v>42675</v>
      </c>
    </row>
    <row r="6" spans="1:49" x14ac:dyDescent="0.2">
      <c r="A6" s="118" t="s">
        <v>201</v>
      </c>
      <c r="B6" s="139" t="s">
        <v>78</v>
      </c>
    </row>
    <row r="7" spans="1:49" ht="15" x14ac:dyDescent="0.25">
      <c r="A7" s="118" t="s">
        <v>456</v>
      </c>
      <c r="B7" s="360" t="s">
        <v>135</v>
      </c>
    </row>
    <row r="8" spans="1:49" ht="15" x14ac:dyDescent="0.25">
      <c r="A8" s="118"/>
      <c r="B8" s="360"/>
    </row>
    <row r="9" spans="1:49" x14ac:dyDescent="0.2">
      <c r="A9" s="485" t="s">
        <v>527</v>
      </c>
    </row>
    <row r="10" spans="1:49" x14ac:dyDescent="0.2">
      <c r="A10" s="485"/>
    </row>
    <row r="11" spans="1:49" x14ac:dyDescent="0.2">
      <c r="A11" s="218"/>
      <c r="B11" s="219">
        <v>42095</v>
      </c>
      <c r="C11" s="219">
        <v>42125</v>
      </c>
      <c r="D11" s="219">
        <v>42156</v>
      </c>
      <c r="E11" s="219">
        <v>42186</v>
      </c>
      <c r="F11" s="219">
        <v>42217</v>
      </c>
      <c r="G11" s="219">
        <v>42248</v>
      </c>
      <c r="H11" s="219">
        <v>42278</v>
      </c>
      <c r="I11" s="219">
        <v>42309</v>
      </c>
      <c r="J11" s="219">
        <v>42339</v>
      </c>
      <c r="K11" s="219">
        <v>42370</v>
      </c>
      <c r="L11" s="219">
        <v>42401</v>
      </c>
      <c r="M11" s="219">
        <v>42430</v>
      </c>
      <c r="N11" s="109">
        <v>42461</v>
      </c>
      <c r="O11" s="109">
        <v>42491</v>
      </c>
      <c r="P11" s="109">
        <v>42522</v>
      </c>
      <c r="Q11" s="109">
        <v>42552</v>
      </c>
      <c r="R11" s="109">
        <v>42583</v>
      </c>
      <c r="S11" s="109">
        <v>42614</v>
      </c>
      <c r="T11" s="109">
        <v>42644</v>
      </c>
      <c r="U11" s="109">
        <v>42675</v>
      </c>
      <c r="V11" s="109"/>
      <c r="W11" s="109"/>
      <c r="X11" s="109"/>
      <c r="Y11" s="109"/>
      <c r="Z11" s="219"/>
      <c r="AA11" s="219"/>
      <c r="AB11" s="219"/>
      <c r="AC11" s="219"/>
      <c r="AD11" s="219"/>
      <c r="AE11" s="219"/>
      <c r="AF11" s="219"/>
      <c r="AG11" s="219"/>
      <c r="AH11" s="219"/>
      <c r="AI11" s="219"/>
      <c r="AJ11" s="219"/>
      <c r="AK11" s="219"/>
      <c r="AL11" s="109"/>
      <c r="AM11" s="109"/>
      <c r="AN11" s="109"/>
      <c r="AO11" s="109"/>
      <c r="AP11" s="109"/>
      <c r="AQ11" s="109"/>
      <c r="AR11" s="109"/>
      <c r="AS11" s="109"/>
      <c r="AT11" s="109"/>
      <c r="AU11" s="109"/>
      <c r="AV11" s="109"/>
      <c r="AW11" s="109"/>
    </row>
    <row r="12" spans="1:49" x14ac:dyDescent="0.2">
      <c r="A12" s="371" t="s">
        <v>387</v>
      </c>
      <c r="B12" s="372">
        <v>7.053246227669538</v>
      </c>
      <c r="C12" s="372">
        <v>7.8626351390414513</v>
      </c>
      <c r="D12" s="372">
        <v>9.5970399491241256</v>
      </c>
      <c r="E12" s="372">
        <v>8.3251430883968318</v>
      </c>
      <c r="F12" s="372">
        <v>8.2095161010579876</v>
      </c>
      <c r="G12" s="372">
        <v>8.9032780250910566</v>
      </c>
      <c r="H12" s="372">
        <v>11.215817771867954</v>
      </c>
      <c r="I12" s="372">
        <v>11.10019078452911</v>
      </c>
      <c r="J12" s="372">
        <v>10.753309822512575</v>
      </c>
      <c r="K12" s="372">
        <v>10.175174885818349</v>
      </c>
      <c r="L12" s="372">
        <v>10.637682835173729</v>
      </c>
      <c r="M12" s="372">
        <v>12.372087645256402</v>
      </c>
      <c r="N12" s="373">
        <v>11.215817771867954</v>
      </c>
      <c r="O12" s="373">
        <v>10.637682835173729</v>
      </c>
      <c r="P12" s="373">
        <v>10.984563797190264</v>
      </c>
      <c r="Q12" s="373">
        <v>8.0938891137191433</v>
      </c>
      <c r="R12" s="373">
        <v>9.9439209111406601</v>
      </c>
      <c r="S12" s="374">
        <v>7.5157541770249177</v>
      </c>
      <c r="T12" s="374">
        <v>8.4407700757356778</v>
      </c>
      <c r="U12" s="374">
        <v>9.1345319997687469</v>
      </c>
      <c r="V12" s="374"/>
      <c r="W12" s="374"/>
      <c r="X12" s="374"/>
      <c r="Y12" s="374"/>
      <c r="Z12" s="372"/>
      <c r="AA12" s="372"/>
      <c r="AB12" s="372"/>
      <c r="AC12" s="372"/>
      <c r="AD12" s="372"/>
      <c r="AE12" s="372"/>
      <c r="AF12" s="372"/>
      <c r="AG12" s="372"/>
      <c r="AH12" s="372"/>
      <c r="AI12" s="372"/>
      <c r="AJ12" s="372"/>
      <c r="AK12" s="372"/>
      <c r="AL12" s="373"/>
      <c r="AM12" s="373"/>
      <c r="AN12" s="373"/>
      <c r="AO12" s="373"/>
      <c r="AP12" s="373"/>
      <c r="AQ12" s="374"/>
      <c r="AR12" s="374"/>
      <c r="AS12" s="374"/>
      <c r="AT12" s="374"/>
      <c r="AU12" s="374"/>
      <c r="AV12" s="374"/>
      <c r="AW12" s="374"/>
    </row>
    <row r="13" spans="1:49" x14ac:dyDescent="0.2">
      <c r="A13" s="220" t="s">
        <v>197</v>
      </c>
      <c r="B13" s="221">
        <v>4.8413021166172854</v>
      </c>
      <c r="C13" s="221">
        <v>7.7460833865876566</v>
      </c>
      <c r="D13" s="227">
        <v>14.523906349851856</v>
      </c>
      <c r="E13" s="227">
        <v>5.8095625399407425</v>
      </c>
      <c r="F13" s="227">
        <v>7.7460833865876566</v>
      </c>
      <c r="G13" s="221">
        <v>7.7460833865876566</v>
      </c>
      <c r="H13" s="221">
        <v>18.396948043145684</v>
      </c>
      <c r="I13" s="221">
        <v>18.396948043145684</v>
      </c>
      <c r="J13" s="221">
        <v>14.523906349851856</v>
      </c>
      <c r="K13" s="221">
        <v>13.555645926528397</v>
      </c>
      <c r="L13" s="221">
        <v>25.174771006409884</v>
      </c>
      <c r="M13" s="221">
        <v>20.333468889792599</v>
      </c>
      <c r="N13" s="222">
        <v>10.563211216209726</v>
      </c>
      <c r="O13" s="222">
        <v>18.24554664618044</v>
      </c>
      <c r="P13" s="221">
        <v>11.523503144956067</v>
      </c>
      <c r="Q13" s="221">
        <v>11.523503144956067</v>
      </c>
      <c r="R13" s="221">
        <v>12.483795073702407</v>
      </c>
      <c r="S13" s="223">
        <v>10.563211216209726</v>
      </c>
      <c r="T13" s="223">
        <v>7.6823354299707107</v>
      </c>
      <c r="U13" s="223">
        <v>17.2852547174341</v>
      </c>
      <c r="V13" s="223"/>
      <c r="W13" s="223"/>
      <c r="X13" s="223"/>
      <c r="Y13" s="223"/>
      <c r="Z13" s="221"/>
      <c r="AA13" s="221"/>
      <c r="AB13" s="227"/>
      <c r="AC13" s="227"/>
      <c r="AD13" s="227"/>
      <c r="AE13" s="221"/>
      <c r="AF13" s="221"/>
      <c r="AG13" s="221"/>
      <c r="AH13" s="221"/>
      <c r="AI13" s="221"/>
      <c r="AJ13" s="221"/>
      <c r="AK13" s="221"/>
      <c r="AL13" s="222"/>
      <c r="AM13" s="222"/>
      <c r="AN13" s="221"/>
      <c r="AO13" s="221"/>
      <c r="AP13" s="221"/>
      <c r="AQ13" s="223"/>
      <c r="AR13" s="223"/>
      <c r="AS13" s="223"/>
      <c r="AT13" s="223"/>
      <c r="AU13" s="223"/>
      <c r="AV13" s="223"/>
      <c r="AW13" s="223"/>
    </row>
    <row r="14" spans="1:49" x14ac:dyDescent="0.2">
      <c r="A14" s="220" t="s">
        <v>198</v>
      </c>
      <c r="B14" s="221">
        <v>6.0327942696498162</v>
      </c>
      <c r="C14" s="221">
        <v>6.6360736966147984</v>
      </c>
      <c r="D14" s="221">
        <v>7.6415394082231005</v>
      </c>
      <c r="E14" s="221">
        <v>9.4513776891180452</v>
      </c>
      <c r="F14" s="221">
        <v>8.2448188351880827</v>
      </c>
      <c r="G14" s="221">
        <v>7.8426325505447609</v>
      </c>
      <c r="H14" s="221">
        <v>9.4513776891180452</v>
      </c>
      <c r="I14" s="221">
        <v>10.255750258404687</v>
      </c>
      <c r="J14" s="221">
        <v>10.054657116083026</v>
      </c>
      <c r="K14" s="221">
        <v>10.65793654304801</v>
      </c>
      <c r="L14" s="221">
        <v>9.2502845467963866</v>
      </c>
      <c r="M14" s="221">
        <v>10.85902968536967</v>
      </c>
      <c r="N14" s="222">
        <v>12.932363737652079</v>
      </c>
      <c r="O14" s="222">
        <v>10.942769316474838</v>
      </c>
      <c r="P14" s="222">
        <v>10.544850432239388</v>
      </c>
      <c r="Q14" s="222">
        <v>8.9531748952975931</v>
      </c>
      <c r="R14" s="222">
        <v>9.9479721058862154</v>
      </c>
      <c r="S14" s="223">
        <v>7.3614993583557986</v>
      </c>
      <c r="T14" s="223">
        <v>8.9531748952975931</v>
      </c>
      <c r="U14" s="223">
        <v>8.3562965689444209</v>
      </c>
      <c r="V14" s="223"/>
      <c r="W14" s="223"/>
      <c r="X14" s="223"/>
      <c r="Y14" s="223"/>
      <c r="Z14" s="221"/>
      <c r="AA14" s="221"/>
      <c r="AB14" s="221"/>
      <c r="AC14" s="221"/>
      <c r="AD14" s="221"/>
      <c r="AE14" s="221"/>
      <c r="AF14" s="221"/>
      <c r="AG14" s="221"/>
      <c r="AH14" s="221"/>
      <c r="AI14" s="221"/>
      <c r="AJ14" s="221"/>
      <c r="AK14" s="221"/>
      <c r="AL14" s="222"/>
      <c r="AM14" s="222"/>
      <c r="AN14" s="222"/>
      <c r="AO14" s="222"/>
      <c r="AP14" s="222"/>
      <c r="AQ14" s="223"/>
      <c r="AR14" s="223"/>
      <c r="AS14" s="223"/>
      <c r="AT14" s="223"/>
      <c r="AU14" s="223"/>
      <c r="AV14" s="223"/>
      <c r="AW14" s="223"/>
    </row>
    <row r="15" spans="1:49" x14ac:dyDescent="0.2">
      <c r="A15" s="220" t="s">
        <v>199</v>
      </c>
      <c r="B15" s="221">
        <v>13.98960106320968</v>
      </c>
      <c r="C15" s="221">
        <v>13.98960106320968</v>
      </c>
      <c r="D15" s="221">
        <v>20.984401594814521</v>
      </c>
      <c r="E15" s="221">
        <v>12.823800974608872</v>
      </c>
      <c r="F15" s="221">
        <v>11.658000886008068</v>
      </c>
      <c r="G15" s="221">
        <v>12.823800974608872</v>
      </c>
      <c r="H15" s="221">
        <v>12.823800974608872</v>
      </c>
      <c r="I15" s="221">
        <v>18.65280141761291</v>
      </c>
      <c r="J15" s="221">
        <v>17.487001329012102</v>
      </c>
      <c r="K15" s="221">
        <v>5.8290004430040341</v>
      </c>
      <c r="L15" s="221">
        <v>11.658000886008068</v>
      </c>
      <c r="M15" s="221">
        <v>16.321201240411295</v>
      </c>
      <c r="N15" s="222">
        <v>4.6309159951838481</v>
      </c>
      <c r="O15" s="222">
        <v>9.2618319903676962</v>
      </c>
      <c r="P15" s="222">
        <v>11.577289987959619</v>
      </c>
      <c r="Q15" s="222">
        <v>5.7886449939798093</v>
      </c>
      <c r="R15" s="222">
        <v>12.735018986755579</v>
      </c>
      <c r="S15" s="223">
        <v>6.9463739927757704</v>
      </c>
      <c r="T15" s="223">
        <v>9.2618319903676962</v>
      </c>
      <c r="U15" s="223">
        <v>11.577289987959619</v>
      </c>
      <c r="V15" s="223"/>
      <c r="W15" s="223"/>
      <c r="X15" s="223"/>
      <c r="Y15" s="223"/>
      <c r="Z15" s="221"/>
      <c r="AA15" s="221"/>
      <c r="AB15" s="221"/>
      <c r="AC15" s="221"/>
      <c r="AD15" s="221"/>
      <c r="AE15" s="221"/>
      <c r="AF15" s="221"/>
      <c r="AG15" s="221"/>
      <c r="AH15" s="221"/>
      <c r="AI15" s="221"/>
      <c r="AJ15" s="221"/>
      <c r="AK15" s="221"/>
      <c r="AL15" s="222"/>
      <c r="AM15" s="222"/>
      <c r="AN15" s="222"/>
      <c r="AO15" s="222"/>
      <c r="AP15" s="222"/>
      <c r="AQ15" s="223"/>
      <c r="AR15" s="223"/>
      <c r="AS15" s="223"/>
      <c r="AT15" s="223"/>
      <c r="AU15" s="223"/>
      <c r="AV15" s="223"/>
      <c r="AW15" s="223"/>
    </row>
    <row r="16" spans="1:49" x14ac:dyDescent="0.2">
      <c r="A16" s="220" t="s">
        <v>200</v>
      </c>
      <c r="B16" s="221">
        <v>6.7222371605270235</v>
      </c>
      <c r="C16" s="221">
        <v>8.40279645065878</v>
      </c>
      <c r="D16" s="221">
        <v>6.7222371605270235</v>
      </c>
      <c r="E16" s="221">
        <v>3.9213050103074303</v>
      </c>
      <c r="F16" s="221">
        <v>6.7222371605270235</v>
      </c>
      <c r="G16" s="221">
        <v>10.083355740790536</v>
      </c>
      <c r="H16" s="221">
        <v>8.9629828807026968</v>
      </c>
      <c r="I16" s="221">
        <v>5.6018643004391864</v>
      </c>
      <c r="J16" s="221">
        <v>6.7222371605270235</v>
      </c>
      <c r="K16" s="221">
        <v>8.9629828807026968</v>
      </c>
      <c r="L16" s="221">
        <v>4.4814914403513484</v>
      </c>
      <c r="M16" s="221">
        <v>8.40279645065878</v>
      </c>
      <c r="N16" s="222">
        <v>9.4770877466830203</v>
      </c>
      <c r="O16" s="222">
        <v>5.574757498048835</v>
      </c>
      <c r="P16" s="222">
        <v>11.14951499609767</v>
      </c>
      <c r="Q16" s="222">
        <v>4.4598059984390677</v>
      </c>
      <c r="R16" s="222">
        <v>6.6897089976586015</v>
      </c>
      <c r="S16" s="223">
        <v>5.574757498048835</v>
      </c>
      <c r="T16" s="223">
        <v>6.6897089976586015</v>
      </c>
      <c r="U16" s="223">
        <v>5.0172817482439518</v>
      </c>
      <c r="V16" s="223"/>
      <c r="W16" s="223"/>
      <c r="X16" s="223"/>
      <c r="Y16" s="223"/>
      <c r="Z16" s="221"/>
      <c r="AA16" s="221"/>
      <c r="AB16" s="221"/>
      <c r="AC16" s="221"/>
      <c r="AD16" s="221"/>
      <c r="AE16" s="221"/>
      <c r="AF16" s="221"/>
      <c r="AG16" s="221"/>
      <c r="AH16" s="221"/>
      <c r="AI16" s="221"/>
      <c r="AJ16" s="221"/>
      <c r="AK16" s="221"/>
      <c r="AL16" s="222"/>
      <c r="AM16" s="222"/>
      <c r="AN16" s="222"/>
      <c r="AO16" s="222"/>
      <c r="AP16" s="222"/>
      <c r="AQ16" s="223"/>
      <c r="AR16" s="223"/>
      <c r="AS16" s="223"/>
      <c r="AT16" s="223"/>
      <c r="AU16" s="223"/>
      <c r="AV16" s="223"/>
      <c r="AW16" s="223"/>
    </row>
    <row r="17" spans="1:15" x14ac:dyDescent="0.2">
      <c r="A17" s="199"/>
    </row>
    <row r="18" spans="1:15" x14ac:dyDescent="0.2">
      <c r="A18" s="199"/>
    </row>
    <row r="19" spans="1:15" x14ac:dyDescent="0.2">
      <c r="A19" s="361" t="s">
        <v>316</v>
      </c>
    </row>
    <row r="20" spans="1:15" x14ac:dyDescent="0.2">
      <c r="A20" s="554" t="s">
        <v>601</v>
      </c>
      <c r="O20" s="554" t="s">
        <v>602</v>
      </c>
    </row>
    <row r="45" spans="1:15" x14ac:dyDescent="0.2">
      <c r="A45" s="554" t="s">
        <v>604</v>
      </c>
      <c r="O45" s="554" t="s">
        <v>603</v>
      </c>
    </row>
    <row r="70" spans="1:1" x14ac:dyDescent="0.2">
      <c r="A70" s="375"/>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64"/>
  <sheetViews>
    <sheetView zoomScaleNormal="100" workbookViewId="0">
      <pane xSplit="3" topLeftCell="D1" activePane="topRight" state="frozen"/>
      <selection pane="topRight"/>
    </sheetView>
  </sheetViews>
  <sheetFormatPr defaultColWidth="9.140625" defaultRowHeight="14.25" x14ac:dyDescent="0.2"/>
  <cols>
    <col min="1" max="1" width="23.85546875" style="15" customWidth="1"/>
    <col min="2" max="2" width="8.5703125" style="15" customWidth="1"/>
    <col min="3" max="3" width="26.5703125" style="15" customWidth="1"/>
    <col min="4" max="4" width="8" style="16" customWidth="1"/>
    <col min="5" max="5" width="6.7109375" style="15" customWidth="1"/>
    <col min="6" max="6" width="20.5703125" style="16" customWidth="1"/>
    <col min="7" max="7" width="15.42578125" style="15" customWidth="1"/>
    <col min="8" max="8" width="14.7109375" style="15" customWidth="1"/>
    <col min="9" max="9" width="14.28515625" style="15" customWidth="1"/>
    <col min="10" max="12" width="3.5703125" style="445" customWidth="1"/>
    <col min="13" max="13" width="18.85546875" style="15" customWidth="1"/>
    <col min="14" max="14" width="6.5703125" style="15" customWidth="1"/>
    <col min="15" max="15" width="11.28515625" style="15" customWidth="1"/>
    <col min="16" max="16" width="6.28515625" style="15" customWidth="1"/>
    <col min="17" max="17" width="20" style="15" customWidth="1"/>
    <col min="18" max="18" width="5.7109375" style="15" customWidth="1"/>
    <col min="19" max="19" width="7" style="15" customWidth="1"/>
    <col min="20" max="20" width="5.7109375" style="15" customWidth="1"/>
    <col min="21" max="21" width="9.5703125" style="15" customWidth="1"/>
    <col min="22" max="22" width="6.5703125" style="15" customWidth="1"/>
    <col min="23" max="23" width="11.28515625" style="15" customWidth="1"/>
    <col min="24" max="24" width="8.42578125" style="15" customWidth="1"/>
    <col min="25" max="25" width="8.42578125" style="103" customWidth="1"/>
    <col min="26" max="16384" width="9.140625" style="15"/>
  </cols>
  <sheetData>
    <row r="1" spans="1:25" s="155" customFormat="1" ht="12.75" x14ac:dyDescent="0.2">
      <c r="A1" s="298" t="s">
        <v>360</v>
      </c>
      <c r="C1" s="450"/>
      <c r="D1" s="344"/>
      <c r="F1" s="113"/>
      <c r="J1" s="443"/>
      <c r="K1" s="443"/>
      <c r="L1" s="443"/>
      <c r="Y1" s="450"/>
    </row>
    <row r="2" spans="1:25" s="155" customFormat="1" ht="13.5" thickBot="1" x14ac:dyDescent="0.25">
      <c r="A2" s="298"/>
      <c r="C2" s="388"/>
      <c r="D2" s="113"/>
      <c r="E2" s="344" t="s">
        <v>385</v>
      </c>
      <c r="F2" s="113"/>
      <c r="J2" s="443"/>
      <c r="K2" s="443"/>
      <c r="L2" s="443"/>
      <c r="Y2" s="450"/>
    </row>
    <row r="3" spans="1:25" ht="46.5" customHeight="1" thickBot="1" x14ac:dyDescent="0.25">
      <c r="A3" s="866" t="s">
        <v>217</v>
      </c>
      <c r="B3" s="867"/>
      <c r="C3" s="868"/>
      <c r="D3" s="362" t="s">
        <v>288</v>
      </c>
      <c r="E3" s="362" t="s">
        <v>289</v>
      </c>
      <c r="F3" s="363" t="s">
        <v>105</v>
      </c>
      <c r="G3" s="363" t="s">
        <v>292</v>
      </c>
      <c r="H3" s="363" t="s">
        <v>293</v>
      </c>
      <c r="I3" s="363" t="s">
        <v>218</v>
      </c>
      <c r="J3" s="962" t="s">
        <v>219</v>
      </c>
      <c r="K3" s="963"/>
      <c r="L3" s="964"/>
      <c r="M3" s="363" t="s">
        <v>220</v>
      </c>
      <c r="N3" s="866" t="s">
        <v>221</v>
      </c>
      <c r="O3" s="868"/>
      <c r="P3" s="945" t="s">
        <v>74</v>
      </c>
      <c r="Q3" s="946"/>
      <c r="R3" s="945" t="s">
        <v>116</v>
      </c>
      <c r="S3" s="972"/>
      <c r="T3" s="972"/>
      <c r="U3" s="946"/>
      <c r="V3" s="945" t="s">
        <v>75</v>
      </c>
      <c r="W3" s="946"/>
      <c r="X3" s="364" t="s">
        <v>76</v>
      </c>
      <c r="Y3" s="557"/>
    </row>
    <row r="4" spans="1:25" ht="23.25" customHeight="1" thickBot="1" x14ac:dyDescent="0.25">
      <c r="A4" s="807" t="s">
        <v>301</v>
      </c>
      <c r="B4" s="805"/>
      <c r="C4" s="806"/>
      <c r="D4" s="813" t="s">
        <v>106</v>
      </c>
      <c r="E4" s="95" t="s">
        <v>77</v>
      </c>
      <c r="F4" s="390" t="s">
        <v>112</v>
      </c>
      <c r="G4" s="394" t="s">
        <v>296</v>
      </c>
      <c r="H4" s="395">
        <v>42948</v>
      </c>
      <c r="I4" s="51" t="str">
        <f>IF(R4&lt;=P4, "Met", "Not Met")</f>
        <v>Not Met</v>
      </c>
      <c r="J4" s="819" t="str">
        <f>'Cardiac Arrest'!B6</f>
        <v>No Change</v>
      </c>
      <c r="K4" s="820"/>
      <c r="L4" s="821"/>
      <c r="M4" s="93" t="str">
        <f>'Cardiac Arrest'!B8</f>
        <v>Not Applicable</v>
      </c>
      <c r="N4" s="975" t="str">
        <f>'Cardiac Arrest'!B9</f>
        <v>Not Applicable</v>
      </c>
      <c r="O4" s="976"/>
      <c r="P4" s="74">
        <v>0.95</v>
      </c>
      <c r="Q4" s="10" t="s">
        <v>122</v>
      </c>
      <c r="R4" s="24">
        <f>'Cardiac Arrest'!B4</f>
        <v>1.7571831579921873</v>
      </c>
      <c r="S4" s="33" t="s">
        <v>159</v>
      </c>
      <c r="T4" s="25"/>
      <c r="U4" s="55"/>
      <c r="V4" s="49">
        <f>'Cardiac Arrest'!B5</f>
        <v>42948</v>
      </c>
      <c r="W4" s="389" t="s">
        <v>27</v>
      </c>
      <c r="X4" s="484" t="s">
        <v>526</v>
      </c>
      <c r="Y4" s="558"/>
    </row>
    <row r="5" spans="1:25" ht="23.25" customHeight="1" thickBot="1" x14ac:dyDescent="0.25">
      <c r="A5" s="807" t="s">
        <v>302</v>
      </c>
      <c r="B5" s="805"/>
      <c r="C5" s="806"/>
      <c r="D5" s="814"/>
      <c r="E5" s="95" t="s">
        <v>77</v>
      </c>
      <c r="F5" s="390" t="s">
        <v>113</v>
      </c>
      <c r="G5" s="396" t="s">
        <v>324</v>
      </c>
      <c r="H5" s="397" t="s">
        <v>324</v>
      </c>
      <c r="I5" s="51" t="str">
        <f>IF(R5&lt;=P5, "Met", "Not Met")</f>
        <v>Met</v>
      </c>
      <c r="J5" s="819">
        <f>Falls!B6</f>
        <v>0</v>
      </c>
      <c r="K5" s="820"/>
      <c r="L5" s="821"/>
      <c r="M5" s="70" t="str">
        <f>Falls!B8</f>
        <v>Not Applicable</v>
      </c>
      <c r="N5" s="973" t="str">
        <f>Falls!B9</f>
        <v>Not Applicable</v>
      </c>
      <c r="O5" s="974"/>
      <c r="P5" s="370">
        <v>0.31</v>
      </c>
      <c r="Q5" s="10" t="s">
        <v>123</v>
      </c>
      <c r="R5" s="24">
        <f>Falls!B4</f>
        <v>0.25500717207671464</v>
      </c>
      <c r="S5" s="27" t="s">
        <v>159</v>
      </c>
      <c r="T5" s="26"/>
      <c r="U5" s="56"/>
      <c r="V5" s="49">
        <f>Falls!B5</f>
        <v>42948</v>
      </c>
      <c r="W5" s="389" t="s">
        <v>27</v>
      </c>
      <c r="X5" s="484" t="s">
        <v>526</v>
      </c>
      <c r="Y5" s="558"/>
    </row>
    <row r="6" spans="1:25" ht="15" customHeight="1" thickBot="1" x14ac:dyDescent="0.25">
      <c r="A6" s="807" t="s">
        <v>80</v>
      </c>
      <c r="B6" s="805"/>
      <c r="C6" s="806"/>
      <c r="D6" s="814"/>
      <c r="E6" s="95" t="s">
        <v>81</v>
      </c>
      <c r="F6" s="390" t="s">
        <v>111</v>
      </c>
      <c r="G6" s="396" t="s">
        <v>295</v>
      </c>
      <c r="H6" s="398">
        <v>42917</v>
      </c>
      <c r="I6" s="51" t="str">
        <f>IF(R6&lt;=P6, "Met", "Not Met")</f>
        <v>Met</v>
      </c>
      <c r="J6" s="819">
        <f>'HAI - C.Diff'!B7</f>
        <v>0</v>
      </c>
      <c r="K6" s="820"/>
      <c r="L6" s="821"/>
      <c r="M6" s="52" t="str">
        <f>IF('HAI - Published'!C3="Equal", "Equal", 'HAI - Published'!B3)</f>
        <v>Worse</v>
      </c>
      <c r="N6" s="42">
        <f>'HAI - Published'!B5</f>
        <v>42795</v>
      </c>
      <c r="O6" s="46" t="s">
        <v>188</v>
      </c>
      <c r="P6" s="13">
        <v>0.32490000000000002</v>
      </c>
      <c r="Q6" s="367" t="s">
        <v>11</v>
      </c>
      <c r="R6" s="24">
        <f>'HAI - C.Diff'!B5</f>
        <v>0.19655164321085197</v>
      </c>
      <c r="S6" s="27" t="s">
        <v>178</v>
      </c>
      <c r="T6" s="26">
        <f>'HAI - C.Diff'!B4</f>
        <v>67</v>
      </c>
      <c r="U6" s="11" t="s">
        <v>179</v>
      </c>
      <c r="V6" s="49">
        <f>'HAI - C.Diff'!B6</f>
        <v>42948</v>
      </c>
      <c r="W6" s="389" t="s">
        <v>27</v>
      </c>
      <c r="X6" s="484" t="s">
        <v>526</v>
      </c>
      <c r="Y6" s="558"/>
    </row>
    <row r="7" spans="1:25" ht="15" customHeight="1" thickBot="1" x14ac:dyDescent="0.25">
      <c r="A7" s="804" t="s">
        <v>9</v>
      </c>
      <c r="B7" s="811"/>
      <c r="C7" s="812"/>
      <c r="D7" s="814"/>
      <c r="E7" s="95" t="s">
        <v>81</v>
      </c>
      <c r="F7" s="390" t="s">
        <v>111</v>
      </c>
      <c r="G7" s="396" t="s">
        <v>295</v>
      </c>
      <c r="H7" s="398">
        <v>42917</v>
      </c>
      <c r="I7" s="51" t="str">
        <f>IF(R7&lt;=P7, "Met", "Not Met")</f>
        <v>Not Met</v>
      </c>
      <c r="J7" s="816" t="str">
        <f>'HAI - SAB'!B7</f>
        <v>No Change</v>
      </c>
      <c r="K7" s="817"/>
      <c r="L7" s="818"/>
      <c r="M7" s="52" t="str">
        <f>IF('HAI - Published'!C4="Equal", "Equal", 'HAI - Published'!B4)</f>
        <v>Better</v>
      </c>
      <c r="N7" s="42">
        <f>'HAI - Published'!B5</f>
        <v>42795</v>
      </c>
      <c r="O7" s="46" t="s">
        <v>188</v>
      </c>
      <c r="P7" s="13">
        <v>0.24</v>
      </c>
      <c r="Q7" s="367" t="s">
        <v>12</v>
      </c>
      <c r="R7" s="23">
        <f>'HAI - SAB'!B5</f>
        <v>0.25719420744933585</v>
      </c>
      <c r="S7" s="27" t="s">
        <v>178</v>
      </c>
      <c r="T7" s="28">
        <f>'HAI - SAB'!B4</f>
        <v>83</v>
      </c>
      <c r="U7" s="11" t="s">
        <v>179</v>
      </c>
      <c r="V7" s="49">
        <f>'HAI - SAB'!B6</f>
        <v>42948</v>
      </c>
      <c r="W7" s="389" t="s">
        <v>27</v>
      </c>
      <c r="X7" s="484" t="s">
        <v>526</v>
      </c>
      <c r="Y7" s="558"/>
    </row>
    <row r="8" spans="1:25" ht="14.25" customHeight="1" x14ac:dyDescent="0.2">
      <c r="A8" s="858" t="s">
        <v>303</v>
      </c>
      <c r="B8" s="859"/>
      <c r="C8" s="860"/>
      <c r="D8" s="814"/>
      <c r="E8" s="813" t="s">
        <v>77</v>
      </c>
      <c r="F8" s="836" t="s">
        <v>114</v>
      </c>
      <c r="G8" s="864" t="s">
        <v>323</v>
      </c>
      <c r="H8" s="841" t="s">
        <v>323</v>
      </c>
      <c r="I8" s="881" t="str">
        <f>IF(R9&lt;=P8, "Met", "Not Met")</f>
        <v>Met</v>
      </c>
      <c r="J8" s="849">
        <f>HSMR!B12</f>
        <v>0</v>
      </c>
      <c r="K8" s="850"/>
      <c r="L8" s="851"/>
      <c r="M8" s="932" t="str">
        <f>HSMR!B14</f>
        <v>Not Applicable</v>
      </c>
      <c r="N8" s="947" t="str">
        <f>HSMR!B15</f>
        <v>Not Applicable</v>
      </c>
      <c r="O8" s="948"/>
      <c r="P8" s="960">
        <v>1</v>
      </c>
      <c r="Q8" s="742" t="s">
        <v>124</v>
      </c>
      <c r="R8" s="30" t="s">
        <v>173</v>
      </c>
      <c r="S8" s="30" t="s">
        <v>327</v>
      </c>
      <c r="T8" s="30" t="s">
        <v>330</v>
      </c>
      <c r="U8" s="31" t="s">
        <v>328</v>
      </c>
      <c r="V8" s="921">
        <f>HSMR!B11</f>
        <v>42795</v>
      </c>
      <c r="W8" s="918" t="s">
        <v>28</v>
      </c>
      <c r="X8" s="887" t="s">
        <v>526</v>
      </c>
      <c r="Y8" s="558"/>
    </row>
    <row r="9" spans="1:25" ht="15.75" customHeight="1" thickBot="1" x14ac:dyDescent="0.25">
      <c r="A9" s="861"/>
      <c r="B9" s="862"/>
      <c r="C9" s="863"/>
      <c r="D9" s="815"/>
      <c r="E9" s="815"/>
      <c r="F9" s="837"/>
      <c r="G9" s="865"/>
      <c r="H9" s="842"/>
      <c r="I9" s="882"/>
      <c r="J9" s="855"/>
      <c r="K9" s="856"/>
      <c r="L9" s="857"/>
      <c r="M9" s="933"/>
      <c r="N9" s="949"/>
      <c r="O9" s="950"/>
      <c r="P9" s="961"/>
      <c r="Q9" s="744"/>
      <c r="R9" s="29">
        <f>HSMR!B7</f>
        <v>0.84876814351163221</v>
      </c>
      <c r="S9" s="29">
        <f>HSMR!B8</f>
        <v>0.84257867233308303</v>
      </c>
      <c r="T9" s="29">
        <f>HSMR!B9</f>
        <v>0.83815219399235341</v>
      </c>
      <c r="U9" s="29">
        <f>HSMR!B10</f>
        <v>0.77130445055615127</v>
      </c>
      <c r="V9" s="923"/>
      <c r="W9" s="920"/>
      <c r="X9" s="888"/>
      <c r="Y9" s="556"/>
    </row>
    <row r="10" spans="1:25" ht="15.75" customHeight="1" thickBot="1" x14ac:dyDescent="0.25">
      <c r="A10" s="872" t="s">
        <v>325</v>
      </c>
      <c r="B10" s="873"/>
      <c r="C10" s="874"/>
      <c r="D10" s="813" t="s">
        <v>84</v>
      </c>
      <c r="E10" s="95" t="s">
        <v>81</v>
      </c>
      <c r="F10" s="391" t="s">
        <v>111</v>
      </c>
      <c r="G10" s="400" t="s">
        <v>323</v>
      </c>
      <c r="H10" s="399" t="s">
        <v>323</v>
      </c>
      <c r="I10" s="80" t="str">
        <f>IF(R10&gt;P10, "Met", "Not Met")</f>
        <v>Met</v>
      </c>
      <c r="J10" s="816">
        <f>'GP Access'!B9</f>
        <v>0</v>
      </c>
      <c r="K10" s="817"/>
      <c r="L10" s="818"/>
      <c r="M10" s="84" t="str">
        <f>'GP Access'!B12</f>
        <v>Worse</v>
      </c>
      <c r="N10" s="90" t="str">
        <f>'GP Access'!B14</f>
        <v>2015/16</v>
      </c>
      <c r="O10" s="81"/>
      <c r="P10" s="91">
        <v>0.9</v>
      </c>
      <c r="Q10" s="92" t="s">
        <v>126</v>
      </c>
      <c r="R10" s="968">
        <f>'GP Access'!B6</f>
        <v>0.91492099999999998</v>
      </c>
      <c r="S10" s="969"/>
      <c r="T10" s="969"/>
      <c r="U10" s="970"/>
      <c r="V10" s="83" t="str">
        <f>'GP Access'!B8</f>
        <v>2015/16</v>
      </c>
      <c r="W10" s="82"/>
      <c r="X10" s="79" t="s">
        <v>86</v>
      </c>
      <c r="Y10" s="556"/>
    </row>
    <row r="11" spans="1:25" ht="15.75" customHeight="1" thickBot="1" x14ac:dyDescent="0.25">
      <c r="A11" s="872" t="s">
        <v>326</v>
      </c>
      <c r="B11" s="873"/>
      <c r="C11" s="874"/>
      <c r="D11" s="814"/>
      <c r="E11" s="95" t="s">
        <v>81</v>
      </c>
      <c r="F11" s="391" t="s">
        <v>111</v>
      </c>
      <c r="G11" s="400" t="s">
        <v>323</v>
      </c>
      <c r="H11" s="399" t="s">
        <v>323</v>
      </c>
      <c r="I11" s="80" t="str">
        <f>IF(R11&gt;P11, "Met", "Not Met")</f>
        <v>Not Met</v>
      </c>
      <c r="J11" s="816" t="str">
        <f>'GP Access'!B10</f>
        <v>Deteriorating</v>
      </c>
      <c r="K11" s="817"/>
      <c r="L11" s="818"/>
      <c r="M11" s="84" t="str">
        <f>'GP Access'!B13</f>
        <v>Worse</v>
      </c>
      <c r="N11" s="90" t="str">
        <f>'GP Access'!B14</f>
        <v>2015/16</v>
      </c>
      <c r="O11" s="81"/>
      <c r="P11" s="91">
        <v>0.9</v>
      </c>
      <c r="Q11" s="92" t="s">
        <v>126</v>
      </c>
      <c r="R11" s="968">
        <f>'GP Access'!B7</f>
        <v>0.74836999999999998</v>
      </c>
      <c r="S11" s="969"/>
      <c r="T11" s="969"/>
      <c r="U11" s="970"/>
      <c r="V11" s="83" t="str">
        <f>'GP Access'!B8</f>
        <v>2015/16</v>
      </c>
      <c r="W11" s="82"/>
      <c r="X11" s="79" t="s">
        <v>86</v>
      </c>
      <c r="Y11" s="556"/>
    </row>
    <row r="12" spans="1:25" ht="15.75" customHeight="1" thickBot="1" x14ac:dyDescent="0.25">
      <c r="A12" s="807" t="s">
        <v>308</v>
      </c>
      <c r="B12" s="805"/>
      <c r="C12" s="806"/>
      <c r="D12" s="814"/>
      <c r="E12" s="96" t="s">
        <v>81</v>
      </c>
      <c r="F12" s="390" t="s">
        <v>114</v>
      </c>
      <c r="G12" s="401" t="s">
        <v>295</v>
      </c>
      <c r="H12" s="395">
        <v>42767</v>
      </c>
      <c r="I12" s="7" t="str">
        <f>IF(R12&gt;=P12, "Met", "Not Met")</f>
        <v>Met</v>
      </c>
      <c r="J12" s="819">
        <f>'A&amp;E WT'!B6</f>
        <v>0</v>
      </c>
      <c r="K12" s="820"/>
      <c r="L12" s="821"/>
      <c r="M12" s="52" t="str">
        <f>IF('A&amp;E WT - Published'!C3="Equal", "Equal", 'A&amp;E WT - Published'!B3)</f>
        <v>Better</v>
      </c>
      <c r="N12" s="42">
        <f>'A&amp;E WT - Published'!B4</f>
        <v>42917</v>
      </c>
      <c r="O12" s="34" t="s">
        <v>187</v>
      </c>
      <c r="P12" s="53">
        <v>0.95</v>
      </c>
      <c r="Q12" s="12" t="s">
        <v>125</v>
      </c>
      <c r="R12" s="792">
        <f>'A&amp;E WT'!B4</f>
        <v>0.95099999999999996</v>
      </c>
      <c r="S12" s="793"/>
      <c r="T12" s="793"/>
      <c r="U12" s="794"/>
      <c r="V12" s="49">
        <f>'A&amp;E WT'!B5</f>
        <v>42948</v>
      </c>
      <c r="W12" s="389" t="s">
        <v>27</v>
      </c>
      <c r="X12" s="54" t="s">
        <v>85</v>
      </c>
      <c r="Y12" s="556"/>
    </row>
    <row r="13" spans="1:25" ht="18.75" customHeight="1" thickBot="1" x14ac:dyDescent="0.25">
      <c r="A13" s="807" t="s">
        <v>300</v>
      </c>
      <c r="B13" s="805"/>
      <c r="C13" s="806"/>
      <c r="D13" s="814"/>
      <c r="E13" s="96" t="s">
        <v>81</v>
      </c>
      <c r="F13" s="390" t="s">
        <v>111</v>
      </c>
      <c r="G13" s="396" t="s">
        <v>324</v>
      </c>
      <c r="H13" s="397" t="s">
        <v>324</v>
      </c>
      <c r="I13" s="7" t="str">
        <f>ABI!B10</f>
        <v>Met</v>
      </c>
      <c r="J13" s="819">
        <f>ABI!B7</f>
        <v>0</v>
      </c>
      <c r="K13" s="820"/>
      <c r="L13" s="821"/>
      <c r="M13" s="9" t="str">
        <f>'ABI - Published'!B3</f>
        <v>Better</v>
      </c>
      <c r="N13" s="45" t="str">
        <f>'ABI - Published'!B4</f>
        <v>2016/17</v>
      </c>
      <c r="O13" s="41"/>
      <c r="P13" s="971" t="s">
        <v>522</v>
      </c>
      <c r="Q13" s="800"/>
      <c r="R13" s="910">
        <f>ABI!B5</f>
        <v>3932</v>
      </c>
      <c r="S13" s="911"/>
      <c r="T13" s="911"/>
      <c r="U13" s="912"/>
      <c r="V13" s="49">
        <f>ABI!B6</f>
        <v>42887</v>
      </c>
      <c r="W13" s="389" t="s">
        <v>28</v>
      </c>
      <c r="X13" s="54" t="s">
        <v>87</v>
      </c>
      <c r="Y13" s="556"/>
    </row>
    <row r="14" spans="1:25" ht="15.75" customHeight="1" thickBot="1" x14ac:dyDescent="0.25">
      <c r="A14" s="875" t="s">
        <v>566</v>
      </c>
      <c r="B14" s="876"/>
      <c r="C14" s="877"/>
      <c r="D14" s="814"/>
      <c r="E14" s="96" t="s">
        <v>81</v>
      </c>
      <c r="F14" s="392" t="s">
        <v>111</v>
      </c>
      <c r="G14" s="396" t="s">
        <v>296</v>
      </c>
      <c r="H14" s="398">
        <v>42979</v>
      </c>
      <c r="I14" s="51" t="str">
        <f>IF(R14&gt;=P14, "Met", "Not Met")</f>
        <v>Not Met</v>
      </c>
      <c r="J14" s="819" t="str">
        <f>CAMHS!B6</f>
        <v>Deteriorating</v>
      </c>
      <c r="K14" s="820"/>
      <c r="L14" s="821"/>
      <c r="M14" s="52" t="str">
        <f>IF('CAMHS - Published'!C3="Equal", "Equal", 'CAMHS - Published'!B3)</f>
        <v>Worse</v>
      </c>
      <c r="N14" s="42">
        <f>'CAMHS - Published'!B4</f>
        <v>42887</v>
      </c>
      <c r="O14" s="46" t="s">
        <v>188</v>
      </c>
      <c r="P14" s="14">
        <v>0.9</v>
      </c>
      <c r="Q14" s="11" t="s">
        <v>126</v>
      </c>
      <c r="R14" s="792">
        <f>CAMHS!B4</f>
        <v>0.51658767772511849</v>
      </c>
      <c r="S14" s="793"/>
      <c r="T14" s="793"/>
      <c r="U14" s="794"/>
      <c r="V14" s="49">
        <f>CAMHS!B5</f>
        <v>42948</v>
      </c>
      <c r="W14" s="389" t="s">
        <v>27</v>
      </c>
      <c r="X14" s="54" t="s">
        <v>87</v>
      </c>
      <c r="Y14" s="556"/>
    </row>
    <row r="15" spans="1:25" ht="15.75" customHeight="1" thickBot="1" x14ac:dyDescent="0.25">
      <c r="A15" s="804" t="s">
        <v>29</v>
      </c>
      <c r="B15" s="811"/>
      <c r="C15" s="812"/>
      <c r="D15" s="814"/>
      <c r="E15" s="96" t="s">
        <v>81</v>
      </c>
      <c r="F15" s="390" t="s">
        <v>114</v>
      </c>
      <c r="G15" s="401" t="s">
        <v>296</v>
      </c>
      <c r="H15" s="395">
        <v>42917</v>
      </c>
      <c r="I15" s="7" t="str">
        <f>IF(R15&gt;=P15, "Met", "Not Met")</f>
        <v>Not Met</v>
      </c>
      <c r="J15" s="904" t="str">
        <f>'Cancer - 31 Day'!B6</f>
        <v>Deteriorating</v>
      </c>
      <c r="K15" s="905"/>
      <c r="L15" s="906"/>
      <c r="M15" s="52" t="str">
        <f>IF('Cancer - Published'!C3="Equal", "Equal", 'Cancer - Published'!B3)</f>
        <v>Worse</v>
      </c>
      <c r="N15" s="57">
        <f>'Cancer - Published'!B5</f>
        <v>42887</v>
      </c>
      <c r="O15" s="46" t="s">
        <v>188</v>
      </c>
      <c r="P15" s="14">
        <v>0.95</v>
      </c>
      <c r="Q15" s="11" t="s">
        <v>126</v>
      </c>
      <c r="R15" s="792">
        <f>'Cancer - 31 Day'!B4</f>
        <v>0.878</v>
      </c>
      <c r="S15" s="793"/>
      <c r="T15" s="793"/>
      <c r="U15" s="794"/>
      <c r="V15" s="49">
        <f>'Cancer - 31 Day'!B5</f>
        <v>42948</v>
      </c>
      <c r="W15" s="389" t="s">
        <v>27</v>
      </c>
      <c r="X15" s="54" t="s">
        <v>85</v>
      </c>
      <c r="Y15" s="556"/>
    </row>
    <row r="16" spans="1:25" s="103" customFormat="1" ht="15.75" customHeight="1" thickBot="1" x14ac:dyDescent="0.25">
      <c r="A16" s="808" t="s">
        <v>299</v>
      </c>
      <c r="B16" s="809"/>
      <c r="C16" s="810"/>
      <c r="D16" s="814"/>
      <c r="E16" s="102" t="s">
        <v>81</v>
      </c>
      <c r="F16" s="391" t="s">
        <v>114</v>
      </c>
      <c r="G16" s="520" t="s">
        <v>296</v>
      </c>
      <c r="H16" s="518">
        <v>42917</v>
      </c>
      <c r="I16" s="40" t="str">
        <f>IF(R16&gt;=P16, "Met", "Not Met")</f>
        <v>Not Met</v>
      </c>
      <c r="J16" s="816" t="str">
        <f>'Cancer - 62 Day'!B9</f>
        <v>Deteriorating</v>
      </c>
      <c r="K16" s="817"/>
      <c r="L16" s="818"/>
      <c r="M16" s="70" t="str">
        <f>IF('Cancer - Published'!C4="Equal", "Equal", 'Cancer - Published'!B4)</f>
        <v>Better</v>
      </c>
      <c r="N16" s="42">
        <f>'Cancer - Published'!B5</f>
        <v>42887</v>
      </c>
      <c r="O16" s="46" t="s">
        <v>188</v>
      </c>
      <c r="P16" s="14">
        <v>0.95</v>
      </c>
      <c r="Q16" s="11" t="s">
        <v>126</v>
      </c>
      <c r="R16" s="795">
        <f>'Cancer - 62 Day'!B7</f>
        <v>0.85299999999999998</v>
      </c>
      <c r="S16" s="796"/>
      <c r="T16" s="796"/>
      <c r="U16" s="797"/>
      <c r="V16" s="49">
        <f>'Cancer - 62 Day'!B8</f>
        <v>42948</v>
      </c>
      <c r="W16" s="417" t="s">
        <v>27</v>
      </c>
      <c r="X16" s="40" t="s">
        <v>85</v>
      </c>
      <c r="Y16" s="556"/>
    </row>
    <row r="17" spans="1:25" ht="23.25" customHeight="1" thickBot="1" x14ac:dyDescent="0.25">
      <c r="A17" s="804" t="s">
        <v>587</v>
      </c>
      <c r="B17" s="811"/>
      <c r="C17" s="812"/>
      <c r="D17" s="814"/>
      <c r="E17" s="96"/>
      <c r="F17" s="519" t="s">
        <v>114</v>
      </c>
      <c r="G17" s="397" t="s">
        <v>296</v>
      </c>
      <c r="H17" s="398">
        <v>42948</v>
      </c>
      <c r="I17" s="907" t="str">
        <f>IF(R17&gt;P17, "Not Met", "Met")</f>
        <v>Not Met</v>
      </c>
      <c r="J17" s="849" t="str">
        <f>Diagnostics!B6</f>
        <v>Deteriorating</v>
      </c>
      <c r="K17" s="850"/>
      <c r="L17" s="851"/>
      <c r="M17" s="751" t="str">
        <f>IF('Diagnostics - Published'!C3="Equal", "Equal", 'Diagnostics - Published'!B3)</f>
        <v>Worse</v>
      </c>
      <c r="N17" s="763">
        <f>'Diagnostics - Published'!B4</f>
        <v>42887</v>
      </c>
      <c r="O17" s="893" t="s">
        <v>214</v>
      </c>
      <c r="P17" s="898">
        <v>0</v>
      </c>
      <c r="Q17" s="742" t="s">
        <v>127</v>
      </c>
      <c r="R17" s="951">
        <f>Diagnostics!B4</f>
        <v>3553</v>
      </c>
      <c r="S17" s="952"/>
      <c r="T17" s="952"/>
      <c r="U17" s="953"/>
      <c r="V17" s="921">
        <f>Diagnostics!B5</f>
        <v>42948</v>
      </c>
      <c r="W17" s="918" t="s">
        <v>27</v>
      </c>
      <c r="X17" s="913" t="s">
        <v>85</v>
      </c>
      <c r="Y17" s="556"/>
    </row>
    <row r="18" spans="1:25" ht="15.75" customHeight="1" thickBot="1" x14ac:dyDescent="0.25">
      <c r="A18" s="804" t="s">
        <v>564</v>
      </c>
      <c r="B18" s="805"/>
      <c r="C18" s="806"/>
      <c r="D18" s="814"/>
      <c r="E18" s="96"/>
      <c r="F18" s="519" t="s">
        <v>114</v>
      </c>
      <c r="G18" s="397" t="s">
        <v>295</v>
      </c>
      <c r="H18" s="398">
        <v>42856</v>
      </c>
      <c r="I18" s="908"/>
      <c r="J18" s="852"/>
      <c r="K18" s="853"/>
      <c r="L18" s="854"/>
      <c r="M18" s="752"/>
      <c r="N18" s="764"/>
      <c r="O18" s="895"/>
      <c r="P18" s="899"/>
      <c r="Q18" s="743"/>
      <c r="R18" s="954"/>
      <c r="S18" s="955"/>
      <c r="T18" s="955"/>
      <c r="U18" s="956"/>
      <c r="V18" s="922"/>
      <c r="W18" s="919"/>
      <c r="X18" s="914"/>
      <c r="Y18" s="556"/>
    </row>
    <row r="19" spans="1:25" ht="15.75" customHeight="1" thickBot="1" x14ac:dyDescent="0.25">
      <c r="A19" s="807" t="s">
        <v>309</v>
      </c>
      <c r="B19" s="805"/>
      <c r="C19" s="806"/>
      <c r="D19" s="814"/>
      <c r="E19" s="96"/>
      <c r="F19" s="519" t="s">
        <v>114</v>
      </c>
      <c r="G19" s="528" t="s">
        <v>294</v>
      </c>
      <c r="H19" s="528" t="s">
        <v>294</v>
      </c>
      <c r="I19" s="909"/>
      <c r="J19" s="855"/>
      <c r="K19" s="856"/>
      <c r="L19" s="857"/>
      <c r="M19" s="753"/>
      <c r="N19" s="765"/>
      <c r="O19" s="897"/>
      <c r="P19" s="900"/>
      <c r="Q19" s="744"/>
      <c r="R19" s="957"/>
      <c r="S19" s="958"/>
      <c r="T19" s="958"/>
      <c r="U19" s="959"/>
      <c r="V19" s="923"/>
      <c r="W19" s="920"/>
      <c r="X19" s="888"/>
      <c r="Y19" s="556"/>
    </row>
    <row r="20" spans="1:25" ht="15.75" customHeight="1" thickBot="1" x14ac:dyDescent="0.25">
      <c r="A20" s="869" t="s">
        <v>528</v>
      </c>
      <c r="B20" s="870"/>
      <c r="C20" s="871"/>
      <c r="D20" s="814"/>
      <c r="E20" s="96" t="s">
        <v>81</v>
      </c>
      <c r="F20" s="390" t="s">
        <v>111</v>
      </c>
      <c r="G20" s="822" t="s">
        <v>296</v>
      </c>
      <c r="H20" s="824">
        <v>42979</v>
      </c>
      <c r="I20" s="786" t="str">
        <f>IF(R20&gt;=P20, "Met", "Not Met")</f>
        <v>Not Met</v>
      </c>
      <c r="J20" s="754" t="str">
        <f>'Drug &amp; Alcohol - Published'!B6</f>
        <v>Improving</v>
      </c>
      <c r="K20" s="755"/>
      <c r="L20" s="756"/>
      <c r="M20" s="751" t="str">
        <f>IF('Drug &amp; Alcohol - Published'!C9="Equal", "Equal", 'Drug &amp; Alcohol - Published'!B8)</f>
        <v>Worse</v>
      </c>
      <c r="N20" s="763">
        <f>'Drug &amp; Alcohol - Published'!B9</f>
        <v>42887</v>
      </c>
      <c r="O20" s="942" t="s">
        <v>188</v>
      </c>
      <c r="P20" s="766">
        <v>0.9</v>
      </c>
      <c r="Q20" s="774" t="s">
        <v>126</v>
      </c>
      <c r="R20" s="777">
        <f>'Drug &amp; Alcohol - Published'!B4</f>
        <v>0.85</v>
      </c>
      <c r="S20" s="778"/>
      <c r="T20" s="778"/>
      <c r="U20" s="779"/>
      <c r="V20" s="921">
        <f>'Drug &amp; Alcohol - Published'!B5</f>
        <v>42887</v>
      </c>
      <c r="W20" s="918" t="s">
        <v>28</v>
      </c>
      <c r="X20" s="484" t="s">
        <v>752</v>
      </c>
      <c r="Y20" s="556"/>
    </row>
    <row r="21" spans="1:25" ht="15.75" customHeight="1" thickBot="1" x14ac:dyDescent="0.25">
      <c r="A21" s="869" t="s">
        <v>551</v>
      </c>
      <c r="B21" s="870"/>
      <c r="C21" s="871"/>
      <c r="D21" s="814"/>
      <c r="E21" s="96" t="s">
        <v>81</v>
      </c>
      <c r="F21" s="390" t="s">
        <v>111</v>
      </c>
      <c r="G21" s="822"/>
      <c r="H21" s="824"/>
      <c r="I21" s="787"/>
      <c r="J21" s="757"/>
      <c r="K21" s="758"/>
      <c r="L21" s="759"/>
      <c r="M21" s="752"/>
      <c r="N21" s="764"/>
      <c r="O21" s="943"/>
      <c r="P21" s="767"/>
      <c r="Q21" s="775"/>
      <c r="R21" s="780"/>
      <c r="S21" s="781"/>
      <c r="T21" s="781"/>
      <c r="U21" s="782"/>
      <c r="V21" s="922"/>
      <c r="W21" s="919"/>
      <c r="X21" s="484" t="s">
        <v>550</v>
      </c>
      <c r="Y21" s="558"/>
    </row>
    <row r="22" spans="1:25" ht="15.75" customHeight="1" thickBot="1" x14ac:dyDescent="0.25">
      <c r="A22" s="804" t="s">
        <v>529</v>
      </c>
      <c r="B22" s="805"/>
      <c r="C22" s="806"/>
      <c r="D22" s="814"/>
      <c r="E22" s="96" t="s">
        <v>81</v>
      </c>
      <c r="F22" s="390" t="s">
        <v>111</v>
      </c>
      <c r="G22" s="823"/>
      <c r="H22" s="825"/>
      <c r="I22" s="788"/>
      <c r="J22" s="760"/>
      <c r="K22" s="761"/>
      <c r="L22" s="762"/>
      <c r="M22" s="753"/>
      <c r="N22" s="765"/>
      <c r="O22" s="944"/>
      <c r="P22" s="768"/>
      <c r="Q22" s="776"/>
      <c r="R22" s="783"/>
      <c r="S22" s="784"/>
      <c r="T22" s="784"/>
      <c r="U22" s="785"/>
      <c r="V22" s="923"/>
      <c r="W22" s="920"/>
      <c r="X22" s="54" t="s">
        <v>88</v>
      </c>
      <c r="Y22" s="556"/>
    </row>
    <row r="23" spans="1:25" ht="15.75" customHeight="1" thickBot="1" x14ac:dyDescent="0.25">
      <c r="A23" s="807" t="s">
        <v>307</v>
      </c>
      <c r="B23" s="805"/>
      <c r="C23" s="806"/>
      <c r="D23" s="814"/>
      <c r="E23" s="96" t="s">
        <v>81</v>
      </c>
      <c r="F23" s="390" t="s">
        <v>114</v>
      </c>
      <c r="G23" s="401" t="s">
        <v>295</v>
      </c>
      <c r="H23" s="395">
        <v>42856</v>
      </c>
      <c r="I23" s="51" t="str">
        <f>IF(T23&gt;P23, "Not Met", "Met")</f>
        <v>Not Met</v>
      </c>
      <c r="J23" s="819" t="str">
        <f>'Inpatient - TTG'!B7</f>
        <v>Improving</v>
      </c>
      <c r="K23" s="820"/>
      <c r="L23" s="821"/>
      <c r="M23" s="9" t="str">
        <f>IF('Inpatient - Published'!C3="Equal", "Equal", 'Inpatient - Published'!B3)</f>
        <v>Better</v>
      </c>
      <c r="N23" s="42">
        <f>'Inpatient - Published'!B5</f>
        <v>42887</v>
      </c>
      <c r="O23" s="46" t="s">
        <v>188</v>
      </c>
      <c r="P23" s="47">
        <v>0</v>
      </c>
      <c r="Q23" s="11" t="s">
        <v>127</v>
      </c>
      <c r="R23" s="936">
        <f>'Inpatient - TTG'!B4</f>
        <v>0.83940886699507389</v>
      </c>
      <c r="S23" s="937"/>
      <c r="T23" s="934">
        <f>'Inpatient - TTG'!B5</f>
        <v>1198</v>
      </c>
      <c r="U23" s="935"/>
      <c r="V23" s="49">
        <f>'Inpatient - TTG'!B6</f>
        <v>42948</v>
      </c>
      <c r="W23" s="389" t="s">
        <v>27</v>
      </c>
      <c r="X23" s="54" t="s">
        <v>85</v>
      </c>
      <c r="Y23" s="556"/>
    </row>
    <row r="24" spans="1:25" ht="15" thickBot="1" x14ac:dyDescent="0.25">
      <c r="A24" s="807" t="s">
        <v>304</v>
      </c>
      <c r="B24" s="805"/>
      <c r="C24" s="806"/>
      <c r="D24" s="814"/>
      <c r="E24" s="96" t="s">
        <v>81</v>
      </c>
      <c r="F24" s="390" t="s">
        <v>114</v>
      </c>
      <c r="G24" s="404" t="s">
        <v>323</v>
      </c>
      <c r="H24" s="405" t="s">
        <v>323</v>
      </c>
      <c r="I24" s="7" t="str">
        <f>IF(R24&gt;=P24, "Met", "Not Met")</f>
        <v>Met</v>
      </c>
      <c r="J24" s="816">
        <f>IVF!B6</f>
        <v>0</v>
      </c>
      <c r="K24" s="817"/>
      <c r="L24" s="818"/>
      <c r="M24" s="471" t="str">
        <f>IF('IVF - Published'!C3="Equal", "Equal", 'IVF - Published'!B3)</f>
        <v>Worse</v>
      </c>
      <c r="N24" s="42">
        <f>'IVF - Published'!B4</f>
        <v>42887</v>
      </c>
      <c r="O24" s="46" t="s">
        <v>188</v>
      </c>
      <c r="P24" s="14">
        <v>0.9</v>
      </c>
      <c r="Q24" s="11" t="s">
        <v>126</v>
      </c>
      <c r="R24" s="792">
        <f>IVF!B4</f>
        <v>1</v>
      </c>
      <c r="S24" s="793"/>
      <c r="T24" s="793"/>
      <c r="U24" s="794"/>
      <c r="V24" s="49">
        <f>IVF!B5</f>
        <v>42948</v>
      </c>
      <c r="W24" s="389" t="s">
        <v>27</v>
      </c>
      <c r="X24" s="54" t="s">
        <v>85</v>
      </c>
      <c r="Y24" s="556"/>
    </row>
    <row r="25" spans="1:25" ht="15.75" customHeight="1" thickBot="1" x14ac:dyDescent="0.25">
      <c r="A25" s="804" t="s">
        <v>298</v>
      </c>
      <c r="B25" s="805"/>
      <c r="C25" s="806"/>
      <c r="D25" s="814"/>
      <c r="E25" s="96" t="s">
        <v>81</v>
      </c>
      <c r="F25" s="390" t="s">
        <v>114</v>
      </c>
      <c r="G25" s="402" t="s">
        <v>295</v>
      </c>
      <c r="H25" s="403">
        <v>42856</v>
      </c>
      <c r="I25" s="40" t="str">
        <f>IF(R25&gt;=P25, "Met", "Not Met")</f>
        <v>Not Met</v>
      </c>
      <c r="J25" s="819" t="str">
        <f>Outpatient!B7</f>
        <v>Deteriorating</v>
      </c>
      <c r="K25" s="820"/>
      <c r="L25" s="821"/>
      <c r="M25" s="39" t="str">
        <f>IF('Outpatient - Published'!C3="Equal", "Equal", 'Outpatient - Published'!B3)</f>
        <v>Worse</v>
      </c>
      <c r="N25" s="42">
        <f>'Outpatient - Published'!B5</f>
        <v>42887</v>
      </c>
      <c r="O25" s="430" t="s">
        <v>475</v>
      </c>
      <c r="P25" s="14">
        <v>0.95</v>
      </c>
      <c r="Q25" s="11" t="s">
        <v>126</v>
      </c>
      <c r="R25" s="940">
        <f>Outpatient!B4</f>
        <v>0.64513019797435822</v>
      </c>
      <c r="S25" s="941"/>
      <c r="T25" s="938">
        <f>Outpatient!B5</f>
        <v>23195</v>
      </c>
      <c r="U25" s="939"/>
      <c r="V25" s="529">
        <f>Outpatient!B6</f>
        <v>42948</v>
      </c>
      <c r="W25" s="530" t="s">
        <v>27</v>
      </c>
      <c r="X25" s="54" t="s">
        <v>85</v>
      </c>
      <c r="Y25" s="556"/>
    </row>
    <row r="26" spans="1:25" s="103" customFormat="1" ht="15.75" customHeight="1" thickBot="1" x14ac:dyDescent="0.25">
      <c r="A26" s="808" t="s">
        <v>305</v>
      </c>
      <c r="B26" s="809"/>
      <c r="C26" s="810"/>
      <c r="D26" s="814"/>
      <c r="E26" s="102" t="s">
        <v>81</v>
      </c>
      <c r="F26" s="391" t="s">
        <v>111</v>
      </c>
      <c r="G26" s="402" t="s">
        <v>296</v>
      </c>
      <c r="H26" s="403">
        <v>42979</v>
      </c>
      <c r="I26" s="40" t="str">
        <f>IF(R26&gt;=P26, "Met", "Not Met")</f>
        <v>Not Met</v>
      </c>
      <c r="J26" s="816" t="str">
        <f>'Psych Therapies'!B6</f>
        <v>Deteriorating</v>
      </c>
      <c r="K26" s="817"/>
      <c r="L26" s="818"/>
      <c r="M26" s="517" t="str">
        <f>IF('Psych Therapies - Published'!C3="Equal", "Equal", 'Psych Therapies - Published'!B3)</f>
        <v>Worse</v>
      </c>
      <c r="N26" s="527">
        <f>'Psych Therapies - Published'!B4</f>
        <v>42887</v>
      </c>
      <c r="O26" s="531" t="s">
        <v>188</v>
      </c>
      <c r="P26" s="532">
        <v>0.9</v>
      </c>
      <c r="Q26" s="533" t="s">
        <v>126</v>
      </c>
      <c r="R26" s="795">
        <f>'Psych Therapies'!B4</f>
        <v>0.60949464012251153</v>
      </c>
      <c r="S26" s="796"/>
      <c r="T26" s="796"/>
      <c r="U26" s="797"/>
      <c r="V26" s="529">
        <f>'Psych Therapies'!B5</f>
        <v>42948</v>
      </c>
      <c r="W26" s="530" t="s">
        <v>27</v>
      </c>
      <c r="X26" s="40" t="s">
        <v>88</v>
      </c>
      <c r="Y26" s="556"/>
    </row>
    <row r="27" spans="1:25" ht="15.75" customHeight="1" thickBot="1" x14ac:dyDescent="0.25">
      <c r="A27" s="801" t="s">
        <v>306</v>
      </c>
      <c r="B27" s="802"/>
      <c r="C27" s="803"/>
      <c r="D27" s="814"/>
      <c r="E27" s="96" t="s">
        <v>81</v>
      </c>
      <c r="F27" s="393" t="s">
        <v>114</v>
      </c>
      <c r="G27" s="406" t="s">
        <v>296</v>
      </c>
      <c r="H27" s="395">
        <v>42767</v>
      </c>
      <c r="I27" s="51" t="str">
        <f>IF(R27&gt;=P27, "Met", "Not Met")</f>
        <v>Not Met</v>
      </c>
      <c r="J27" s="819" t="str">
        <f>RTT!B6</f>
        <v>Deteriorating</v>
      </c>
      <c r="K27" s="820"/>
      <c r="L27" s="821"/>
      <c r="M27" s="52" t="str">
        <f>IF('RTT - Published'!C3="Equal", "Equal", 'RTT - Published'!B3)</f>
        <v>Worse</v>
      </c>
      <c r="N27" s="44">
        <f>'RTT - Published'!B4</f>
        <v>42887</v>
      </c>
      <c r="O27" s="34" t="s">
        <v>187</v>
      </c>
      <c r="P27" s="14">
        <v>0.9</v>
      </c>
      <c r="Q27" s="11" t="s">
        <v>126</v>
      </c>
      <c r="R27" s="792">
        <f>RTT!B4</f>
        <v>0.79400000000000004</v>
      </c>
      <c r="S27" s="793"/>
      <c r="T27" s="793"/>
      <c r="U27" s="794"/>
      <c r="V27" s="529">
        <f>RTT!B5</f>
        <v>42948</v>
      </c>
      <c r="W27" s="530" t="s">
        <v>27</v>
      </c>
      <c r="X27" s="54" t="s">
        <v>85</v>
      </c>
      <c r="Y27" s="556"/>
    </row>
    <row r="28" spans="1:25" ht="15.75" customHeight="1" thickBot="1" x14ac:dyDescent="0.25">
      <c r="A28" s="807" t="s">
        <v>89</v>
      </c>
      <c r="B28" s="805"/>
      <c r="C28" s="806"/>
      <c r="D28" s="814"/>
      <c r="E28" s="96" t="s">
        <v>77</v>
      </c>
      <c r="F28" s="390" t="s">
        <v>114</v>
      </c>
      <c r="G28" s="407" t="s">
        <v>295</v>
      </c>
      <c r="H28" s="408">
        <v>42675</v>
      </c>
      <c r="I28" s="51" t="str">
        <f>IF(R28&gt;=P28, "Met", "Not Met")</f>
        <v>Not Met</v>
      </c>
      <c r="J28" s="816" t="str">
        <f>Stroke!B11</f>
        <v>Improving</v>
      </c>
      <c r="K28" s="817"/>
      <c r="L28" s="818"/>
      <c r="M28" s="48" t="str">
        <f>Stroke!B13</f>
        <v>Not Applicable</v>
      </c>
      <c r="N28" s="772" t="str">
        <f>Stroke!B14</f>
        <v>Not Applicable</v>
      </c>
      <c r="O28" s="773"/>
      <c r="P28" s="14">
        <v>0.8</v>
      </c>
      <c r="Q28" s="11" t="s">
        <v>126</v>
      </c>
      <c r="R28" s="792">
        <f>Stroke!B9</f>
        <v>0.74436090225563911</v>
      </c>
      <c r="S28" s="793"/>
      <c r="T28" s="793"/>
      <c r="U28" s="794"/>
      <c r="V28" s="49">
        <f>Stroke!B10</f>
        <v>42887</v>
      </c>
      <c r="W28" s="389" t="s">
        <v>27</v>
      </c>
      <c r="X28" s="54" t="s">
        <v>85</v>
      </c>
      <c r="Y28" s="556"/>
    </row>
    <row r="29" spans="1:25" ht="15.75" customHeight="1" thickBot="1" x14ac:dyDescent="0.25">
      <c r="A29" s="804" t="s">
        <v>588</v>
      </c>
      <c r="B29" s="811"/>
      <c r="C29" s="812"/>
      <c r="D29" s="815"/>
      <c r="E29" s="96"/>
      <c r="F29" s="390" t="s">
        <v>114</v>
      </c>
      <c r="G29" s="406" t="s">
        <v>294</v>
      </c>
      <c r="H29" s="395" t="s">
        <v>294</v>
      </c>
      <c r="I29" s="51" t="str">
        <f>IF(R29&gt;P29, "Not Met", "Met")</f>
        <v>Not Met</v>
      </c>
      <c r="J29" s="819" t="str">
        <f>'P.R. Surveillance Endoscopy'!B6</f>
        <v>Deteriorating</v>
      </c>
      <c r="K29" s="820"/>
      <c r="L29" s="821"/>
      <c r="M29" s="48" t="str">
        <f>'P.R. Surveillance Endoscopy'!B8</f>
        <v>Not Applicable</v>
      </c>
      <c r="N29" s="772" t="str">
        <f>'P.R. Surveillance Endoscopy'!B9</f>
        <v>Not Applicable</v>
      </c>
      <c r="O29" s="773"/>
      <c r="P29" s="47">
        <v>0</v>
      </c>
      <c r="Q29" s="11" t="s">
        <v>127</v>
      </c>
      <c r="R29" s="965">
        <f>'P.R. Surveillance Endoscopy'!B4</f>
        <v>4543</v>
      </c>
      <c r="S29" s="966"/>
      <c r="T29" s="966"/>
      <c r="U29" s="967"/>
      <c r="V29" s="49">
        <f>'P.R. Surveillance Endoscopy'!B5</f>
        <v>42948</v>
      </c>
      <c r="W29" s="389" t="s">
        <v>27</v>
      </c>
      <c r="X29" s="54" t="s">
        <v>85</v>
      </c>
      <c r="Y29" s="556"/>
    </row>
    <row r="30" spans="1:25" ht="15" customHeight="1" thickBot="1" x14ac:dyDescent="0.25">
      <c r="A30" s="808" t="s">
        <v>310</v>
      </c>
      <c r="B30" s="809"/>
      <c r="C30" s="810"/>
      <c r="D30" s="813" t="s">
        <v>90</v>
      </c>
      <c r="E30" s="95"/>
      <c r="F30" s="390" t="s">
        <v>111</v>
      </c>
      <c r="G30" s="838" t="s">
        <v>296</v>
      </c>
      <c r="H30" s="838">
        <v>42979</v>
      </c>
      <c r="I30" s="786" t="str">
        <f>IF(R30=P30, "Met", "Not Met")</f>
        <v>Not Met</v>
      </c>
      <c r="J30" s="849" t="str">
        <f>'Delayed Discharges'!B6</f>
        <v>Deteriorating</v>
      </c>
      <c r="K30" s="850"/>
      <c r="L30" s="851"/>
      <c r="M30" s="751" t="str">
        <f>IF('Delayed Discharges - Published'!C3="Equal", "Equal", 'Delayed Discharges - Published'!B3)</f>
        <v>Worse</v>
      </c>
      <c r="N30" s="763">
        <f>'Delayed Discharges - Published'!B4</f>
        <v>42917</v>
      </c>
      <c r="O30" s="846" t="s">
        <v>187</v>
      </c>
      <c r="P30" s="843">
        <v>0</v>
      </c>
      <c r="Q30" s="742" t="s">
        <v>127</v>
      </c>
      <c r="R30" s="843">
        <f>'Delayed Discharges'!B4</f>
        <v>218</v>
      </c>
      <c r="S30" s="889"/>
      <c r="T30" s="889"/>
      <c r="U30" s="774"/>
      <c r="V30" s="921">
        <f>'Delayed Discharges'!B5</f>
        <v>42948</v>
      </c>
      <c r="W30" s="918" t="s">
        <v>27</v>
      </c>
      <c r="X30" s="54" t="s">
        <v>91</v>
      </c>
      <c r="Y30" s="556"/>
    </row>
    <row r="31" spans="1:25" ht="15.75" customHeight="1" thickBot="1" x14ac:dyDescent="0.25">
      <c r="A31" s="808" t="s">
        <v>311</v>
      </c>
      <c r="B31" s="809"/>
      <c r="C31" s="810"/>
      <c r="D31" s="814"/>
      <c r="E31" s="95"/>
      <c r="F31" s="390" t="s">
        <v>111</v>
      </c>
      <c r="G31" s="839"/>
      <c r="H31" s="839"/>
      <c r="I31" s="787"/>
      <c r="J31" s="852"/>
      <c r="K31" s="853"/>
      <c r="L31" s="854"/>
      <c r="M31" s="752"/>
      <c r="N31" s="764"/>
      <c r="O31" s="847"/>
      <c r="P31" s="844"/>
      <c r="Q31" s="743"/>
      <c r="R31" s="844"/>
      <c r="S31" s="890"/>
      <c r="T31" s="890"/>
      <c r="U31" s="775"/>
      <c r="V31" s="922"/>
      <c r="W31" s="919"/>
      <c r="X31" s="484" t="s">
        <v>752</v>
      </c>
      <c r="Y31" s="556"/>
    </row>
    <row r="32" spans="1:25" ht="15.75" customHeight="1" thickBot="1" x14ac:dyDescent="0.25">
      <c r="A32" s="808" t="s">
        <v>312</v>
      </c>
      <c r="B32" s="809"/>
      <c r="C32" s="810"/>
      <c r="D32" s="814"/>
      <c r="E32" s="95"/>
      <c r="F32" s="390" t="s">
        <v>111</v>
      </c>
      <c r="G32" s="839"/>
      <c r="H32" s="839"/>
      <c r="I32" s="787"/>
      <c r="J32" s="852"/>
      <c r="K32" s="853"/>
      <c r="L32" s="854"/>
      <c r="M32" s="752"/>
      <c r="N32" s="764"/>
      <c r="O32" s="847"/>
      <c r="P32" s="844"/>
      <c r="Q32" s="743"/>
      <c r="R32" s="844"/>
      <c r="S32" s="890"/>
      <c r="T32" s="890"/>
      <c r="U32" s="775"/>
      <c r="V32" s="922"/>
      <c r="W32" s="919"/>
      <c r="X32" s="54" t="s">
        <v>92</v>
      </c>
      <c r="Y32" s="556"/>
    </row>
    <row r="33" spans="1:25" ht="15.75" customHeight="1" thickBot="1" x14ac:dyDescent="0.25">
      <c r="A33" s="878" t="s">
        <v>313</v>
      </c>
      <c r="B33" s="879"/>
      <c r="C33" s="880"/>
      <c r="D33" s="815"/>
      <c r="E33" s="95"/>
      <c r="F33" s="390" t="s">
        <v>111</v>
      </c>
      <c r="G33" s="840"/>
      <c r="H33" s="840"/>
      <c r="I33" s="788"/>
      <c r="J33" s="855"/>
      <c r="K33" s="856"/>
      <c r="L33" s="857"/>
      <c r="M33" s="753"/>
      <c r="N33" s="765"/>
      <c r="O33" s="848"/>
      <c r="P33" s="845"/>
      <c r="Q33" s="744"/>
      <c r="R33" s="845"/>
      <c r="S33" s="891"/>
      <c r="T33" s="891"/>
      <c r="U33" s="776"/>
      <c r="V33" s="923"/>
      <c r="W33" s="920"/>
      <c r="X33" s="54" t="s">
        <v>88</v>
      </c>
      <c r="Y33" s="556"/>
    </row>
    <row r="34" spans="1:25" ht="15" customHeight="1" thickBot="1" x14ac:dyDescent="0.25">
      <c r="A34" s="858" t="s">
        <v>94</v>
      </c>
      <c r="B34" s="859"/>
      <c r="C34" s="860"/>
      <c r="D34" s="813" t="s">
        <v>93</v>
      </c>
      <c r="E34" s="813" t="s">
        <v>77</v>
      </c>
      <c r="F34" s="836" t="s">
        <v>114</v>
      </c>
      <c r="G34" s="864" t="s">
        <v>323</v>
      </c>
      <c r="H34" s="841" t="s">
        <v>323</v>
      </c>
      <c r="I34" s="881" t="str">
        <f>'Hospital Scorecard'!B6</f>
        <v>Met</v>
      </c>
      <c r="J34" s="849">
        <f>'Hospital Scorecard'!B4</f>
        <v>0</v>
      </c>
      <c r="K34" s="850"/>
      <c r="L34" s="851"/>
      <c r="M34" s="769" t="s">
        <v>78</v>
      </c>
      <c r="N34" s="843" t="s">
        <v>78</v>
      </c>
      <c r="O34" s="774"/>
      <c r="P34" s="924" t="s">
        <v>95</v>
      </c>
      <c r="Q34" s="925"/>
      <c r="R34" s="32" t="s">
        <v>173</v>
      </c>
      <c r="S34" s="54" t="s">
        <v>327</v>
      </c>
      <c r="T34" s="54" t="s">
        <v>330</v>
      </c>
      <c r="U34" s="54" t="s">
        <v>328</v>
      </c>
      <c r="V34" s="754" t="str">
        <f>'Hospital Scorecard'!B12</f>
        <v>Jan - Mar 17</v>
      </c>
      <c r="W34" s="918" t="s">
        <v>28</v>
      </c>
      <c r="X34" s="887" t="s">
        <v>526</v>
      </c>
      <c r="Y34" s="558"/>
    </row>
    <row r="35" spans="1:25" ht="15" thickBot="1" x14ac:dyDescent="0.25">
      <c r="A35" s="861"/>
      <c r="B35" s="862"/>
      <c r="C35" s="863"/>
      <c r="D35" s="814"/>
      <c r="E35" s="815"/>
      <c r="F35" s="837"/>
      <c r="G35" s="865"/>
      <c r="H35" s="842"/>
      <c r="I35" s="882"/>
      <c r="J35" s="852"/>
      <c r="K35" s="853"/>
      <c r="L35" s="854"/>
      <c r="M35" s="770"/>
      <c r="N35" s="844"/>
      <c r="O35" s="775"/>
      <c r="P35" s="926"/>
      <c r="Q35" s="927"/>
      <c r="R35" s="32">
        <f>'Hospital Scorecard'!B16</f>
        <v>25.167873623532156</v>
      </c>
      <c r="S35" s="32">
        <f>'Hospital Scorecard'!B13</f>
        <v>30.891058868212848</v>
      </c>
      <c r="T35" s="32">
        <f>'Hospital Scorecard'!B14</f>
        <v>21.91025403315847</v>
      </c>
      <c r="U35" s="32">
        <f>'Hospital Scorecard'!B15</f>
        <v>23.961816438361744</v>
      </c>
      <c r="V35" s="757"/>
      <c r="W35" s="919"/>
      <c r="X35" s="888"/>
      <c r="Y35" s="556"/>
    </row>
    <row r="36" spans="1:25" ht="15" customHeight="1" thickBot="1" x14ac:dyDescent="0.25">
      <c r="A36" s="808" t="s">
        <v>96</v>
      </c>
      <c r="B36" s="809"/>
      <c r="C36" s="810"/>
      <c r="D36" s="814"/>
      <c r="E36" s="95" t="s">
        <v>77</v>
      </c>
      <c r="F36" s="390" t="s">
        <v>114</v>
      </c>
      <c r="G36" s="409" t="s">
        <v>323</v>
      </c>
      <c r="H36" s="405" t="s">
        <v>323</v>
      </c>
      <c r="I36" s="7" t="str">
        <f>'Hospital Scorecard'!B6</f>
        <v>Met</v>
      </c>
      <c r="J36" s="852"/>
      <c r="K36" s="853"/>
      <c r="L36" s="854"/>
      <c r="M36" s="770"/>
      <c r="N36" s="844"/>
      <c r="O36" s="775"/>
      <c r="P36" s="926"/>
      <c r="Q36" s="927"/>
      <c r="R36" s="32">
        <f>'Hospital Scorecard'!C16</f>
        <v>47.21530344884895</v>
      </c>
      <c r="S36" s="32">
        <f>'Hospital Scorecard'!C13</f>
        <v>59.249487129183976</v>
      </c>
      <c r="T36" s="32">
        <f>'Hospital Scorecard'!C14</f>
        <v>35.174154078365753</v>
      </c>
      <c r="U36" s="32">
        <f>'Hospital Scorecard'!C15</f>
        <v>50.569568735469126</v>
      </c>
      <c r="V36" s="757"/>
      <c r="W36" s="919"/>
      <c r="X36" s="484" t="s">
        <v>526</v>
      </c>
      <c r="Y36" s="558"/>
    </row>
    <row r="37" spans="1:25" ht="15" customHeight="1" thickBot="1" x14ac:dyDescent="0.25">
      <c r="A37" s="808" t="s">
        <v>97</v>
      </c>
      <c r="B37" s="809"/>
      <c r="C37" s="810"/>
      <c r="D37" s="814"/>
      <c r="E37" s="95" t="s">
        <v>77</v>
      </c>
      <c r="F37" s="390" t="s">
        <v>114</v>
      </c>
      <c r="G37" s="409" t="s">
        <v>323</v>
      </c>
      <c r="H37" s="405" t="s">
        <v>323</v>
      </c>
      <c r="I37" s="7" t="str">
        <f>'Hospital Scorecard'!B6</f>
        <v>Met</v>
      </c>
      <c r="J37" s="852"/>
      <c r="K37" s="853"/>
      <c r="L37" s="854"/>
      <c r="M37" s="770"/>
      <c r="N37" s="844"/>
      <c r="O37" s="775"/>
      <c r="P37" s="926"/>
      <c r="Q37" s="927"/>
      <c r="R37" s="32">
        <f>'Hospital Scorecard'!D16</f>
        <v>57.50124911453652</v>
      </c>
      <c r="S37" s="32">
        <f>'Hospital Scorecard'!D13</f>
        <v>57.661303718778754</v>
      </c>
      <c r="T37" s="32">
        <f>'Hospital Scorecard'!D14</f>
        <v>66.492757492658143</v>
      </c>
      <c r="U37" s="32">
        <f>'Hospital Scorecard'!D15</f>
        <v>62.182431393445761</v>
      </c>
      <c r="V37" s="757"/>
      <c r="W37" s="919"/>
      <c r="X37" s="484" t="s">
        <v>526</v>
      </c>
      <c r="Y37" s="558"/>
    </row>
    <row r="38" spans="1:25" ht="15" customHeight="1" thickBot="1" x14ac:dyDescent="0.25">
      <c r="A38" s="808" t="s">
        <v>98</v>
      </c>
      <c r="B38" s="809"/>
      <c r="C38" s="810"/>
      <c r="D38" s="814"/>
      <c r="E38" s="95" t="s">
        <v>77</v>
      </c>
      <c r="F38" s="390" t="s">
        <v>114</v>
      </c>
      <c r="G38" s="409" t="s">
        <v>323</v>
      </c>
      <c r="H38" s="405" t="s">
        <v>323</v>
      </c>
      <c r="I38" s="7" t="str">
        <f>'Hospital Scorecard'!B6</f>
        <v>Met</v>
      </c>
      <c r="J38" s="852"/>
      <c r="K38" s="853"/>
      <c r="L38" s="854"/>
      <c r="M38" s="770"/>
      <c r="N38" s="844"/>
      <c r="O38" s="775"/>
      <c r="P38" s="926"/>
      <c r="Q38" s="927"/>
      <c r="R38" s="32">
        <f>'Hospital Scorecard'!E16</f>
        <v>126.34611521009766</v>
      </c>
      <c r="S38" s="32">
        <f>'Hospital Scorecard'!E13</f>
        <v>131.27380859191553</v>
      </c>
      <c r="T38" s="32">
        <f>'Hospital Scorecard'!E14</f>
        <v>143.5857018573204</v>
      </c>
      <c r="U38" s="32">
        <f>'Hospital Scorecard'!E15</f>
        <v>123.52766361360736</v>
      </c>
      <c r="V38" s="757"/>
      <c r="W38" s="919"/>
      <c r="X38" s="484" t="s">
        <v>526</v>
      </c>
      <c r="Y38" s="558"/>
    </row>
    <row r="39" spans="1:25" ht="15" customHeight="1" thickBot="1" x14ac:dyDescent="0.25">
      <c r="A39" s="808" t="s">
        <v>99</v>
      </c>
      <c r="B39" s="809"/>
      <c r="C39" s="810"/>
      <c r="D39" s="814"/>
      <c r="E39" s="95" t="s">
        <v>77</v>
      </c>
      <c r="F39" s="390" t="s">
        <v>114</v>
      </c>
      <c r="G39" s="409" t="s">
        <v>323</v>
      </c>
      <c r="H39" s="405" t="s">
        <v>323</v>
      </c>
      <c r="I39" s="7" t="str">
        <f>'Hospital Scorecard'!B6</f>
        <v>Met</v>
      </c>
      <c r="J39" s="852"/>
      <c r="K39" s="853"/>
      <c r="L39" s="854"/>
      <c r="M39" s="770"/>
      <c r="N39" s="844"/>
      <c r="O39" s="775"/>
      <c r="P39" s="926"/>
      <c r="Q39" s="927"/>
      <c r="R39" s="32">
        <f>'Hospital Scorecard'!F16</f>
        <v>0.96940217741435564</v>
      </c>
      <c r="S39" s="32">
        <f>'Hospital Scorecard'!F13</f>
        <v>0.92274479074687332</v>
      </c>
      <c r="T39" s="32">
        <f>'Hospital Scorecard'!F14</f>
        <v>0.89491424004881792</v>
      </c>
      <c r="U39" s="32">
        <f>'Hospital Scorecard'!F15</f>
        <v>1.1114381361451648</v>
      </c>
      <c r="V39" s="757"/>
      <c r="W39" s="919"/>
      <c r="X39" s="484" t="s">
        <v>526</v>
      </c>
      <c r="Y39" s="558"/>
    </row>
    <row r="40" spans="1:25" ht="15" customHeight="1" thickBot="1" x14ac:dyDescent="0.25">
      <c r="A40" s="808" t="s">
        <v>100</v>
      </c>
      <c r="B40" s="809"/>
      <c r="C40" s="810"/>
      <c r="D40" s="814"/>
      <c r="E40" s="95" t="s">
        <v>77</v>
      </c>
      <c r="F40" s="390" t="s">
        <v>114</v>
      </c>
      <c r="G40" s="409" t="s">
        <v>323</v>
      </c>
      <c r="H40" s="405" t="s">
        <v>323</v>
      </c>
      <c r="I40" s="7" t="str">
        <f>'Hospital Scorecard'!B6</f>
        <v>Met</v>
      </c>
      <c r="J40" s="855"/>
      <c r="K40" s="856"/>
      <c r="L40" s="857"/>
      <c r="M40" s="771"/>
      <c r="N40" s="845"/>
      <c r="O40" s="776"/>
      <c r="P40" s="928"/>
      <c r="Q40" s="929"/>
      <c r="R40" s="32">
        <f>'Hospital Scorecard'!G16</f>
        <v>1.186151228485518</v>
      </c>
      <c r="S40" s="32">
        <f>'Hospital Scorecard'!G13</f>
        <v>0.85988929297298911</v>
      </c>
      <c r="T40" s="32">
        <f>'Hospital Scorecard'!G14</f>
        <v>1.3725511967664392</v>
      </c>
      <c r="U40" s="32">
        <f>'Hospital Scorecard'!G15</f>
        <v>1.45070129147903</v>
      </c>
      <c r="V40" s="760"/>
      <c r="W40" s="920"/>
      <c r="X40" s="484" t="s">
        <v>526</v>
      </c>
      <c r="Y40" s="558"/>
    </row>
    <row r="41" spans="1:25" ht="28.5" customHeight="1" thickBot="1" x14ac:dyDescent="0.25">
      <c r="A41" s="884" t="s">
        <v>180</v>
      </c>
      <c r="B41" s="885"/>
      <c r="C41" s="886"/>
      <c r="D41" s="815"/>
      <c r="E41" s="95" t="s">
        <v>81</v>
      </c>
      <c r="F41" s="390" t="s">
        <v>115</v>
      </c>
      <c r="G41" s="475" t="s">
        <v>295</v>
      </c>
      <c r="H41" s="395">
        <v>42795</v>
      </c>
      <c r="I41" s="51" t="str">
        <f>IF(R41&lt;=P41, "Met", "Not Met")</f>
        <v>Not Met</v>
      </c>
      <c r="J41" s="883" t="str">
        <f>'Sickness Absence'!B6</f>
        <v>Improving</v>
      </c>
      <c r="K41" s="820"/>
      <c r="L41" s="821"/>
      <c r="M41" s="9" t="str">
        <f>'Sickness Absence - Published'!B3</f>
        <v>Better</v>
      </c>
      <c r="N41" s="45" t="str">
        <f>'Sickness Absence - Published'!B4</f>
        <v>2016/17</v>
      </c>
      <c r="O41" s="43"/>
      <c r="P41" s="58">
        <v>0.04</v>
      </c>
      <c r="Q41" s="11" t="s">
        <v>127</v>
      </c>
      <c r="R41" s="915">
        <f>'Sickness Absence'!B4</f>
        <v>4.7100000000000003E-2</v>
      </c>
      <c r="S41" s="916"/>
      <c r="T41" s="916"/>
      <c r="U41" s="917"/>
      <c r="V41" s="49">
        <f>'Sickness Absence'!B5</f>
        <v>42917</v>
      </c>
      <c r="W41" s="389" t="s">
        <v>27</v>
      </c>
      <c r="X41" s="54" t="s">
        <v>207</v>
      </c>
      <c r="Y41" s="556"/>
    </row>
    <row r="42" spans="1:25" ht="18.75" customHeight="1" thickBot="1" x14ac:dyDescent="0.25">
      <c r="A42" s="807" t="s">
        <v>314</v>
      </c>
      <c r="B42" s="805"/>
      <c r="C42" s="806"/>
      <c r="D42" s="813" t="s">
        <v>101</v>
      </c>
      <c r="E42" s="95" t="s">
        <v>81</v>
      </c>
      <c r="F42" s="390" t="s">
        <v>111</v>
      </c>
      <c r="G42" s="396" t="s">
        <v>324</v>
      </c>
      <c r="H42" s="397" t="s">
        <v>324</v>
      </c>
      <c r="I42" s="7" t="str">
        <f>IF(R42&gt;=P42, "Met", "Not Met")</f>
        <v>Met</v>
      </c>
      <c r="J42" s="819">
        <f>Antenatal!B6</f>
        <v>0</v>
      </c>
      <c r="K42" s="820"/>
      <c r="L42" s="821"/>
      <c r="M42" s="9" t="str">
        <f>'Antenatal - Published'!B3</f>
        <v>Better</v>
      </c>
      <c r="N42" s="45" t="str">
        <f>'Antenatal - Published'!B4</f>
        <v>2015/16</v>
      </c>
      <c r="O42" s="46"/>
      <c r="P42" s="17">
        <v>0.8</v>
      </c>
      <c r="Q42" s="538" t="s">
        <v>750</v>
      </c>
      <c r="R42" s="792">
        <f>Antenatal!B4</f>
        <v>0.91600000000000004</v>
      </c>
      <c r="S42" s="793"/>
      <c r="T42" s="793"/>
      <c r="U42" s="794"/>
      <c r="V42" s="49">
        <f>Antenatal!B5</f>
        <v>42917</v>
      </c>
      <c r="W42" s="389" t="s">
        <v>27</v>
      </c>
      <c r="X42" s="54" t="s">
        <v>87</v>
      </c>
      <c r="Y42" s="556"/>
    </row>
    <row r="43" spans="1:25" ht="18.75" customHeight="1" thickBot="1" x14ac:dyDescent="0.25">
      <c r="A43" s="807" t="s">
        <v>102</v>
      </c>
      <c r="B43" s="805"/>
      <c r="C43" s="806"/>
      <c r="D43" s="815"/>
      <c r="E43" s="95" t="s">
        <v>81</v>
      </c>
      <c r="F43" s="390" t="s">
        <v>111</v>
      </c>
      <c r="G43" s="396" t="s">
        <v>324</v>
      </c>
      <c r="H43" s="397" t="s">
        <v>324</v>
      </c>
      <c r="I43" s="7" t="str">
        <f>IF(R43&gt;=P43, "Met", "Not Met")</f>
        <v>Not Met</v>
      </c>
      <c r="J43" s="819" t="str">
        <f>'Smoking Cessation'!B6</f>
        <v>Deteriorating</v>
      </c>
      <c r="K43" s="820"/>
      <c r="L43" s="821"/>
      <c r="M43" s="9" t="str">
        <f>'Smoking Cessation - Published'!B3</f>
        <v>Better</v>
      </c>
      <c r="N43" s="45" t="str">
        <f>'Smoking Cessation - Published'!B4</f>
        <v>2015/16</v>
      </c>
      <c r="O43" s="43"/>
      <c r="P43" s="47">
        <v>404</v>
      </c>
      <c r="Q43" s="367" t="s">
        <v>26</v>
      </c>
      <c r="R43" s="798">
        <f>'Smoking Cessation'!B4</f>
        <v>303</v>
      </c>
      <c r="S43" s="799"/>
      <c r="T43" s="799"/>
      <c r="U43" s="800"/>
      <c r="V43" s="49">
        <f>'Smoking Cessation'!B5</f>
        <v>42795</v>
      </c>
      <c r="W43" s="389" t="s">
        <v>28</v>
      </c>
      <c r="X43" s="54" t="s">
        <v>103</v>
      </c>
      <c r="Y43" s="556"/>
    </row>
    <row r="44" spans="1:25" ht="15" customHeight="1" thickBot="1" x14ac:dyDescent="0.25">
      <c r="A44" s="804" t="s">
        <v>563</v>
      </c>
      <c r="B44" s="805"/>
      <c r="C44" s="806"/>
      <c r="D44" s="813" t="s">
        <v>104</v>
      </c>
      <c r="E44" s="95" t="s">
        <v>77</v>
      </c>
      <c r="F44" s="390" t="s">
        <v>111</v>
      </c>
      <c r="G44" s="396" t="s">
        <v>323</v>
      </c>
      <c r="H44" s="398" t="s">
        <v>323</v>
      </c>
      <c r="I44" s="524" t="s">
        <v>751</v>
      </c>
      <c r="J44" s="819" t="str">
        <f>Complaints!B9</f>
        <v>TBC</v>
      </c>
      <c r="K44" s="820"/>
      <c r="L44" s="821"/>
      <c r="M44" s="526" t="str">
        <f>'Complaints - Published'!B5</f>
        <v>TBC</v>
      </c>
      <c r="N44" s="45" t="str">
        <f>'Complaints - Published'!B5</f>
        <v>TBC</v>
      </c>
      <c r="O44" s="43"/>
      <c r="P44" s="524" t="s">
        <v>751</v>
      </c>
      <c r="Q44" s="457" t="s">
        <v>385</v>
      </c>
      <c r="R44" s="792">
        <f>Complaints!B6</f>
        <v>0.61899999999999999</v>
      </c>
      <c r="S44" s="793"/>
      <c r="T44" s="793"/>
      <c r="U44" s="794"/>
      <c r="V44" s="49">
        <f>Complaints!B8</f>
        <v>42887</v>
      </c>
      <c r="W44" s="389" t="s">
        <v>27</v>
      </c>
      <c r="X44" s="54" t="s">
        <v>87</v>
      </c>
      <c r="Y44" s="556"/>
    </row>
    <row r="45" spans="1:25" ht="15.75" customHeight="1" thickBot="1" x14ac:dyDescent="0.25">
      <c r="A45" s="804" t="s">
        <v>556</v>
      </c>
      <c r="B45" s="805"/>
      <c r="C45" s="806"/>
      <c r="D45" s="814"/>
      <c r="E45" s="94" t="s">
        <v>77</v>
      </c>
      <c r="F45" s="390" t="s">
        <v>111</v>
      </c>
      <c r="G45" s="396" t="s">
        <v>323</v>
      </c>
      <c r="H45" s="398" t="s">
        <v>323</v>
      </c>
      <c r="I45" s="524" t="s">
        <v>751</v>
      </c>
      <c r="J45" s="819" t="str">
        <f>Complaints!B10</f>
        <v>TBC</v>
      </c>
      <c r="K45" s="820"/>
      <c r="L45" s="821"/>
      <c r="M45" s="526" t="str">
        <f>'Complaints - Published'!B6</f>
        <v>TBC</v>
      </c>
      <c r="N45" s="45" t="str">
        <f>'Complaints - Published'!B5</f>
        <v>TBC</v>
      </c>
      <c r="O45" s="43"/>
      <c r="P45" s="524" t="s">
        <v>751</v>
      </c>
      <c r="Q45" s="367" t="s">
        <v>385</v>
      </c>
      <c r="R45" s="792">
        <f>Complaints!B7</f>
        <v>0.69399999999999995</v>
      </c>
      <c r="S45" s="793"/>
      <c r="T45" s="793"/>
      <c r="U45" s="794"/>
      <c r="V45" s="49">
        <f>Complaints!B8</f>
        <v>42887</v>
      </c>
      <c r="W45" s="389" t="s">
        <v>27</v>
      </c>
      <c r="X45" s="54" t="s">
        <v>87</v>
      </c>
      <c r="Y45" s="556"/>
    </row>
    <row r="46" spans="1:25" ht="26.25" customHeight="1" thickBot="1" x14ac:dyDescent="0.25">
      <c r="A46" s="807" t="s">
        <v>204</v>
      </c>
      <c r="B46" s="805"/>
      <c r="C46" s="806"/>
      <c r="D46" s="814"/>
      <c r="E46" s="94" t="s">
        <v>81</v>
      </c>
      <c r="F46" s="390" t="s">
        <v>111</v>
      </c>
      <c r="G46" s="396" t="s">
        <v>297</v>
      </c>
      <c r="H46" s="398">
        <v>42675</v>
      </c>
      <c r="I46" s="51" t="str">
        <f>IF(R46&gt;=P46, "Met", "Not Met")</f>
        <v>Not Met</v>
      </c>
      <c r="J46" s="819" t="str">
        <f>DCE!B6</f>
        <v>Improving</v>
      </c>
      <c r="K46" s="820"/>
      <c r="L46" s="821"/>
      <c r="M46" s="9" t="str">
        <f>DCE!B8</f>
        <v>Better</v>
      </c>
      <c r="N46" s="734" t="str">
        <f>DCE!B9</f>
        <v>2014 &amp; 2015 (Combined Calendar Years)</v>
      </c>
      <c r="O46" s="735"/>
      <c r="P46" s="14">
        <v>0.28999999999999998</v>
      </c>
      <c r="Q46" s="11" t="s">
        <v>126</v>
      </c>
      <c r="R46" s="792">
        <f>DCE!B4</f>
        <v>0.26900000000000002</v>
      </c>
      <c r="S46" s="793"/>
      <c r="T46" s="793"/>
      <c r="U46" s="794"/>
      <c r="V46" s="930" t="str">
        <f>DCE!B5</f>
        <v>2015 &amp; 2016 (Combined Calendar Years)</v>
      </c>
      <c r="W46" s="931"/>
      <c r="X46" s="54" t="s">
        <v>103</v>
      </c>
      <c r="Y46" s="556"/>
    </row>
    <row r="47" spans="1:25" ht="15.75" customHeight="1" thickBot="1" x14ac:dyDescent="0.25">
      <c r="A47" s="807" t="s">
        <v>107</v>
      </c>
      <c r="B47" s="805"/>
      <c r="C47" s="806"/>
      <c r="D47" s="814"/>
      <c r="E47" s="94" t="s">
        <v>81</v>
      </c>
      <c r="F47" s="390" t="s">
        <v>111</v>
      </c>
      <c r="G47" s="826" t="s">
        <v>294</v>
      </c>
      <c r="H47" s="826" t="s">
        <v>294</v>
      </c>
      <c r="I47" s="525" t="s">
        <v>567</v>
      </c>
      <c r="J47" s="827" t="str">
        <f>Dementia!B6</f>
        <v>Not Applicable</v>
      </c>
      <c r="K47" s="828"/>
      <c r="L47" s="829"/>
      <c r="M47" s="786" t="str">
        <f>'Dementia - Published'!B7</f>
        <v>Part 1: Worse</v>
      </c>
      <c r="N47" s="892" t="str">
        <f>'Dementia - Published'!B5</f>
        <v>2014/15</v>
      </c>
      <c r="O47" s="893"/>
      <c r="P47" s="745" t="s">
        <v>567</v>
      </c>
      <c r="Q47" s="748" t="s">
        <v>14</v>
      </c>
      <c r="R47" s="903" t="s">
        <v>256</v>
      </c>
      <c r="S47" s="901">
        <f>'Dementia - Published'!B3</f>
        <v>0.25470514429109159</v>
      </c>
      <c r="T47" s="901"/>
      <c r="U47" s="902"/>
      <c r="V47" s="921" t="str">
        <f>'Dementia - Published'!B5</f>
        <v>2014/15</v>
      </c>
      <c r="W47" s="918" t="s">
        <v>258</v>
      </c>
      <c r="X47" s="54" t="s">
        <v>86</v>
      </c>
      <c r="Y47" s="556"/>
    </row>
    <row r="48" spans="1:25" ht="15.75" customHeight="1" thickBot="1" x14ac:dyDescent="0.25">
      <c r="A48" s="807" t="s">
        <v>108</v>
      </c>
      <c r="B48" s="805"/>
      <c r="C48" s="806"/>
      <c r="D48" s="814"/>
      <c r="E48" s="94" t="s">
        <v>81</v>
      </c>
      <c r="F48" s="390" t="s">
        <v>111</v>
      </c>
      <c r="G48" s="824"/>
      <c r="H48" s="824"/>
      <c r="I48" s="525" t="s">
        <v>567</v>
      </c>
      <c r="J48" s="830"/>
      <c r="K48" s="831"/>
      <c r="L48" s="832"/>
      <c r="M48" s="787"/>
      <c r="N48" s="894"/>
      <c r="O48" s="895"/>
      <c r="P48" s="746"/>
      <c r="Q48" s="749"/>
      <c r="R48" s="736"/>
      <c r="S48" s="738"/>
      <c r="T48" s="738"/>
      <c r="U48" s="739"/>
      <c r="V48" s="922"/>
      <c r="W48" s="919"/>
      <c r="X48" s="484" t="s">
        <v>752</v>
      </c>
      <c r="Y48" s="556"/>
    </row>
    <row r="49" spans="1:25" ht="15.75" customHeight="1" thickBot="1" x14ac:dyDescent="0.25">
      <c r="A49" s="807" t="s">
        <v>110</v>
      </c>
      <c r="B49" s="805"/>
      <c r="C49" s="806"/>
      <c r="D49" s="814"/>
      <c r="E49" s="94" t="s">
        <v>81</v>
      </c>
      <c r="F49" s="390" t="s">
        <v>111</v>
      </c>
      <c r="G49" s="824"/>
      <c r="H49" s="824"/>
      <c r="I49" s="525" t="s">
        <v>567</v>
      </c>
      <c r="J49" s="830"/>
      <c r="K49" s="831"/>
      <c r="L49" s="832"/>
      <c r="M49" s="787" t="str">
        <f>'Dementia - Published'!B8</f>
        <v>Part 2: Worse</v>
      </c>
      <c r="N49" s="894"/>
      <c r="O49" s="895"/>
      <c r="P49" s="746"/>
      <c r="Q49" s="749"/>
      <c r="R49" s="736" t="s">
        <v>257</v>
      </c>
      <c r="S49" s="738">
        <f>'Dementia - Published'!B4</f>
        <v>0.64344941956882251</v>
      </c>
      <c r="T49" s="738"/>
      <c r="U49" s="739"/>
      <c r="V49" s="922"/>
      <c r="W49" s="919"/>
      <c r="X49" s="54" t="s">
        <v>92</v>
      </c>
      <c r="Y49" s="556"/>
    </row>
    <row r="50" spans="1:25" ht="15.75" customHeight="1" thickBot="1" x14ac:dyDescent="0.25">
      <c r="A50" s="807" t="s">
        <v>109</v>
      </c>
      <c r="B50" s="805"/>
      <c r="C50" s="806"/>
      <c r="D50" s="814"/>
      <c r="E50" s="94" t="s">
        <v>81</v>
      </c>
      <c r="F50" s="390" t="s">
        <v>111</v>
      </c>
      <c r="G50" s="825"/>
      <c r="H50" s="825"/>
      <c r="I50" s="525" t="s">
        <v>567</v>
      </c>
      <c r="J50" s="833"/>
      <c r="K50" s="834"/>
      <c r="L50" s="835"/>
      <c r="M50" s="788"/>
      <c r="N50" s="896"/>
      <c r="O50" s="897"/>
      <c r="P50" s="747"/>
      <c r="Q50" s="750"/>
      <c r="R50" s="737"/>
      <c r="S50" s="740"/>
      <c r="T50" s="740"/>
      <c r="U50" s="741"/>
      <c r="V50" s="923"/>
      <c r="W50" s="920"/>
      <c r="X50" s="54" t="s">
        <v>88</v>
      </c>
      <c r="Y50" s="556"/>
    </row>
    <row r="51" spans="1:25" ht="15.75" customHeight="1" thickBot="1" x14ac:dyDescent="0.25">
      <c r="A51" s="878" t="s">
        <v>10</v>
      </c>
      <c r="B51" s="879"/>
      <c r="C51" s="880"/>
      <c r="D51" s="815"/>
      <c r="E51" s="94" t="s">
        <v>77</v>
      </c>
      <c r="F51" s="390" t="s">
        <v>111</v>
      </c>
      <c r="G51" s="396" t="s">
        <v>296</v>
      </c>
      <c r="H51" s="398">
        <v>42675</v>
      </c>
      <c r="I51" s="51" t="str">
        <f>IF(R51&gt;=P51, "Met", "Not Met")</f>
        <v>Not Met</v>
      </c>
      <c r="J51" s="819" t="str">
        <f>'Patient Experience'!B6</f>
        <v>Improving</v>
      </c>
      <c r="K51" s="820"/>
      <c r="L51" s="821"/>
      <c r="M51" s="48" t="str">
        <f>'Patient Experience'!B8</f>
        <v>Not Applicable</v>
      </c>
      <c r="N51" s="734" t="str">
        <f>'Patient Experience'!B9</f>
        <v>Not Applicable</v>
      </c>
      <c r="O51" s="735"/>
      <c r="P51" s="50">
        <v>9</v>
      </c>
      <c r="Q51" s="10" t="s">
        <v>128</v>
      </c>
      <c r="R51" s="789">
        <f>'Patient Experience'!B4</f>
        <v>8.9</v>
      </c>
      <c r="S51" s="790"/>
      <c r="T51" s="790"/>
      <c r="U51" s="791"/>
      <c r="V51" s="49">
        <f>'Patient Experience'!B5</f>
        <v>42887</v>
      </c>
      <c r="W51" s="389" t="s">
        <v>27</v>
      </c>
      <c r="X51" s="54" t="s">
        <v>87</v>
      </c>
      <c r="Y51" s="556"/>
    </row>
    <row r="52" spans="1:25" x14ac:dyDescent="0.2">
      <c r="A52" s="534" t="s">
        <v>269</v>
      </c>
      <c r="B52" s="19"/>
      <c r="C52" s="19"/>
      <c r="D52" s="20"/>
      <c r="E52" s="21"/>
      <c r="F52" s="20"/>
      <c r="G52" s="18"/>
      <c r="H52" s="18"/>
      <c r="I52" s="18"/>
      <c r="J52" s="444"/>
      <c r="K52" s="444"/>
      <c r="L52" s="444"/>
      <c r="M52" s="18"/>
      <c r="N52" s="18"/>
      <c r="O52" s="18"/>
      <c r="P52" s="18"/>
      <c r="Q52" s="18"/>
      <c r="R52" s="18"/>
      <c r="S52" s="18"/>
      <c r="T52" s="18"/>
      <c r="U52" s="18"/>
      <c r="V52" s="18"/>
      <c r="W52" s="18"/>
      <c r="X52" s="18"/>
    </row>
    <row r="53" spans="1:25" x14ac:dyDescent="0.2">
      <c r="A53" s="535" t="s">
        <v>570</v>
      </c>
      <c r="B53" s="8"/>
      <c r="C53" s="19"/>
      <c r="D53" s="20"/>
      <c r="E53" s="21"/>
      <c r="F53" s="20"/>
      <c r="G53" s="18"/>
      <c r="H53" s="18"/>
      <c r="I53" s="18"/>
      <c r="J53" s="444"/>
      <c r="K53" s="444"/>
      <c r="L53" s="444"/>
      <c r="M53" s="18"/>
      <c r="N53" s="18"/>
      <c r="O53" s="18"/>
      <c r="P53" s="18"/>
      <c r="Q53" s="18"/>
      <c r="R53" s="18"/>
      <c r="S53" s="18"/>
      <c r="T53" s="18"/>
      <c r="U53" s="18"/>
      <c r="V53" s="18"/>
      <c r="W53" s="18"/>
      <c r="X53" s="18"/>
    </row>
    <row r="54" spans="1:25" x14ac:dyDescent="0.2">
      <c r="A54" s="535" t="s">
        <v>571</v>
      </c>
      <c r="B54" s="537" t="s">
        <v>565</v>
      </c>
      <c r="C54" s="19"/>
      <c r="D54" s="20"/>
      <c r="E54" s="21"/>
      <c r="F54" s="20"/>
      <c r="G54" s="18"/>
      <c r="H54" s="18"/>
      <c r="I54" s="18"/>
      <c r="J54" s="444"/>
      <c r="K54" s="444"/>
      <c r="L54" s="444"/>
      <c r="M54" s="18"/>
      <c r="N54" s="18"/>
      <c r="O54" s="18"/>
      <c r="P54" s="18"/>
      <c r="Q54" s="18"/>
      <c r="R54" s="18"/>
      <c r="S54" s="18"/>
      <c r="T54" s="18"/>
      <c r="U54" s="18"/>
      <c r="V54" s="18"/>
      <c r="W54" s="18"/>
      <c r="X54" s="18"/>
    </row>
    <row r="55" spans="1:25" x14ac:dyDescent="0.2">
      <c r="A55" s="535" t="s">
        <v>572</v>
      </c>
      <c r="B55" s="19"/>
      <c r="C55" s="19"/>
      <c r="D55" s="20"/>
      <c r="E55" s="21"/>
      <c r="F55" s="20"/>
      <c r="G55" s="18"/>
      <c r="H55" s="18"/>
      <c r="I55" s="18"/>
      <c r="J55" s="444"/>
      <c r="K55" s="444"/>
      <c r="L55" s="444"/>
      <c r="M55" s="18"/>
      <c r="N55" s="18"/>
      <c r="O55" s="18"/>
      <c r="P55" s="18"/>
      <c r="Q55" s="18"/>
      <c r="R55" s="18"/>
      <c r="S55" s="18"/>
      <c r="T55" s="18"/>
      <c r="U55" s="18"/>
      <c r="V55" s="18"/>
      <c r="W55" s="18"/>
      <c r="X55" s="18"/>
    </row>
    <row r="56" spans="1:25" x14ac:dyDescent="0.2">
      <c r="A56" s="535" t="s">
        <v>573</v>
      </c>
      <c r="B56" s="19"/>
      <c r="C56" s="19"/>
      <c r="D56" s="20"/>
      <c r="E56" s="21"/>
      <c r="F56" s="20"/>
      <c r="G56" s="18"/>
      <c r="H56" s="18"/>
      <c r="I56" s="18"/>
      <c r="J56" s="444"/>
      <c r="K56" s="444"/>
      <c r="L56" s="444"/>
      <c r="M56" s="18"/>
      <c r="N56" s="18"/>
      <c r="O56" s="18"/>
      <c r="P56" s="18"/>
      <c r="Q56" s="18"/>
      <c r="R56" s="18"/>
      <c r="S56" s="18"/>
      <c r="T56" s="18"/>
      <c r="U56" s="18"/>
      <c r="V56" s="18"/>
      <c r="W56" s="18"/>
      <c r="X56" s="18"/>
    </row>
    <row r="57" spans="1:25" x14ac:dyDescent="0.2">
      <c r="A57" s="535" t="s">
        <v>574</v>
      </c>
      <c r="B57" s="19"/>
      <c r="C57" s="19"/>
      <c r="D57" s="20"/>
      <c r="E57" s="21"/>
      <c r="F57" s="20"/>
      <c r="G57" s="18"/>
      <c r="H57" s="18"/>
      <c r="I57" s="18"/>
      <c r="J57" s="444"/>
      <c r="K57" s="444"/>
      <c r="L57" s="444"/>
      <c r="M57" s="18"/>
      <c r="N57" s="18"/>
      <c r="O57" s="18"/>
      <c r="P57" s="18"/>
      <c r="Q57" s="18"/>
      <c r="R57" s="18"/>
      <c r="S57" s="18"/>
      <c r="T57" s="18"/>
      <c r="U57" s="18"/>
      <c r="V57" s="18"/>
      <c r="W57" s="18"/>
      <c r="X57" s="18"/>
    </row>
    <row r="58" spans="1:25" x14ac:dyDescent="0.2">
      <c r="A58" s="535" t="s">
        <v>575</v>
      </c>
      <c r="B58" s="19"/>
      <c r="C58" s="19"/>
      <c r="D58" s="20"/>
      <c r="E58" s="21"/>
      <c r="F58" s="20"/>
      <c r="G58" s="18"/>
      <c r="H58" s="18"/>
      <c r="I58" s="18"/>
      <c r="J58" s="444"/>
      <c r="K58" s="444"/>
      <c r="L58" s="444"/>
      <c r="M58" s="18"/>
      <c r="N58" s="18"/>
      <c r="O58" s="18"/>
      <c r="P58" s="18"/>
      <c r="Q58" s="18"/>
      <c r="R58" s="18"/>
      <c r="S58" s="18"/>
      <c r="T58" s="18"/>
      <c r="U58" s="18"/>
      <c r="V58" s="18"/>
      <c r="W58" s="18"/>
      <c r="X58" s="18"/>
    </row>
    <row r="59" spans="1:25" x14ac:dyDescent="0.2">
      <c r="A59" s="535" t="s">
        <v>576</v>
      </c>
      <c r="B59" s="19"/>
      <c r="C59" s="19"/>
      <c r="D59" s="20"/>
      <c r="E59" s="21"/>
      <c r="F59" s="20"/>
      <c r="G59" s="18"/>
      <c r="H59" s="18"/>
      <c r="I59" s="18"/>
      <c r="J59" s="444"/>
      <c r="K59" s="444"/>
      <c r="L59" s="444"/>
      <c r="M59" s="18"/>
      <c r="N59" s="18"/>
      <c r="O59" s="18"/>
      <c r="P59" s="18"/>
      <c r="Q59" s="18"/>
      <c r="R59" s="18"/>
      <c r="S59" s="18"/>
      <c r="T59" s="18"/>
      <c r="U59" s="18"/>
      <c r="V59" s="18"/>
      <c r="W59" s="18"/>
      <c r="X59" s="18"/>
    </row>
    <row r="60" spans="1:25" x14ac:dyDescent="0.2">
      <c r="A60" s="535" t="s">
        <v>577</v>
      </c>
      <c r="B60" s="8"/>
      <c r="C60" s="19"/>
      <c r="D60" s="20"/>
      <c r="E60" s="18"/>
      <c r="F60" s="20"/>
      <c r="G60" s="18"/>
      <c r="H60" s="18"/>
      <c r="I60" s="18"/>
      <c r="J60" s="444"/>
      <c r="K60" s="444"/>
      <c r="L60" s="444"/>
      <c r="M60" s="18"/>
      <c r="N60" s="18"/>
      <c r="O60" s="18"/>
      <c r="P60" s="18"/>
      <c r="Q60" s="18"/>
      <c r="R60" s="18"/>
      <c r="S60" s="18"/>
      <c r="T60" s="18"/>
      <c r="U60" s="18"/>
      <c r="V60" s="18"/>
      <c r="W60" s="18"/>
      <c r="X60" s="18"/>
    </row>
    <row r="61" spans="1:25" x14ac:dyDescent="0.2">
      <c r="A61" s="535" t="s">
        <v>747</v>
      </c>
      <c r="B61" s="19"/>
      <c r="C61" s="537" t="s">
        <v>568</v>
      </c>
      <c r="D61" s="20"/>
      <c r="E61" s="21"/>
      <c r="F61" s="20"/>
      <c r="G61" s="18"/>
      <c r="H61" s="18"/>
      <c r="I61" s="18"/>
      <c r="J61" s="444"/>
      <c r="K61" s="444"/>
      <c r="L61" s="444"/>
      <c r="M61" s="18"/>
      <c r="N61" s="18"/>
      <c r="O61" s="18"/>
      <c r="P61" s="18"/>
      <c r="Q61" s="18"/>
      <c r="R61" s="18"/>
      <c r="S61" s="18"/>
      <c r="T61" s="18"/>
      <c r="U61" s="18"/>
      <c r="V61" s="18"/>
      <c r="W61" s="18"/>
      <c r="X61" s="18"/>
    </row>
    <row r="62" spans="1:25" x14ac:dyDescent="0.2">
      <c r="A62" s="535" t="s">
        <v>748</v>
      </c>
      <c r="B62" s="540"/>
      <c r="C62" s="540"/>
      <c r="D62" s="541"/>
      <c r="E62" s="542"/>
      <c r="F62" s="541"/>
      <c r="G62" s="103"/>
      <c r="H62" s="103"/>
      <c r="I62" s="103"/>
      <c r="J62" s="543"/>
      <c r="K62" s="543"/>
      <c r="L62" s="543"/>
      <c r="M62" s="103"/>
      <c r="N62" s="103"/>
      <c r="O62" s="103"/>
      <c r="P62" s="103"/>
      <c r="Q62" s="103"/>
      <c r="R62" s="103"/>
      <c r="S62" s="103"/>
      <c r="T62" s="465"/>
      <c r="U62" s="465"/>
      <c r="V62" s="465"/>
      <c r="W62" s="465"/>
      <c r="X62" s="465"/>
    </row>
    <row r="63" spans="1:25" x14ac:dyDescent="0.2">
      <c r="A63" s="539" t="s">
        <v>749</v>
      </c>
      <c r="B63" s="465"/>
      <c r="C63" s="465"/>
      <c r="D63" s="545"/>
      <c r="E63" s="465"/>
      <c r="F63" s="545"/>
      <c r="G63" s="546"/>
      <c r="H63" s="465"/>
      <c r="I63" s="465"/>
      <c r="J63" s="536"/>
      <c r="K63" s="536"/>
      <c r="L63" s="536"/>
      <c r="M63" s="465"/>
      <c r="N63" s="465"/>
      <c r="O63" s="465"/>
      <c r="P63" s="465"/>
      <c r="Q63" s="465"/>
      <c r="R63" s="465"/>
      <c r="S63" s="465"/>
      <c r="T63" s="465"/>
      <c r="U63" s="465"/>
      <c r="V63" s="465"/>
      <c r="W63" s="465"/>
      <c r="X63" s="465"/>
    </row>
    <row r="64" spans="1:25" x14ac:dyDescent="0.2">
      <c r="A64" s="544" t="s">
        <v>569</v>
      </c>
      <c r="B64" s="465"/>
      <c r="C64" s="465"/>
      <c r="D64" s="545"/>
      <c r="E64" s="465"/>
      <c r="F64" s="545"/>
      <c r="G64" s="465"/>
      <c r="H64" s="465"/>
      <c r="I64" s="465"/>
      <c r="J64" s="536"/>
      <c r="K64" s="536"/>
      <c r="L64" s="536"/>
      <c r="M64" s="465"/>
      <c r="N64" s="465"/>
      <c r="O64" s="465"/>
      <c r="P64" s="465"/>
      <c r="Q64" s="465"/>
      <c r="R64" s="465"/>
      <c r="S64" s="465"/>
      <c r="T64" s="465"/>
      <c r="U64" s="465"/>
      <c r="V64" s="465"/>
      <c r="W64" s="465"/>
      <c r="X64" s="465"/>
    </row>
  </sheetData>
  <mergeCells count="188">
    <mergeCell ref="J3:L3"/>
    <mergeCell ref="R29:U29"/>
    <mergeCell ref="R10:U10"/>
    <mergeCell ref="R11:U11"/>
    <mergeCell ref="P13:Q13"/>
    <mergeCell ref="J25:L25"/>
    <mergeCell ref="R28:U28"/>
    <mergeCell ref="J4:L4"/>
    <mergeCell ref="R3:U3"/>
    <mergeCell ref="N5:O5"/>
    <mergeCell ref="M17:M19"/>
    <mergeCell ref="R12:U12"/>
    <mergeCell ref="J5:L5"/>
    <mergeCell ref="J6:L6"/>
    <mergeCell ref="J7:L7"/>
    <mergeCell ref="N3:O3"/>
    <mergeCell ref="N4:O4"/>
    <mergeCell ref="V34:V40"/>
    <mergeCell ref="V8:V9"/>
    <mergeCell ref="V3:W3"/>
    <mergeCell ref="P3:Q3"/>
    <mergeCell ref="Q8:Q9"/>
    <mergeCell ref="N8:O9"/>
    <mergeCell ref="R17:U19"/>
    <mergeCell ref="P8:P9"/>
    <mergeCell ref="W34:W40"/>
    <mergeCell ref="V17:V19"/>
    <mergeCell ref="W8:W9"/>
    <mergeCell ref="W17:W19"/>
    <mergeCell ref="V20:V22"/>
    <mergeCell ref="W20:W22"/>
    <mergeCell ref="T23:U23"/>
    <mergeCell ref="R23:S23"/>
    <mergeCell ref="T25:U25"/>
    <mergeCell ref="R25:S25"/>
    <mergeCell ref="J44:L44"/>
    <mergeCell ref="J28:L28"/>
    <mergeCell ref="J17:L19"/>
    <mergeCell ref="J23:L23"/>
    <mergeCell ref="O20:O22"/>
    <mergeCell ref="I8:I9"/>
    <mergeCell ref="J10:L10"/>
    <mergeCell ref="J11:L11"/>
    <mergeCell ref="J12:L12"/>
    <mergeCell ref="R14:U14"/>
    <mergeCell ref="J16:L16"/>
    <mergeCell ref="J14:L14"/>
    <mergeCell ref="J15:L15"/>
    <mergeCell ref="I17:I19"/>
    <mergeCell ref="J13:L13"/>
    <mergeCell ref="R16:U16"/>
    <mergeCell ref="R13:U13"/>
    <mergeCell ref="J8:L9"/>
    <mergeCell ref="M8:M9"/>
    <mergeCell ref="X8:X9"/>
    <mergeCell ref="R30:U33"/>
    <mergeCell ref="R15:U15"/>
    <mergeCell ref="Q17:Q19"/>
    <mergeCell ref="R27:U27"/>
    <mergeCell ref="R24:U24"/>
    <mergeCell ref="N47:O50"/>
    <mergeCell ref="P17:P19"/>
    <mergeCell ref="N17:N19"/>
    <mergeCell ref="O17:O19"/>
    <mergeCell ref="S47:U48"/>
    <mergeCell ref="R47:R48"/>
    <mergeCell ref="X17:X19"/>
    <mergeCell ref="R41:U41"/>
    <mergeCell ref="R42:U42"/>
    <mergeCell ref="W30:W33"/>
    <mergeCell ref="V30:V33"/>
    <mergeCell ref="X34:X35"/>
    <mergeCell ref="P30:P33"/>
    <mergeCell ref="P34:Q40"/>
    <mergeCell ref="N29:O29"/>
    <mergeCell ref="V47:V50"/>
    <mergeCell ref="V46:W46"/>
    <mergeCell ref="W47:W50"/>
    <mergeCell ref="A32:C32"/>
    <mergeCell ref="A33:C33"/>
    <mergeCell ref="A42:C42"/>
    <mergeCell ref="J45:L45"/>
    <mergeCell ref="I34:I35"/>
    <mergeCell ref="J51:L51"/>
    <mergeCell ref="A51:C51"/>
    <mergeCell ref="J42:L42"/>
    <mergeCell ref="A43:C43"/>
    <mergeCell ref="J46:L46"/>
    <mergeCell ref="D44:D51"/>
    <mergeCell ref="A44:C44"/>
    <mergeCell ref="H47:H50"/>
    <mergeCell ref="J41:L41"/>
    <mergeCell ref="A45:C45"/>
    <mergeCell ref="A50:C50"/>
    <mergeCell ref="A48:C48"/>
    <mergeCell ref="D42:D43"/>
    <mergeCell ref="J30:L33"/>
    <mergeCell ref="A49:C49"/>
    <mergeCell ref="A46:C46"/>
    <mergeCell ref="A41:C41"/>
    <mergeCell ref="A47:C47"/>
    <mergeCell ref="A36:C36"/>
    <mergeCell ref="G34:G35"/>
    <mergeCell ref="A3:C3"/>
    <mergeCell ref="A5:C5"/>
    <mergeCell ref="A23:C23"/>
    <mergeCell ref="A8:C9"/>
    <mergeCell ref="A15:C15"/>
    <mergeCell ref="A24:C24"/>
    <mergeCell ref="G8:G9"/>
    <mergeCell ref="H8:H9"/>
    <mergeCell ref="A17:C17"/>
    <mergeCell ref="D4:D9"/>
    <mergeCell ref="E8:E9"/>
    <mergeCell ref="F8:F9"/>
    <mergeCell ref="A22:C22"/>
    <mergeCell ref="A20:C20"/>
    <mergeCell ref="A21:C21"/>
    <mergeCell ref="A4:C4"/>
    <mergeCell ref="A7:C7"/>
    <mergeCell ref="A12:C12"/>
    <mergeCell ref="A11:C11"/>
    <mergeCell ref="A10:C10"/>
    <mergeCell ref="A13:C13"/>
    <mergeCell ref="A6:C6"/>
    <mergeCell ref="A14:C14"/>
    <mergeCell ref="G47:G50"/>
    <mergeCell ref="J47:L50"/>
    <mergeCell ref="J43:L43"/>
    <mergeCell ref="F34:F35"/>
    <mergeCell ref="G30:G33"/>
    <mergeCell ref="H34:H35"/>
    <mergeCell ref="A37:C37"/>
    <mergeCell ref="A28:C28"/>
    <mergeCell ref="N34:O40"/>
    <mergeCell ref="N30:N33"/>
    <mergeCell ref="O30:O33"/>
    <mergeCell ref="J29:L29"/>
    <mergeCell ref="A39:C39"/>
    <mergeCell ref="H30:H33"/>
    <mergeCell ref="J34:L40"/>
    <mergeCell ref="A34:C35"/>
    <mergeCell ref="D30:D33"/>
    <mergeCell ref="A38:C38"/>
    <mergeCell ref="E34:E35"/>
    <mergeCell ref="D34:D41"/>
    <mergeCell ref="A40:C40"/>
    <mergeCell ref="A30:C30"/>
    <mergeCell ref="A31:C31"/>
    <mergeCell ref="I30:I33"/>
    <mergeCell ref="A27:C27"/>
    <mergeCell ref="A18:C18"/>
    <mergeCell ref="A19:C19"/>
    <mergeCell ref="A26:C26"/>
    <mergeCell ref="A25:C25"/>
    <mergeCell ref="A29:C29"/>
    <mergeCell ref="D10:D29"/>
    <mergeCell ref="J26:L26"/>
    <mergeCell ref="J27:L27"/>
    <mergeCell ref="G20:G22"/>
    <mergeCell ref="H20:H22"/>
    <mergeCell ref="I20:I22"/>
    <mergeCell ref="A16:C16"/>
    <mergeCell ref="J24:L24"/>
    <mergeCell ref="N51:O51"/>
    <mergeCell ref="N46:O46"/>
    <mergeCell ref="R49:R50"/>
    <mergeCell ref="S49:U50"/>
    <mergeCell ref="Q30:Q33"/>
    <mergeCell ref="P47:P50"/>
    <mergeCell ref="Q47:Q50"/>
    <mergeCell ref="M30:M33"/>
    <mergeCell ref="J20:L22"/>
    <mergeCell ref="M20:M22"/>
    <mergeCell ref="N20:N22"/>
    <mergeCell ref="P20:P22"/>
    <mergeCell ref="M34:M40"/>
    <mergeCell ref="N28:O28"/>
    <mergeCell ref="Q20:Q22"/>
    <mergeCell ref="R20:U22"/>
    <mergeCell ref="M47:M48"/>
    <mergeCell ref="M49:M50"/>
    <mergeCell ref="R51:U51"/>
    <mergeCell ref="R45:U45"/>
    <mergeCell ref="R44:U44"/>
    <mergeCell ref="R26:U26"/>
    <mergeCell ref="R46:U46"/>
    <mergeCell ref="R43:U43"/>
  </mergeCells>
  <phoneticPr fontId="0" type="noConversion"/>
  <conditionalFormatting sqref="I4:I20 I23:I43 I46:I51">
    <cfRule type="cellIs" dxfId="20" priority="19" stopIfTrue="1" operator="equal">
      <formula>"Met"</formula>
    </cfRule>
    <cfRule type="cellIs" dxfId="19" priority="20" stopIfTrue="1" operator="equal">
      <formula>"Not Met"</formula>
    </cfRule>
  </conditionalFormatting>
  <conditionalFormatting sqref="J23:L51 J4:L19 J20">
    <cfRule type="cellIs" dxfId="18" priority="18" stopIfTrue="1" operator="equal">
      <formula>0</formula>
    </cfRule>
  </conditionalFormatting>
  <conditionalFormatting sqref="M23:M47 M4:M20 M49 M51">
    <cfRule type="cellIs" dxfId="17" priority="15" stopIfTrue="1" operator="equal">
      <formula>"Not Applicable"</formula>
    </cfRule>
    <cfRule type="cellIs" dxfId="16" priority="16" stopIfTrue="1" operator="equal">
      <formula>"Worse"</formula>
    </cfRule>
    <cfRule type="cellIs" dxfId="15" priority="17" stopIfTrue="1" operator="equal">
      <formula>"Better"</formula>
    </cfRule>
  </conditionalFormatting>
  <hyperlinks>
    <hyperlink ref="A1" location="Content!A1" display="Return to Contents"/>
    <hyperlink ref="B54" r:id="rId1"/>
    <hyperlink ref="A64" r:id="rId2"/>
    <hyperlink ref="C61" r:id="rId3"/>
  </hyperlinks>
  <pageMargins left="0.70866141732283472" right="0.70866141732283472" top="0.74803149606299213" bottom="0.74803149606299213" header="0.31496062992125984" footer="0.31496062992125984"/>
  <pageSetup paperSize="8" scale="37" orientation="landscape" r:id="rId4"/>
  <ignoredErrors>
    <ignoredError sqref="I13 I2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sheetPr>
  <dimension ref="A1:N18"/>
  <sheetViews>
    <sheetView workbookViewId="0"/>
  </sheetViews>
  <sheetFormatPr defaultColWidth="9.140625" defaultRowHeight="12.75" x14ac:dyDescent="0.2"/>
  <cols>
    <col min="1" max="1" width="21.28515625" style="117" customWidth="1"/>
    <col min="2" max="2" width="31.5703125" style="117" customWidth="1"/>
    <col min="3" max="3" width="25.140625" style="117" bestFit="1" customWidth="1"/>
    <col min="4" max="4" width="26.42578125" style="117" bestFit="1" customWidth="1"/>
    <col min="5" max="5" width="7.42578125" style="117" bestFit="1" customWidth="1"/>
    <col min="6" max="6" width="21.85546875" style="117" bestFit="1" customWidth="1"/>
    <col min="7" max="7" width="22.5703125" style="117" bestFit="1" customWidth="1"/>
    <col min="8" max="8" width="15.28515625" style="117" customWidth="1"/>
    <col min="9" max="16384" width="9.140625" style="117"/>
  </cols>
  <sheetData>
    <row r="1" spans="1:14" x14ac:dyDescent="0.2">
      <c r="A1" s="116" t="s">
        <v>360</v>
      </c>
      <c r="B1" s="224"/>
    </row>
    <row r="2" spans="1:14" x14ac:dyDescent="0.2">
      <c r="A2" s="116"/>
      <c r="B2" s="224"/>
    </row>
    <row r="3" spans="1:14" x14ac:dyDescent="0.2">
      <c r="A3" s="118" t="s">
        <v>254</v>
      </c>
      <c r="B3" s="358">
        <f>D12</f>
        <v>0.25470514429109159</v>
      </c>
      <c r="C3" s="122"/>
      <c r="N3" s="225"/>
    </row>
    <row r="4" spans="1:14" x14ac:dyDescent="0.2">
      <c r="A4" s="118" t="s">
        <v>255</v>
      </c>
      <c r="B4" s="358">
        <f>H12</f>
        <v>0.64344941956882251</v>
      </c>
      <c r="C4" s="122"/>
    </row>
    <row r="5" spans="1:14" x14ac:dyDescent="0.2">
      <c r="A5" s="118" t="s">
        <v>148</v>
      </c>
      <c r="B5" s="138" t="s">
        <v>129</v>
      </c>
      <c r="C5" s="122"/>
    </row>
    <row r="6" spans="1:14" x14ac:dyDescent="0.2">
      <c r="A6" s="118" t="s">
        <v>456</v>
      </c>
      <c r="B6" s="139" t="s">
        <v>317</v>
      </c>
      <c r="C6" s="122"/>
    </row>
    <row r="7" spans="1:14" x14ac:dyDescent="0.2">
      <c r="A7" s="137" t="s">
        <v>743</v>
      </c>
      <c r="B7" s="663" t="s">
        <v>745</v>
      </c>
      <c r="C7" s="122"/>
    </row>
    <row r="8" spans="1:14" x14ac:dyDescent="0.2">
      <c r="A8" s="137" t="s">
        <v>744</v>
      </c>
      <c r="B8" s="663" t="s">
        <v>746</v>
      </c>
      <c r="C8" s="122"/>
    </row>
    <row r="9" spans="1:14" x14ac:dyDescent="0.2">
      <c r="A9" s="226"/>
    </row>
    <row r="10" spans="1:14" ht="27" x14ac:dyDescent="0.2">
      <c r="A10" s="347" t="s">
        <v>249</v>
      </c>
      <c r="B10" s="350" t="s">
        <v>3</v>
      </c>
      <c r="C10" s="185" t="s">
        <v>250</v>
      </c>
      <c r="D10" s="185" t="s">
        <v>251</v>
      </c>
      <c r="E10" s="348" t="s">
        <v>252</v>
      </c>
      <c r="F10" s="351" t="s">
        <v>4</v>
      </c>
      <c r="G10" s="351" t="s">
        <v>5</v>
      </c>
      <c r="H10" s="185" t="s">
        <v>253</v>
      </c>
    </row>
    <row r="11" spans="1:14" x14ac:dyDescent="0.2">
      <c r="A11" s="352" t="s">
        <v>386</v>
      </c>
      <c r="B11" s="353">
        <v>16660.86588615485</v>
      </c>
      <c r="C11" s="354">
        <v>6660</v>
      </c>
      <c r="D11" s="431">
        <f>C11/B11</f>
        <v>0.39973912793658872</v>
      </c>
      <c r="E11" s="348"/>
      <c r="F11" s="356">
        <v>6624</v>
      </c>
      <c r="G11" s="356">
        <v>4807</v>
      </c>
      <c r="H11" s="431">
        <f>G11/F11</f>
        <v>0.72569444444444442</v>
      </c>
    </row>
    <row r="12" spans="1:14" x14ac:dyDescent="0.2">
      <c r="A12" s="144" t="s">
        <v>387</v>
      </c>
      <c r="B12" s="284">
        <v>2391</v>
      </c>
      <c r="C12" s="236">
        <v>609</v>
      </c>
      <c r="D12" s="355">
        <f>C12/B12</f>
        <v>0.25470514429109159</v>
      </c>
      <c r="E12" s="349"/>
      <c r="F12" s="237">
        <v>603</v>
      </c>
      <c r="G12" s="237">
        <v>388</v>
      </c>
      <c r="H12" s="244">
        <f>G12/F12</f>
        <v>0.64344941956882251</v>
      </c>
    </row>
    <row r="13" spans="1:14" x14ac:dyDescent="0.2">
      <c r="D13" s="165"/>
    </row>
    <row r="14" spans="1:14" x14ac:dyDescent="0.2">
      <c r="D14" s="165"/>
    </row>
    <row r="15" spans="1:14" ht="15.75" customHeight="1" x14ac:dyDescent="0.2">
      <c r="A15" s="117" t="s">
        <v>6</v>
      </c>
    </row>
    <row r="16" spans="1:14" ht="15.75" customHeight="1" x14ac:dyDescent="0.2">
      <c r="A16" s="117" t="s">
        <v>7</v>
      </c>
    </row>
    <row r="17" spans="1:1" ht="14.25" x14ac:dyDescent="0.2">
      <c r="A17" s="117" t="s">
        <v>8</v>
      </c>
    </row>
    <row r="18" spans="1:1" x14ac:dyDescent="0.2">
      <c r="A18" s="226"/>
    </row>
  </sheetData>
  <phoneticPr fontId="60" type="noConversion"/>
  <hyperlinks>
    <hyperlink ref="A1" location="Content!A1" display="Return to Contents"/>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M16"/>
  <sheetViews>
    <sheetView workbookViewId="0"/>
  </sheetViews>
  <sheetFormatPr defaultColWidth="9.140625" defaultRowHeight="12.75" x14ac:dyDescent="0.2"/>
  <cols>
    <col min="1" max="1" width="19.5703125" style="117" bestFit="1" customWidth="1"/>
    <col min="2" max="2" width="16.42578125" style="117" bestFit="1" customWidth="1"/>
    <col min="3" max="7" width="16.42578125" style="117" customWidth="1"/>
    <col min="8" max="16384" width="9.140625" style="117"/>
  </cols>
  <sheetData>
    <row r="1" spans="1:13" x14ac:dyDescent="0.2">
      <c r="A1" s="116" t="s">
        <v>360</v>
      </c>
    </row>
    <row r="2" spans="1:13" x14ac:dyDescent="0.2">
      <c r="A2" s="116"/>
    </row>
    <row r="3" spans="1:13" x14ac:dyDescent="0.2">
      <c r="A3" s="118" t="s">
        <v>454</v>
      </c>
      <c r="B3" s="331" t="s">
        <v>739</v>
      </c>
      <c r="C3" s="337"/>
      <c r="D3" s="337"/>
      <c r="E3" s="337"/>
      <c r="F3" s="337"/>
      <c r="G3" s="337"/>
      <c r="H3" s="337"/>
      <c r="I3" s="337"/>
      <c r="J3" s="337"/>
      <c r="K3" s="337"/>
      <c r="L3" s="337"/>
      <c r="M3" s="337"/>
    </row>
    <row r="4" spans="1:13" x14ac:dyDescent="0.2">
      <c r="A4" s="118" t="s">
        <v>147</v>
      </c>
      <c r="B4" s="231">
        <v>0.26900000000000002</v>
      </c>
      <c r="C4" s="119"/>
      <c r="D4" s="119"/>
      <c r="E4" s="119"/>
      <c r="F4" s="119"/>
      <c r="G4" s="119"/>
      <c r="H4" s="119"/>
      <c r="I4" s="119"/>
      <c r="J4" s="119"/>
      <c r="K4" s="119"/>
      <c r="L4" s="119"/>
      <c r="M4" s="119"/>
    </row>
    <row r="5" spans="1:13" x14ac:dyDescent="0.2">
      <c r="A5" s="118" t="s">
        <v>119</v>
      </c>
      <c r="B5" s="550" t="s">
        <v>584</v>
      </c>
    </row>
    <row r="6" spans="1:13" x14ac:dyDescent="0.2">
      <c r="A6" s="118" t="s">
        <v>201</v>
      </c>
      <c r="B6" s="122" t="s">
        <v>181</v>
      </c>
    </row>
    <row r="7" spans="1:13" x14ac:dyDescent="0.2">
      <c r="A7" s="118" t="s">
        <v>456</v>
      </c>
      <c r="B7" s="173">
        <v>43305</v>
      </c>
    </row>
    <row r="8" spans="1:13" x14ac:dyDescent="0.2">
      <c r="A8" s="137" t="s">
        <v>151</v>
      </c>
      <c r="B8" s="139" t="s">
        <v>83</v>
      </c>
    </row>
    <row r="9" spans="1:13" x14ac:dyDescent="0.2">
      <c r="A9" s="137" t="s">
        <v>148</v>
      </c>
      <c r="B9" s="138" t="s">
        <v>130</v>
      </c>
    </row>
    <row r="10" spans="1:13" x14ac:dyDescent="0.2">
      <c r="A10" s="134"/>
    </row>
    <row r="11" spans="1:13" x14ac:dyDescent="0.2">
      <c r="A11" s="203"/>
      <c r="B11" s="979" t="s">
        <v>205</v>
      </c>
      <c r="C11" s="979"/>
      <c r="D11" s="979"/>
      <c r="E11" s="979"/>
      <c r="F11" s="979"/>
      <c r="G11" s="979"/>
    </row>
    <row r="12" spans="1:13" ht="38.25" x14ac:dyDescent="0.2">
      <c r="A12" s="228" t="s">
        <v>385</v>
      </c>
      <c r="B12" s="198" t="s">
        <v>388</v>
      </c>
      <c r="C12" s="198" t="s">
        <v>390</v>
      </c>
      <c r="D12" s="198" t="s">
        <v>391</v>
      </c>
      <c r="E12" s="198" t="s">
        <v>392</v>
      </c>
      <c r="F12" s="198" t="s">
        <v>389</v>
      </c>
      <c r="G12" s="198" t="s">
        <v>583</v>
      </c>
    </row>
    <row r="13" spans="1:13" x14ac:dyDescent="0.2">
      <c r="A13" s="228" t="s">
        <v>386</v>
      </c>
      <c r="B13" s="229">
        <v>0.23300000000000001</v>
      </c>
      <c r="C13" s="229">
        <v>0.24199999999999999</v>
      </c>
      <c r="D13" s="229">
        <v>0.246</v>
      </c>
      <c r="E13" s="229">
        <v>0.25</v>
      </c>
      <c r="F13" s="229">
        <v>0.253</v>
      </c>
      <c r="G13" s="229">
        <v>0.255</v>
      </c>
    </row>
    <row r="14" spans="1:13" x14ac:dyDescent="0.2">
      <c r="A14" s="228" t="s">
        <v>387</v>
      </c>
      <c r="B14" s="230">
        <v>0.22700000000000001</v>
      </c>
      <c r="C14" s="230">
        <v>0.249</v>
      </c>
      <c r="D14" s="230">
        <v>0.25800000000000001</v>
      </c>
      <c r="E14" s="230">
        <v>0.26200000000000001</v>
      </c>
      <c r="F14" s="230">
        <v>0.27100000000000002</v>
      </c>
      <c r="G14" s="230">
        <v>0.26900000000000002</v>
      </c>
    </row>
    <row r="15" spans="1:13" x14ac:dyDescent="0.2">
      <c r="A15" s="228" t="s">
        <v>15</v>
      </c>
      <c r="B15" s="229">
        <v>0.28999999999999998</v>
      </c>
      <c r="C15" s="229">
        <v>0.28999999999999998</v>
      </c>
      <c r="D15" s="229">
        <v>0.28999999999999998</v>
      </c>
      <c r="E15" s="229">
        <v>0.28999999999999998</v>
      </c>
      <c r="F15" s="229">
        <v>0.28999999999999998</v>
      </c>
      <c r="G15" s="229">
        <v>0.28999999999999998</v>
      </c>
    </row>
    <row r="16" spans="1:13" x14ac:dyDescent="0.2">
      <c r="A16" s="232"/>
      <c r="B16" s="233"/>
      <c r="C16" s="233"/>
      <c r="D16" s="233"/>
      <c r="E16" s="233"/>
      <c r="F16" s="233"/>
    </row>
  </sheetData>
  <mergeCells count="1">
    <mergeCell ref="B11:G11"/>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J423"/>
  <sheetViews>
    <sheetView workbookViewId="0">
      <pane xSplit="1" topLeftCell="B1" activePane="topRight" state="frozen"/>
      <selection activeCell="A67" sqref="A67"/>
      <selection pane="topRight"/>
    </sheetView>
  </sheetViews>
  <sheetFormatPr defaultColWidth="9.140625" defaultRowHeight="12.75" x14ac:dyDescent="0.2"/>
  <cols>
    <col min="1" max="1" width="26.28515625" style="117" customWidth="1"/>
    <col min="2" max="2" width="10.5703125" style="117" customWidth="1"/>
    <col min="3" max="25" width="9.140625" style="117" customWidth="1"/>
    <col min="26" max="26" width="9.140625" style="117"/>
    <col min="27" max="27" width="9.140625" style="199"/>
    <col min="28" max="16384" width="9.140625" style="117"/>
  </cols>
  <sheetData>
    <row r="1" spans="1:49" x14ac:dyDescent="0.2">
      <c r="A1" s="116" t="s">
        <v>360</v>
      </c>
      <c r="B1" s="551"/>
    </row>
    <row r="2" spans="1:49" x14ac:dyDescent="0.2">
      <c r="A2" s="116"/>
      <c r="B2" s="690"/>
    </row>
    <row r="3" spans="1:49" ht="30.75" customHeight="1" x14ac:dyDescent="0.2">
      <c r="A3" s="118" t="s">
        <v>454</v>
      </c>
      <c r="B3" s="980" t="s">
        <v>242</v>
      </c>
      <c r="C3" s="980"/>
      <c r="D3" s="980"/>
      <c r="E3" s="980"/>
      <c r="F3" s="980"/>
      <c r="G3" s="980"/>
      <c r="H3" s="980"/>
      <c r="I3" s="980"/>
      <c r="J3" s="980"/>
      <c r="K3" s="980"/>
      <c r="L3" s="980"/>
      <c r="M3" s="980"/>
      <c r="N3" s="980"/>
      <c r="O3" s="980"/>
      <c r="P3" s="980"/>
      <c r="Q3" s="980"/>
      <c r="R3" s="980"/>
      <c r="S3" s="980"/>
      <c r="T3" s="119"/>
      <c r="U3" s="119"/>
      <c r="V3" s="119"/>
      <c r="W3" s="119"/>
      <c r="X3" s="119"/>
      <c r="Y3" s="119"/>
    </row>
    <row r="4" spans="1:49" x14ac:dyDescent="0.2">
      <c r="A4" s="118" t="s">
        <v>147</v>
      </c>
      <c r="B4" s="242">
        <f>HLOOKUP(MAX(B30:AW30),B30:AW31,2,0)</f>
        <v>3553</v>
      </c>
      <c r="C4" s="119"/>
      <c r="D4" s="119"/>
      <c r="E4" s="119"/>
      <c r="F4" s="119"/>
      <c r="G4" s="119"/>
      <c r="H4" s="119"/>
      <c r="I4" s="119"/>
      <c r="J4" s="119"/>
      <c r="K4" s="119"/>
      <c r="L4" s="119"/>
      <c r="M4" s="119"/>
      <c r="N4" s="119"/>
      <c r="O4" s="119"/>
      <c r="P4" s="119"/>
      <c r="Q4" s="119"/>
      <c r="R4" s="119"/>
      <c r="S4" s="119"/>
      <c r="T4" s="119"/>
      <c r="U4" s="119"/>
      <c r="V4" s="119"/>
      <c r="W4" s="119"/>
      <c r="X4" s="119"/>
      <c r="Y4" s="119"/>
    </row>
    <row r="5" spans="1:49" x14ac:dyDescent="0.2">
      <c r="A5" s="118" t="s">
        <v>119</v>
      </c>
      <c r="B5" s="138">
        <f>MAX(B30:AW30)</f>
        <v>42948</v>
      </c>
    </row>
    <row r="6" spans="1:49" x14ac:dyDescent="0.2">
      <c r="A6" s="118" t="s">
        <v>201</v>
      </c>
      <c r="B6" s="419" t="s">
        <v>182</v>
      </c>
    </row>
    <row r="7" spans="1:49" x14ac:dyDescent="0.2">
      <c r="A7" s="118" t="s">
        <v>456</v>
      </c>
      <c r="B7" s="173" t="s">
        <v>139</v>
      </c>
    </row>
    <row r="9" spans="1:49" x14ac:dyDescent="0.2">
      <c r="A9" s="200" t="s">
        <v>398</v>
      </c>
      <c r="B9" s="155"/>
      <c r="C9" s="155"/>
      <c r="D9" s="155"/>
      <c r="E9" s="155"/>
      <c r="F9" s="155"/>
      <c r="G9" s="155"/>
      <c r="H9" s="155"/>
      <c r="I9" s="155"/>
      <c r="J9" s="155"/>
      <c r="K9" s="155"/>
      <c r="L9" s="155"/>
      <c r="M9" s="155"/>
      <c r="N9" s="155"/>
      <c r="O9" s="155"/>
      <c r="P9" s="155"/>
      <c r="Q9" s="155"/>
      <c r="R9" s="155"/>
      <c r="S9" s="155"/>
      <c r="T9" s="155"/>
      <c r="U9" s="155"/>
      <c r="V9" s="155"/>
      <c r="W9" s="155"/>
      <c r="X9" s="155"/>
      <c r="Y9" s="155"/>
    </row>
    <row r="10" spans="1:49" x14ac:dyDescent="0.2">
      <c r="A10" s="234"/>
      <c r="B10" s="174">
        <v>42095</v>
      </c>
      <c r="C10" s="174">
        <v>42125</v>
      </c>
      <c r="D10" s="174">
        <v>42156</v>
      </c>
      <c r="E10" s="174">
        <v>42186</v>
      </c>
      <c r="F10" s="174">
        <v>42217</v>
      </c>
      <c r="G10" s="174">
        <v>42248</v>
      </c>
      <c r="H10" s="174">
        <v>42278</v>
      </c>
      <c r="I10" s="175">
        <v>42309</v>
      </c>
      <c r="J10" s="175">
        <v>42339</v>
      </c>
      <c r="K10" s="175">
        <v>42370</v>
      </c>
      <c r="L10" s="175">
        <v>42401</v>
      </c>
      <c r="M10" s="175">
        <v>42430</v>
      </c>
      <c r="N10" s="175">
        <v>42461</v>
      </c>
      <c r="O10" s="175">
        <v>42491</v>
      </c>
      <c r="P10" s="175">
        <v>42522</v>
      </c>
      <c r="Q10" s="175">
        <v>42552</v>
      </c>
      <c r="R10" s="175">
        <v>42583</v>
      </c>
      <c r="S10" s="175">
        <v>42614</v>
      </c>
      <c r="T10" s="175">
        <v>42644</v>
      </c>
      <c r="U10" s="175">
        <v>42675</v>
      </c>
      <c r="V10" s="175">
        <v>42705</v>
      </c>
      <c r="W10" s="175">
        <v>42736</v>
      </c>
      <c r="X10" s="175">
        <v>42767</v>
      </c>
      <c r="Y10" s="175">
        <v>42795</v>
      </c>
      <c r="Z10" s="174">
        <v>42826</v>
      </c>
      <c r="AA10" s="219">
        <v>42856</v>
      </c>
      <c r="AB10" s="174">
        <v>42887</v>
      </c>
      <c r="AC10" s="219">
        <v>42917</v>
      </c>
      <c r="AD10" s="174">
        <v>42948</v>
      </c>
      <c r="AE10" s="174"/>
      <c r="AF10" s="174"/>
      <c r="AG10" s="175"/>
      <c r="AH10" s="175"/>
      <c r="AI10" s="175"/>
      <c r="AJ10" s="175"/>
      <c r="AK10" s="175"/>
      <c r="AL10" s="175"/>
      <c r="AM10" s="175"/>
      <c r="AN10" s="175"/>
      <c r="AO10" s="175"/>
      <c r="AP10" s="175"/>
      <c r="AQ10" s="175"/>
      <c r="AR10" s="175"/>
      <c r="AS10" s="175"/>
      <c r="AT10" s="175"/>
      <c r="AU10" s="175"/>
      <c r="AV10" s="175"/>
      <c r="AW10" s="175"/>
    </row>
    <row r="11" spans="1:49" x14ac:dyDescent="0.2">
      <c r="A11" s="235" t="s">
        <v>394</v>
      </c>
      <c r="B11" s="129">
        <v>654</v>
      </c>
      <c r="C11" s="129">
        <v>761</v>
      </c>
      <c r="D11" s="129">
        <v>841</v>
      </c>
      <c r="E11" s="129">
        <v>978</v>
      </c>
      <c r="F11" s="129">
        <v>846</v>
      </c>
      <c r="G11" s="129">
        <v>778</v>
      </c>
      <c r="H11" s="129">
        <v>850</v>
      </c>
      <c r="I11" s="284">
        <v>592</v>
      </c>
      <c r="J11" s="284">
        <v>497</v>
      </c>
      <c r="K11" s="284">
        <v>504</v>
      </c>
      <c r="L11" s="284">
        <v>389</v>
      </c>
      <c r="M11" s="284">
        <v>433</v>
      </c>
      <c r="N11" s="284">
        <v>552</v>
      </c>
      <c r="O11" s="284">
        <v>567</v>
      </c>
      <c r="P11" s="284">
        <v>620</v>
      </c>
      <c r="Q11" s="284">
        <v>730</v>
      </c>
      <c r="R11" s="284">
        <v>710</v>
      </c>
      <c r="S11" s="284">
        <v>792</v>
      </c>
      <c r="T11" s="284">
        <v>922</v>
      </c>
      <c r="U11" s="284">
        <v>873</v>
      </c>
      <c r="V11" s="284">
        <v>786</v>
      </c>
      <c r="W11" s="284">
        <v>807</v>
      </c>
      <c r="X11" s="284">
        <v>758</v>
      </c>
      <c r="Y11" s="284">
        <v>668</v>
      </c>
      <c r="Z11" s="129">
        <v>774</v>
      </c>
      <c r="AA11" s="301">
        <v>871</v>
      </c>
      <c r="AB11" s="129">
        <v>992</v>
      </c>
      <c r="AC11" s="129">
        <v>1120</v>
      </c>
      <c r="AD11" s="129">
        <v>1225</v>
      </c>
      <c r="AE11" s="129"/>
      <c r="AF11" s="129"/>
      <c r="AG11" s="284"/>
      <c r="AH11" s="284"/>
      <c r="AI11" s="284"/>
      <c r="AJ11" s="284"/>
      <c r="AK11" s="284"/>
      <c r="AL11" s="284"/>
      <c r="AM11" s="284"/>
      <c r="AN11" s="284"/>
      <c r="AO11" s="284"/>
      <c r="AP11" s="284"/>
      <c r="AQ11" s="284"/>
      <c r="AR11" s="284"/>
      <c r="AS11" s="284"/>
      <c r="AT11" s="284"/>
      <c r="AU11" s="284"/>
      <c r="AV11" s="284"/>
      <c r="AW11" s="284"/>
    </row>
    <row r="12" spans="1:49" x14ac:dyDescent="0.2">
      <c r="A12" s="235" t="s">
        <v>393</v>
      </c>
      <c r="B12" s="129">
        <v>285</v>
      </c>
      <c r="C12" s="129">
        <v>303</v>
      </c>
      <c r="D12" s="129">
        <v>421</v>
      </c>
      <c r="E12" s="129">
        <v>654</v>
      </c>
      <c r="F12" s="129">
        <v>674</v>
      </c>
      <c r="G12" s="129">
        <v>680</v>
      </c>
      <c r="H12" s="129">
        <v>639</v>
      </c>
      <c r="I12" s="284">
        <v>406</v>
      </c>
      <c r="J12" s="284">
        <v>457</v>
      </c>
      <c r="K12" s="284">
        <v>418</v>
      </c>
      <c r="L12" s="284">
        <v>210</v>
      </c>
      <c r="M12" s="284">
        <v>229</v>
      </c>
      <c r="N12" s="284">
        <v>448</v>
      </c>
      <c r="O12" s="284">
        <v>507</v>
      </c>
      <c r="P12" s="284">
        <v>568</v>
      </c>
      <c r="Q12" s="284">
        <v>682</v>
      </c>
      <c r="R12" s="284">
        <v>716</v>
      </c>
      <c r="S12" s="284">
        <v>742</v>
      </c>
      <c r="T12" s="284">
        <v>767</v>
      </c>
      <c r="U12" s="284">
        <v>780</v>
      </c>
      <c r="V12" s="284">
        <v>746</v>
      </c>
      <c r="W12" s="284">
        <v>728</v>
      </c>
      <c r="X12" s="284">
        <v>660</v>
      </c>
      <c r="Y12" s="284">
        <v>669</v>
      </c>
      <c r="Z12" s="129">
        <v>762</v>
      </c>
      <c r="AA12" s="301">
        <v>835</v>
      </c>
      <c r="AB12" s="129">
        <v>846</v>
      </c>
      <c r="AC12" s="129">
        <v>961</v>
      </c>
      <c r="AD12" s="129">
        <v>1065</v>
      </c>
      <c r="AE12" s="129"/>
      <c r="AF12" s="129"/>
      <c r="AG12" s="284"/>
      <c r="AH12" s="284"/>
      <c r="AI12" s="284"/>
      <c r="AJ12" s="284"/>
      <c r="AK12" s="284"/>
      <c r="AL12" s="284"/>
      <c r="AM12" s="284"/>
      <c r="AN12" s="284"/>
      <c r="AO12" s="284"/>
      <c r="AP12" s="284"/>
      <c r="AQ12" s="284"/>
      <c r="AR12" s="284"/>
      <c r="AS12" s="284"/>
      <c r="AT12" s="284"/>
      <c r="AU12" s="284"/>
      <c r="AV12" s="284"/>
      <c r="AW12" s="284"/>
    </row>
    <row r="13" spans="1:49" ht="25.5" x14ac:dyDescent="0.2">
      <c r="A13" s="235" t="s">
        <v>395</v>
      </c>
      <c r="B13" s="129">
        <v>262</v>
      </c>
      <c r="C13" s="129">
        <v>284</v>
      </c>
      <c r="D13" s="129">
        <v>294</v>
      </c>
      <c r="E13" s="129">
        <v>310</v>
      </c>
      <c r="F13" s="129">
        <v>278</v>
      </c>
      <c r="G13" s="129">
        <v>235</v>
      </c>
      <c r="H13" s="129">
        <v>246</v>
      </c>
      <c r="I13" s="284">
        <v>171</v>
      </c>
      <c r="J13" s="284">
        <v>162</v>
      </c>
      <c r="K13" s="284">
        <v>173</v>
      </c>
      <c r="L13" s="284">
        <v>142</v>
      </c>
      <c r="M13" s="284">
        <v>162</v>
      </c>
      <c r="N13" s="284">
        <v>209</v>
      </c>
      <c r="O13" s="284">
        <v>198</v>
      </c>
      <c r="P13" s="284">
        <v>192</v>
      </c>
      <c r="Q13" s="284">
        <v>244</v>
      </c>
      <c r="R13" s="284">
        <v>347</v>
      </c>
      <c r="S13" s="284">
        <v>391</v>
      </c>
      <c r="T13" s="284">
        <v>395</v>
      </c>
      <c r="U13" s="284">
        <v>375</v>
      </c>
      <c r="V13" s="284">
        <v>308</v>
      </c>
      <c r="W13" s="284">
        <v>345</v>
      </c>
      <c r="X13" s="284">
        <v>299</v>
      </c>
      <c r="Y13" s="284">
        <v>311</v>
      </c>
      <c r="Z13" s="129">
        <v>372</v>
      </c>
      <c r="AA13" s="301">
        <v>377</v>
      </c>
      <c r="AB13" s="129">
        <v>420</v>
      </c>
      <c r="AC13" s="129">
        <v>450</v>
      </c>
      <c r="AD13" s="129">
        <v>459</v>
      </c>
      <c r="AE13" s="129"/>
      <c r="AF13" s="129"/>
      <c r="AG13" s="284"/>
      <c r="AH13" s="284"/>
      <c r="AI13" s="284"/>
      <c r="AJ13" s="284"/>
      <c r="AK13" s="284"/>
      <c r="AL13" s="284"/>
      <c r="AM13" s="284"/>
      <c r="AN13" s="284"/>
      <c r="AO13" s="284"/>
      <c r="AP13" s="284"/>
      <c r="AQ13" s="284"/>
      <c r="AR13" s="284"/>
      <c r="AS13" s="284"/>
      <c r="AT13" s="284"/>
      <c r="AU13" s="284"/>
      <c r="AV13" s="284"/>
      <c r="AW13" s="284"/>
    </row>
    <row r="14" spans="1:49" x14ac:dyDescent="0.2">
      <c r="A14" s="235" t="s">
        <v>396</v>
      </c>
      <c r="B14" s="129">
        <v>247</v>
      </c>
      <c r="C14" s="129">
        <v>224</v>
      </c>
      <c r="D14" s="129">
        <v>296</v>
      </c>
      <c r="E14" s="129">
        <v>410</v>
      </c>
      <c r="F14" s="129">
        <v>470</v>
      </c>
      <c r="G14" s="129">
        <v>487</v>
      </c>
      <c r="H14" s="129">
        <v>571</v>
      </c>
      <c r="I14" s="284">
        <v>179</v>
      </c>
      <c r="J14" s="284">
        <v>46</v>
      </c>
      <c r="K14" s="284">
        <v>28</v>
      </c>
      <c r="L14" s="284">
        <v>27</v>
      </c>
      <c r="M14" s="284">
        <v>37</v>
      </c>
      <c r="N14" s="284">
        <v>43</v>
      </c>
      <c r="O14" s="284">
        <v>73</v>
      </c>
      <c r="P14" s="284">
        <v>56</v>
      </c>
      <c r="Q14" s="284">
        <v>99</v>
      </c>
      <c r="R14" s="284">
        <v>55</v>
      </c>
      <c r="S14" s="284">
        <v>95</v>
      </c>
      <c r="T14" s="284">
        <v>186</v>
      </c>
      <c r="U14" s="284">
        <v>247</v>
      </c>
      <c r="V14" s="284">
        <v>326</v>
      </c>
      <c r="W14" s="284">
        <v>442</v>
      </c>
      <c r="X14" s="284">
        <v>429</v>
      </c>
      <c r="Y14" s="284">
        <v>495</v>
      </c>
      <c r="Z14" s="129">
        <v>570</v>
      </c>
      <c r="AA14" s="301">
        <v>649</v>
      </c>
      <c r="AB14" s="129">
        <v>724</v>
      </c>
      <c r="AC14" s="129">
        <v>722</v>
      </c>
      <c r="AD14" s="129">
        <v>753</v>
      </c>
      <c r="AE14" s="129"/>
      <c r="AF14" s="129"/>
      <c r="AG14" s="284"/>
      <c r="AH14" s="284"/>
      <c r="AI14" s="284"/>
      <c r="AJ14" s="284"/>
      <c r="AK14" s="284"/>
      <c r="AL14" s="284"/>
      <c r="AM14" s="284"/>
      <c r="AN14" s="284"/>
      <c r="AO14" s="284"/>
      <c r="AP14" s="284"/>
      <c r="AQ14" s="284"/>
      <c r="AR14" s="284"/>
      <c r="AS14" s="284"/>
      <c r="AT14" s="284"/>
      <c r="AU14" s="284"/>
      <c r="AV14" s="284"/>
      <c r="AW14" s="284"/>
    </row>
    <row r="15" spans="1:49" ht="38.25" x14ac:dyDescent="0.2">
      <c r="A15" s="381" t="s">
        <v>262</v>
      </c>
      <c r="B15" s="382">
        <v>1448</v>
      </c>
      <c r="C15" s="382">
        <v>1572</v>
      </c>
      <c r="D15" s="382">
        <v>1852</v>
      </c>
      <c r="E15" s="382">
        <v>2352</v>
      </c>
      <c r="F15" s="382">
        <v>2268</v>
      </c>
      <c r="G15" s="382">
        <v>2180</v>
      </c>
      <c r="H15" s="382">
        <v>2306</v>
      </c>
      <c r="I15" s="383">
        <v>1348</v>
      </c>
      <c r="J15" s="383">
        <v>1162</v>
      </c>
      <c r="K15" s="383">
        <v>1123</v>
      </c>
      <c r="L15" s="383">
        <v>768</v>
      </c>
      <c r="M15" s="383">
        <v>861</v>
      </c>
      <c r="N15" s="383">
        <v>1252</v>
      </c>
      <c r="O15" s="383">
        <v>1345</v>
      </c>
      <c r="P15" s="383">
        <v>1436</v>
      </c>
      <c r="Q15" s="383">
        <v>1755</v>
      </c>
      <c r="R15" s="383">
        <v>1828</v>
      </c>
      <c r="S15" s="383">
        <v>2020</v>
      </c>
      <c r="T15" s="383">
        <v>2270</v>
      </c>
      <c r="U15" s="383">
        <v>2275</v>
      </c>
      <c r="V15" s="383">
        <v>2166</v>
      </c>
      <c r="W15" s="383">
        <v>2322</v>
      </c>
      <c r="X15" s="383">
        <v>2146</v>
      </c>
      <c r="Y15" s="238">
        <v>2143</v>
      </c>
      <c r="Z15" s="382">
        <v>2478</v>
      </c>
      <c r="AA15" s="481">
        <v>2732</v>
      </c>
      <c r="AB15" s="382">
        <v>2982</v>
      </c>
      <c r="AC15" s="382">
        <v>3253</v>
      </c>
      <c r="AD15" s="382">
        <v>3502</v>
      </c>
      <c r="AE15" s="382"/>
      <c r="AF15" s="382"/>
      <c r="AG15" s="383"/>
      <c r="AH15" s="383"/>
      <c r="AI15" s="383"/>
      <c r="AJ15" s="383"/>
      <c r="AK15" s="383"/>
      <c r="AL15" s="383"/>
      <c r="AM15" s="383"/>
      <c r="AN15" s="383"/>
      <c r="AO15" s="383"/>
      <c r="AP15" s="383"/>
      <c r="AQ15" s="383"/>
      <c r="AR15" s="383"/>
      <c r="AS15" s="383"/>
      <c r="AT15" s="383"/>
      <c r="AU15" s="383"/>
      <c r="AV15" s="383"/>
      <c r="AW15" s="238"/>
    </row>
    <row r="17" spans="1:49" x14ac:dyDescent="0.2">
      <c r="A17" s="200" t="s">
        <v>512</v>
      </c>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c r="AA17" s="344"/>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row>
    <row r="18" spans="1:49" s="199" customFormat="1" x14ac:dyDescent="0.2">
      <c r="A18" s="239"/>
      <c r="B18" s="174">
        <v>42095</v>
      </c>
      <c r="C18" s="174">
        <v>42125</v>
      </c>
      <c r="D18" s="174">
        <v>42156</v>
      </c>
      <c r="E18" s="174">
        <v>42186</v>
      </c>
      <c r="F18" s="174">
        <v>42217</v>
      </c>
      <c r="G18" s="174">
        <v>42248</v>
      </c>
      <c r="H18" s="174">
        <v>42278</v>
      </c>
      <c r="I18" s="175">
        <v>42309</v>
      </c>
      <c r="J18" s="175">
        <v>42339</v>
      </c>
      <c r="K18" s="175">
        <v>42370</v>
      </c>
      <c r="L18" s="175">
        <v>42401</v>
      </c>
      <c r="M18" s="175">
        <v>42430</v>
      </c>
      <c r="N18" s="175">
        <v>42461</v>
      </c>
      <c r="O18" s="175">
        <v>42491</v>
      </c>
      <c r="P18" s="175">
        <v>42522</v>
      </c>
      <c r="Q18" s="175">
        <v>42552</v>
      </c>
      <c r="R18" s="175">
        <v>42583</v>
      </c>
      <c r="S18" s="175">
        <v>42614</v>
      </c>
      <c r="T18" s="175">
        <v>42644</v>
      </c>
      <c r="U18" s="175">
        <v>42675</v>
      </c>
      <c r="V18" s="175">
        <v>42705</v>
      </c>
      <c r="W18" s="175">
        <v>42736</v>
      </c>
      <c r="X18" s="175">
        <v>42767</v>
      </c>
      <c r="Y18" s="175">
        <v>42795</v>
      </c>
      <c r="Z18" s="175">
        <v>42826</v>
      </c>
      <c r="AA18" s="219">
        <v>42856</v>
      </c>
      <c r="AB18" s="175">
        <v>42887</v>
      </c>
      <c r="AC18" s="219">
        <v>42917</v>
      </c>
      <c r="AD18" s="175">
        <v>42948</v>
      </c>
      <c r="AE18" s="174"/>
      <c r="AF18" s="174"/>
      <c r="AG18" s="175"/>
      <c r="AH18" s="175"/>
      <c r="AI18" s="175"/>
      <c r="AJ18" s="175"/>
      <c r="AK18" s="175"/>
      <c r="AL18" s="175"/>
      <c r="AM18" s="175"/>
      <c r="AN18" s="175"/>
      <c r="AO18" s="175"/>
      <c r="AP18" s="175"/>
      <c r="AQ18" s="175"/>
      <c r="AR18" s="175"/>
      <c r="AS18" s="175"/>
      <c r="AT18" s="175"/>
      <c r="AU18" s="175"/>
      <c r="AV18" s="175"/>
      <c r="AW18" s="175"/>
    </row>
    <row r="19" spans="1:49" s="199" customFormat="1" x14ac:dyDescent="0.2">
      <c r="A19" s="239" t="s">
        <v>400</v>
      </c>
      <c r="B19" s="236">
        <v>108</v>
      </c>
      <c r="C19" s="236">
        <v>123</v>
      </c>
      <c r="D19" s="236">
        <v>106</v>
      </c>
      <c r="E19" s="236">
        <v>60</v>
      </c>
      <c r="F19" s="236">
        <v>38</v>
      </c>
      <c r="G19" s="236">
        <v>111</v>
      </c>
      <c r="H19" s="236">
        <v>77</v>
      </c>
      <c r="I19" s="237">
        <v>6</v>
      </c>
      <c r="J19" s="237">
        <v>11</v>
      </c>
      <c r="K19" s="237">
        <v>12</v>
      </c>
      <c r="L19" s="237">
        <v>17</v>
      </c>
      <c r="M19" s="237">
        <v>16</v>
      </c>
      <c r="N19" s="237">
        <v>204</v>
      </c>
      <c r="O19" s="237">
        <v>172</v>
      </c>
      <c r="P19" s="237">
        <v>176</v>
      </c>
      <c r="Q19" s="237">
        <v>45</v>
      </c>
      <c r="R19" s="237">
        <v>43</v>
      </c>
      <c r="S19" s="237">
        <v>22</v>
      </c>
      <c r="T19" s="237">
        <v>28</v>
      </c>
      <c r="U19" s="237">
        <v>20</v>
      </c>
      <c r="V19" s="237">
        <v>68</v>
      </c>
      <c r="W19" s="237">
        <v>90</v>
      </c>
      <c r="X19" s="237">
        <v>26</v>
      </c>
      <c r="Y19" s="237">
        <v>29</v>
      </c>
      <c r="Z19" s="236">
        <v>68</v>
      </c>
      <c r="AA19" s="480">
        <v>44</v>
      </c>
      <c r="AB19" s="236">
        <v>45</v>
      </c>
      <c r="AC19" s="236">
        <v>69</v>
      </c>
      <c r="AD19" s="236">
        <v>38</v>
      </c>
      <c r="AE19" s="236"/>
      <c r="AF19" s="236"/>
      <c r="AG19" s="237"/>
      <c r="AH19" s="237"/>
      <c r="AI19" s="237"/>
      <c r="AJ19" s="237"/>
      <c r="AK19" s="237"/>
      <c r="AL19" s="237"/>
      <c r="AM19" s="237"/>
      <c r="AN19" s="237"/>
      <c r="AO19" s="237"/>
      <c r="AP19" s="237"/>
      <c r="AQ19" s="237"/>
      <c r="AR19" s="237"/>
      <c r="AS19" s="237"/>
      <c r="AT19" s="237"/>
      <c r="AU19" s="237"/>
      <c r="AV19" s="237"/>
      <c r="AW19" s="237"/>
    </row>
    <row r="20" spans="1:49" s="199" customFormat="1" x14ac:dyDescent="0.2">
      <c r="A20" s="239" t="s">
        <v>399</v>
      </c>
      <c r="B20" s="236">
        <v>15</v>
      </c>
      <c r="C20" s="236">
        <v>8</v>
      </c>
      <c r="D20" s="236">
        <v>6</v>
      </c>
      <c r="E20" s="236">
        <v>12</v>
      </c>
      <c r="F20" s="236">
        <v>9</v>
      </c>
      <c r="G20" s="236">
        <v>9</v>
      </c>
      <c r="H20" s="236">
        <v>3</v>
      </c>
      <c r="I20" s="237">
        <v>2</v>
      </c>
      <c r="J20" s="237">
        <v>6</v>
      </c>
      <c r="K20" s="237">
        <v>2</v>
      </c>
      <c r="L20" s="237">
        <v>5</v>
      </c>
      <c r="M20" s="237">
        <v>6</v>
      </c>
      <c r="N20" s="237">
        <v>7</v>
      </c>
      <c r="O20" s="237">
        <v>3</v>
      </c>
      <c r="P20" s="237">
        <v>19</v>
      </c>
      <c r="Q20" s="237">
        <v>5</v>
      </c>
      <c r="R20" s="237">
        <v>7</v>
      </c>
      <c r="S20" s="237">
        <v>4</v>
      </c>
      <c r="T20" s="237">
        <v>8</v>
      </c>
      <c r="U20" s="237">
        <v>4</v>
      </c>
      <c r="V20" s="237">
        <v>3</v>
      </c>
      <c r="W20" s="237">
        <v>10</v>
      </c>
      <c r="X20" s="237">
        <v>7</v>
      </c>
      <c r="Y20" s="237">
        <v>1</v>
      </c>
      <c r="Z20" s="236">
        <v>6</v>
      </c>
      <c r="AA20" s="480">
        <v>3</v>
      </c>
      <c r="AB20" s="236">
        <v>7</v>
      </c>
      <c r="AC20" s="236">
        <v>5</v>
      </c>
      <c r="AD20" s="236">
        <v>5</v>
      </c>
      <c r="AE20" s="236"/>
      <c r="AF20" s="236"/>
      <c r="AG20" s="237"/>
      <c r="AH20" s="237"/>
      <c r="AI20" s="237"/>
      <c r="AJ20" s="237"/>
      <c r="AK20" s="237"/>
      <c r="AL20" s="237"/>
      <c r="AM20" s="237"/>
      <c r="AN20" s="237"/>
      <c r="AO20" s="237"/>
      <c r="AP20" s="237"/>
      <c r="AQ20" s="237"/>
      <c r="AR20" s="237"/>
      <c r="AS20" s="237"/>
      <c r="AT20" s="237"/>
      <c r="AU20" s="237"/>
      <c r="AV20" s="237"/>
      <c r="AW20" s="237"/>
    </row>
    <row r="21" spans="1:49" s="199" customFormat="1" ht="25.5" x14ac:dyDescent="0.2">
      <c r="A21" s="657" t="s">
        <v>524</v>
      </c>
      <c r="B21" s="236">
        <v>23</v>
      </c>
      <c r="C21" s="236">
        <v>13</v>
      </c>
      <c r="D21" s="236">
        <v>30</v>
      </c>
      <c r="E21" s="236">
        <v>4</v>
      </c>
      <c r="F21" s="236">
        <v>5</v>
      </c>
      <c r="G21" s="236">
        <v>10</v>
      </c>
      <c r="H21" s="236">
        <v>1</v>
      </c>
      <c r="I21" s="237">
        <v>5</v>
      </c>
      <c r="J21" s="237">
        <v>5</v>
      </c>
      <c r="K21" s="237">
        <v>3</v>
      </c>
      <c r="L21" s="237">
        <v>9</v>
      </c>
      <c r="M21" s="237">
        <v>3</v>
      </c>
      <c r="N21" s="237">
        <v>3</v>
      </c>
      <c r="O21" s="237">
        <v>3</v>
      </c>
      <c r="P21" s="237">
        <v>3</v>
      </c>
      <c r="Q21" s="237">
        <v>5</v>
      </c>
      <c r="R21" s="237">
        <v>5</v>
      </c>
      <c r="S21" s="237">
        <v>1</v>
      </c>
      <c r="T21" s="237">
        <v>2</v>
      </c>
      <c r="U21" s="237">
        <v>9</v>
      </c>
      <c r="V21" s="237">
        <v>9</v>
      </c>
      <c r="W21" s="237">
        <v>6</v>
      </c>
      <c r="X21" s="237">
        <v>8</v>
      </c>
      <c r="Y21" s="237">
        <v>3</v>
      </c>
      <c r="Z21" s="236">
        <v>4</v>
      </c>
      <c r="AA21" s="497">
        <v>3</v>
      </c>
      <c r="AB21" s="236">
        <v>0</v>
      </c>
      <c r="AC21" s="236">
        <v>2</v>
      </c>
      <c r="AD21" s="236">
        <v>4</v>
      </c>
      <c r="AE21" s="236"/>
      <c r="AF21" s="236"/>
      <c r="AG21" s="237"/>
      <c r="AH21" s="237"/>
      <c r="AI21" s="237"/>
      <c r="AJ21" s="237"/>
      <c r="AK21" s="237"/>
      <c r="AL21" s="237"/>
      <c r="AM21" s="237"/>
      <c r="AN21" s="237"/>
      <c r="AO21" s="237"/>
      <c r="AP21" s="237"/>
      <c r="AQ21" s="237"/>
      <c r="AR21" s="237"/>
      <c r="AS21" s="237"/>
      <c r="AT21" s="237"/>
      <c r="AU21" s="237"/>
      <c r="AV21" s="237"/>
      <c r="AW21" s="237"/>
    </row>
    <row r="22" spans="1:49" s="199" customFormat="1" x14ac:dyDescent="0.2">
      <c r="A22" s="241" t="s">
        <v>401</v>
      </c>
      <c r="B22" s="236">
        <v>0</v>
      </c>
      <c r="C22" s="236">
        <v>0</v>
      </c>
      <c r="D22" s="236">
        <v>0</v>
      </c>
      <c r="E22" s="236">
        <v>0</v>
      </c>
      <c r="F22" s="236">
        <v>0</v>
      </c>
      <c r="G22" s="236">
        <v>0</v>
      </c>
      <c r="H22" s="236">
        <v>0</v>
      </c>
      <c r="I22" s="237">
        <v>0</v>
      </c>
      <c r="J22" s="237">
        <v>0</v>
      </c>
      <c r="K22" s="237">
        <v>0</v>
      </c>
      <c r="L22" s="237">
        <v>0</v>
      </c>
      <c r="M22" s="237">
        <v>0</v>
      </c>
      <c r="N22" s="237">
        <v>0</v>
      </c>
      <c r="O22" s="237">
        <v>0</v>
      </c>
      <c r="P22" s="237">
        <v>0</v>
      </c>
      <c r="Q22" s="237">
        <v>0</v>
      </c>
      <c r="R22" s="237">
        <v>0</v>
      </c>
      <c r="S22" s="237">
        <v>0</v>
      </c>
      <c r="T22" s="237">
        <v>0</v>
      </c>
      <c r="U22" s="240">
        <v>0</v>
      </c>
      <c r="V22" s="237">
        <v>0</v>
      </c>
      <c r="W22" s="237">
        <v>0</v>
      </c>
      <c r="X22" s="237">
        <v>0</v>
      </c>
      <c r="Y22" s="237">
        <v>0</v>
      </c>
      <c r="Z22" s="236">
        <v>0</v>
      </c>
      <c r="AA22" s="497">
        <v>0</v>
      </c>
      <c r="AB22" s="236">
        <v>0</v>
      </c>
      <c r="AC22" s="236">
        <v>0</v>
      </c>
      <c r="AD22" s="236">
        <v>0</v>
      </c>
      <c r="AE22" s="236"/>
      <c r="AF22" s="236"/>
      <c r="AG22" s="237"/>
      <c r="AH22" s="237"/>
      <c r="AI22" s="237"/>
      <c r="AJ22" s="237"/>
      <c r="AK22" s="237"/>
      <c r="AL22" s="237"/>
      <c r="AM22" s="237"/>
      <c r="AN22" s="237"/>
      <c r="AO22" s="237"/>
      <c r="AP22" s="237"/>
      <c r="AQ22" s="237"/>
      <c r="AR22" s="237"/>
      <c r="AS22" s="240"/>
      <c r="AT22" s="237"/>
      <c r="AU22" s="237"/>
      <c r="AV22" s="237"/>
      <c r="AW22" s="237"/>
    </row>
    <row r="23" spans="1:49" s="199" customFormat="1" ht="38.25" x14ac:dyDescent="0.2">
      <c r="A23" s="658" t="s">
        <v>525</v>
      </c>
      <c r="B23" s="498">
        <v>146</v>
      </c>
      <c r="C23" s="498">
        <v>144</v>
      </c>
      <c r="D23" s="498">
        <v>142</v>
      </c>
      <c r="E23" s="498">
        <v>76</v>
      </c>
      <c r="F23" s="498">
        <v>52</v>
      </c>
      <c r="G23" s="498">
        <v>130</v>
      </c>
      <c r="H23" s="498">
        <v>81</v>
      </c>
      <c r="I23" s="499">
        <v>13</v>
      </c>
      <c r="J23" s="499">
        <v>22</v>
      </c>
      <c r="K23" s="499">
        <v>17</v>
      </c>
      <c r="L23" s="499">
        <v>31</v>
      </c>
      <c r="M23" s="499">
        <v>25</v>
      </c>
      <c r="N23" s="499">
        <v>214</v>
      </c>
      <c r="O23" s="499">
        <v>178</v>
      </c>
      <c r="P23" s="499">
        <v>198</v>
      </c>
      <c r="Q23" s="499">
        <v>55</v>
      </c>
      <c r="R23" s="499">
        <v>55</v>
      </c>
      <c r="S23" s="499">
        <v>27</v>
      </c>
      <c r="T23" s="499">
        <v>38</v>
      </c>
      <c r="U23" s="499">
        <v>33</v>
      </c>
      <c r="V23" s="499">
        <v>80</v>
      </c>
      <c r="W23" s="499">
        <v>106</v>
      </c>
      <c r="X23" s="499">
        <v>41</v>
      </c>
      <c r="Y23" s="499">
        <v>33</v>
      </c>
      <c r="Z23" s="498">
        <v>78</v>
      </c>
      <c r="AA23" s="500">
        <v>50</v>
      </c>
      <c r="AB23" s="498">
        <v>52</v>
      </c>
      <c r="AC23" s="498">
        <v>76</v>
      </c>
      <c r="AD23" s="498">
        <v>47</v>
      </c>
      <c r="AE23" s="498"/>
      <c r="AF23" s="498"/>
      <c r="AG23" s="499"/>
      <c r="AH23" s="499"/>
      <c r="AI23" s="499"/>
      <c r="AJ23" s="499"/>
      <c r="AK23" s="499"/>
      <c r="AL23" s="499"/>
      <c r="AM23" s="499"/>
      <c r="AN23" s="499"/>
      <c r="AO23" s="499"/>
      <c r="AP23" s="499"/>
      <c r="AQ23" s="499"/>
      <c r="AR23" s="499"/>
      <c r="AS23" s="499"/>
      <c r="AT23" s="499"/>
      <c r="AU23" s="499"/>
      <c r="AV23" s="499"/>
      <c r="AW23" s="499"/>
    </row>
    <row r="24" spans="1:49" s="199" customFormat="1" x14ac:dyDescent="0.2"/>
    <row r="25" spans="1:49" s="199" customFormat="1" x14ac:dyDescent="0.2">
      <c r="A25" s="200" t="s">
        <v>404</v>
      </c>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344"/>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row>
    <row r="26" spans="1:49" s="199" customFormat="1" x14ac:dyDescent="0.2">
      <c r="A26" s="239"/>
      <c r="B26" s="174">
        <v>42095</v>
      </c>
      <c r="C26" s="174">
        <v>42125</v>
      </c>
      <c r="D26" s="174">
        <v>42156</v>
      </c>
      <c r="E26" s="174">
        <v>42186</v>
      </c>
      <c r="F26" s="174">
        <v>42217</v>
      </c>
      <c r="G26" s="174">
        <v>42248</v>
      </c>
      <c r="H26" s="174">
        <v>42278</v>
      </c>
      <c r="I26" s="175">
        <v>42309</v>
      </c>
      <c r="J26" s="175">
        <v>42339</v>
      </c>
      <c r="K26" s="175">
        <v>42370</v>
      </c>
      <c r="L26" s="175">
        <v>42401</v>
      </c>
      <c r="M26" s="175">
        <v>42430</v>
      </c>
      <c r="N26" s="175">
        <v>42461</v>
      </c>
      <c r="O26" s="175">
        <v>42491</v>
      </c>
      <c r="P26" s="175">
        <v>42522</v>
      </c>
      <c r="Q26" s="175">
        <v>42552</v>
      </c>
      <c r="R26" s="175">
        <v>42583</v>
      </c>
      <c r="S26" s="175">
        <v>42614</v>
      </c>
      <c r="T26" s="175">
        <v>42644</v>
      </c>
      <c r="U26" s="109">
        <v>42675</v>
      </c>
      <c r="V26" s="175">
        <v>42705</v>
      </c>
      <c r="W26" s="175">
        <v>42736</v>
      </c>
      <c r="X26" s="175">
        <v>42767</v>
      </c>
      <c r="Y26" s="175">
        <v>42795</v>
      </c>
      <c r="Z26" s="175">
        <v>42826</v>
      </c>
      <c r="AA26" s="219">
        <v>42856</v>
      </c>
      <c r="AB26" s="175">
        <v>42887</v>
      </c>
      <c r="AC26" s="219">
        <v>42917</v>
      </c>
      <c r="AD26" s="175">
        <v>42948</v>
      </c>
      <c r="AE26" s="174"/>
      <c r="AF26" s="174"/>
      <c r="AG26" s="175"/>
      <c r="AH26" s="175"/>
      <c r="AI26" s="175"/>
      <c r="AJ26" s="175"/>
      <c r="AK26" s="175"/>
      <c r="AL26" s="175"/>
      <c r="AM26" s="175"/>
      <c r="AN26" s="175"/>
      <c r="AO26" s="175"/>
      <c r="AP26" s="175"/>
      <c r="AQ26" s="175"/>
      <c r="AR26" s="175"/>
      <c r="AS26" s="109"/>
      <c r="AT26" s="175"/>
      <c r="AU26" s="175"/>
      <c r="AV26" s="175"/>
      <c r="AW26" s="175"/>
    </row>
    <row r="27" spans="1:49" s="199" customFormat="1" ht="25.5" x14ac:dyDescent="0.2">
      <c r="A27" s="381" t="s">
        <v>268</v>
      </c>
      <c r="B27" s="483">
        <v>0</v>
      </c>
      <c r="C27" s="483">
        <v>0</v>
      </c>
      <c r="D27" s="483">
        <v>0</v>
      </c>
      <c r="E27" s="483">
        <v>0</v>
      </c>
      <c r="F27" s="483">
        <v>0</v>
      </c>
      <c r="G27" s="483">
        <v>0</v>
      </c>
      <c r="H27" s="384">
        <v>11</v>
      </c>
      <c r="I27" s="366">
        <v>22</v>
      </c>
      <c r="J27" s="366">
        <v>29</v>
      </c>
      <c r="K27" s="366">
        <v>55</v>
      </c>
      <c r="L27" s="366">
        <v>27</v>
      </c>
      <c r="M27" s="366">
        <v>29</v>
      </c>
      <c r="N27" s="366">
        <v>47</v>
      </c>
      <c r="O27" s="366">
        <v>26</v>
      </c>
      <c r="P27" s="366">
        <v>6</v>
      </c>
      <c r="Q27" s="366">
        <v>0</v>
      </c>
      <c r="R27" s="366">
        <v>4</v>
      </c>
      <c r="S27" s="366">
        <v>0</v>
      </c>
      <c r="T27" s="366">
        <v>0</v>
      </c>
      <c r="U27" s="385">
        <v>0</v>
      </c>
      <c r="V27" s="366">
        <v>4</v>
      </c>
      <c r="W27" s="366">
        <v>11</v>
      </c>
      <c r="X27" s="366">
        <v>22</v>
      </c>
      <c r="Y27" s="366">
        <v>11</v>
      </c>
      <c r="Z27" s="384">
        <v>5</v>
      </c>
      <c r="AA27" s="482">
        <v>5</v>
      </c>
      <c r="AB27" s="384">
        <v>4</v>
      </c>
      <c r="AC27" s="384">
        <v>0</v>
      </c>
      <c r="AD27" s="384">
        <v>4</v>
      </c>
      <c r="AE27" s="384"/>
      <c r="AF27" s="384"/>
      <c r="AG27" s="366"/>
      <c r="AH27" s="366"/>
      <c r="AI27" s="366"/>
      <c r="AJ27" s="366"/>
      <c r="AK27" s="366"/>
      <c r="AL27" s="366"/>
      <c r="AM27" s="366"/>
      <c r="AN27" s="366"/>
      <c r="AO27" s="366"/>
      <c r="AP27" s="366"/>
      <c r="AQ27" s="366"/>
      <c r="AR27" s="366"/>
      <c r="AS27" s="385"/>
      <c r="AT27" s="366"/>
      <c r="AU27" s="366"/>
      <c r="AV27" s="366"/>
      <c r="AW27" s="366"/>
    </row>
    <row r="28" spans="1:49" s="199" customFormat="1" x14ac:dyDescent="0.2"/>
    <row r="29" spans="1:49" s="199" customFormat="1" x14ac:dyDescent="0.2">
      <c r="A29" s="554" t="s">
        <v>651</v>
      </c>
    </row>
    <row r="30" spans="1:49" s="199" customFormat="1" x14ac:dyDescent="0.2">
      <c r="A30" s="203"/>
      <c r="B30" s="174">
        <v>42095</v>
      </c>
      <c r="C30" s="174">
        <v>42125</v>
      </c>
      <c r="D30" s="174">
        <v>42156</v>
      </c>
      <c r="E30" s="174">
        <v>42186</v>
      </c>
      <c r="F30" s="174">
        <v>42217</v>
      </c>
      <c r="G30" s="174">
        <v>42248</v>
      </c>
      <c r="H30" s="174">
        <v>42278</v>
      </c>
      <c r="I30" s="175">
        <v>42309</v>
      </c>
      <c r="J30" s="175">
        <v>42339</v>
      </c>
      <c r="K30" s="175">
        <v>42370</v>
      </c>
      <c r="L30" s="175">
        <v>42401</v>
      </c>
      <c r="M30" s="175">
        <v>42430</v>
      </c>
      <c r="N30" s="175">
        <v>42461</v>
      </c>
      <c r="O30" s="175">
        <v>42491</v>
      </c>
      <c r="P30" s="175">
        <v>42522</v>
      </c>
      <c r="Q30" s="175">
        <v>42552</v>
      </c>
      <c r="R30" s="175">
        <v>42583</v>
      </c>
      <c r="S30" s="175">
        <v>42614</v>
      </c>
      <c r="T30" s="175">
        <v>42644</v>
      </c>
      <c r="U30" s="109">
        <v>42675</v>
      </c>
      <c r="V30" s="175">
        <v>42705</v>
      </c>
      <c r="W30" s="175">
        <v>42736</v>
      </c>
      <c r="X30" s="175">
        <v>42767</v>
      </c>
      <c r="Y30" s="175">
        <v>42795</v>
      </c>
      <c r="Z30" s="175">
        <v>42826</v>
      </c>
      <c r="AA30" s="219">
        <v>42856</v>
      </c>
      <c r="AB30" s="175">
        <v>42887</v>
      </c>
      <c r="AC30" s="219">
        <v>42917</v>
      </c>
      <c r="AD30" s="175">
        <v>42948</v>
      </c>
      <c r="AE30" s="174"/>
      <c r="AF30" s="174"/>
      <c r="AG30" s="175"/>
      <c r="AH30" s="175"/>
      <c r="AI30" s="175"/>
      <c r="AJ30" s="175"/>
      <c r="AK30" s="175"/>
      <c r="AL30" s="175"/>
      <c r="AM30" s="175"/>
      <c r="AN30" s="175"/>
      <c r="AO30" s="175"/>
      <c r="AP30" s="175"/>
      <c r="AQ30" s="175"/>
      <c r="AR30" s="175"/>
      <c r="AS30" s="109"/>
      <c r="AT30" s="175"/>
      <c r="AU30" s="175"/>
      <c r="AV30" s="175"/>
      <c r="AW30" s="175"/>
    </row>
    <row r="31" spans="1:49" s="199" customFormat="1" ht="25.5" x14ac:dyDescent="0.2">
      <c r="A31" s="386" t="s">
        <v>261</v>
      </c>
      <c r="B31" s="387">
        <f>B15+B23+B27</f>
        <v>1594</v>
      </c>
      <c r="C31" s="387">
        <f t="shared" ref="C31:AC31" si="0">C15+C23+C27</f>
        <v>1716</v>
      </c>
      <c r="D31" s="387">
        <f t="shared" si="0"/>
        <v>1994</v>
      </c>
      <c r="E31" s="387">
        <f t="shared" si="0"/>
        <v>2428</v>
      </c>
      <c r="F31" s="387">
        <f t="shared" si="0"/>
        <v>2320</v>
      </c>
      <c r="G31" s="387">
        <f t="shared" si="0"/>
        <v>2310</v>
      </c>
      <c r="H31" s="387">
        <f t="shared" si="0"/>
        <v>2398</v>
      </c>
      <c r="I31" s="387">
        <f t="shared" si="0"/>
        <v>1383</v>
      </c>
      <c r="J31" s="387">
        <f t="shared" si="0"/>
        <v>1213</v>
      </c>
      <c r="K31" s="387">
        <f t="shared" si="0"/>
        <v>1195</v>
      </c>
      <c r="L31" s="387">
        <f t="shared" si="0"/>
        <v>826</v>
      </c>
      <c r="M31" s="387">
        <f t="shared" si="0"/>
        <v>915</v>
      </c>
      <c r="N31" s="387">
        <f t="shared" si="0"/>
        <v>1513</v>
      </c>
      <c r="O31" s="387">
        <f t="shared" si="0"/>
        <v>1549</v>
      </c>
      <c r="P31" s="387">
        <f t="shared" si="0"/>
        <v>1640</v>
      </c>
      <c r="Q31" s="387">
        <f t="shared" si="0"/>
        <v>1810</v>
      </c>
      <c r="R31" s="387">
        <f t="shared" si="0"/>
        <v>1887</v>
      </c>
      <c r="S31" s="387">
        <f t="shared" si="0"/>
        <v>2047</v>
      </c>
      <c r="T31" s="387">
        <f t="shared" si="0"/>
        <v>2308</v>
      </c>
      <c r="U31" s="387">
        <f t="shared" si="0"/>
        <v>2308</v>
      </c>
      <c r="V31" s="387">
        <f t="shared" si="0"/>
        <v>2250</v>
      </c>
      <c r="W31" s="387">
        <f t="shared" si="0"/>
        <v>2439</v>
      </c>
      <c r="X31" s="387">
        <f t="shared" si="0"/>
        <v>2209</v>
      </c>
      <c r="Y31" s="387">
        <f t="shared" si="0"/>
        <v>2187</v>
      </c>
      <c r="Z31" s="387">
        <f t="shared" si="0"/>
        <v>2561</v>
      </c>
      <c r="AA31" s="387">
        <f t="shared" si="0"/>
        <v>2787</v>
      </c>
      <c r="AB31" s="387">
        <f t="shared" si="0"/>
        <v>3038</v>
      </c>
      <c r="AC31" s="387">
        <f t="shared" si="0"/>
        <v>3329</v>
      </c>
      <c r="AD31" s="387">
        <v>3553</v>
      </c>
      <c r="AE31" s="387"/>
      <c r="AF31" s="387"/>
      <c r="AG31" s="387"/>
      <c r="AH31" s="387"/>
      <c r="AI31" s="387"/>
      <c r="AJ31" s="387"/>
      <c r="AK31" s="387"/>
      <c r="AL31" s="387"/>
      <c r="AM31" s="387"/>
      <c r="AN31" s="387"/>
      <c r="AO31" s="387"/>
      <c r="AP31" s="387"/>
      <c r="AQ31" s="387"/>
      <c r="AR31" s="387"/>
      <c r="AS31" s="387"/>
      <c r="AT31" s="387"/>
      <c r="AU31" s="387"/>
      <c r="AV31" s="387"/>
      <c r="AW31" s="387"/>
    </row>
    <row r="32" spans="1:49" s="199" customFormat="1" x14ac:dyDescent="0.2"/>
    <row r="33" spans="1:49" ht="15.75" x14ac:dyDescent="0.2">
      <c r="A33" s="620" t="s">
        <v>661</v>
      </c>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226"/>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row>
    <row r="34" spans="1:49" x14ac:dyDescent="0.2">
      <c r="A34" s="137" t="s">
        <v>662</v>
      </c>
      <c r="N34" s="200" t="s">
        <v>666</v>
      </c>
    </row>
    <row r="35" spans="1:49" x14ac:dyDescent="0.2">
      <c r="A35" s="137"/>
    </row>
    <row r="59" spans="1:14" x14ac:dyDescent="0.2">
      <c r="A59" s="200" t="s">
        <v>663</v>
      </c>
      <c r="N59" s="200" t="s">
        <v>664</v>
      </c>
    </row>
    <row r="84" spans="1:14" ht="15.75" x14ac:dyDescent="0.2">
      <c r="A84" s="617" t="s">
        <v>652</v>
      </c>
    </row>
    <row r="85" spans="1:14" x14ac:dyDescent="0.2">
      <c r="A85" s="200" t="s">
        <v>666</v>
      </c>
    </row>
    <row r="86" spans="1:14" x14ac:dyDescent="0.2">
      <c r="A86" s="462"/>
      <c r="N86" s="200" t="s">
        <v>665</v>
      </c>
    </row>
    <row r="87" spans="1:14" x14ac:dyDescent="0.2">
      <c r="A87" s="462"/>
    </row>
    <row r="88" spans="1:14" x14ac:dyDescent="0.2">
      <c r="A88" s="462"/>
    </row>
    <row r="89" spans="1:14" x14ac:dyDescent="0.2">
      <c r="A89" s="462"/>
    </row>
    <row r="90" spans="1:14" x14ac:dyDescent="0.2">
      <c r="A90" s="462"/>
    </row>
    <row r="91" spans="1:14" x14ac:dyDescent="0.2">
      <c r="A91" s="462"/>
    </row>
    <row r="92" spans="1:14" x14ac:dyDescent="0.2">
      <c r="A92" s="462"/>
    </row>
    <row r="93" spans="1:14" x14ac:dyDescent="0.2">
      <c r="A93" s="462"/>
    </row>
    <row r="94" spans="1:14" x14ac:dyDescent="0.2">
      <c r="A94" s="462"/>
    </row>
    <row r="95" spans="1:14" x14ac:dyDescent="0.2">
      <c r="A95" s="462"/>
    </row>
    <row r="96" spans="1:14" x14ac:dyDescent="0.2">
      <c r="A96" s="462"/>
    </row>
    <row r="97" spans="1:14" x14ac:dyDescent="0.2">
      <c r="A97" s="462"/>
    </row>
    <row r="98" spans="1:14" x14ac:dyDescent="0.2">
      <c r="A98" s="462"/>
    </row>
    <row r="99" spans="1:14" x14ac:dyDescent="0.2">
      <c r="A99" s="462"/>
    </row>
    <row r="100" spans="1:14" x14ac:dyDescent="0.2">
      <c r="A100" s="462"/>
    </row>
    <row r="101" spans="1:14" x14ac:dyDescent="0.2">
      <c r="A101" s="462"/>
    </row>
    <row r="102" spans="1:14" x14ac:dyDescent="0.2">
      <c r="A102" s="462"/>
    </row>
    <row r="103" spans="1:14" x14ac:dyDescent="0.2">
      <c r="A103" s="462"/>
    </row>
    <row r="104" spans="1:14" x14ac:dyDescent="0.2">
      <c r="A104" s="462"/>
    </row>
    <row r="105" spans="1:14" x14ac:dyDescent="0.2">
      <c r="A105" s="462"/>
    </row>
    <row r="106" spans="1:14" x14ac:dyDescent="0.2">
      <c r="A106" s="462"/>
    </row>
    <row r="107" spans="1:14" x14ac:dyDescent="0.2">
      <c r="A107" s="461"/>
    </row>
    <row r="108" spans="1:14" x14ac:dyDescent="0.2">
      <c r="A108" s="461"/>
    </row>
    <row r="109" spans="1:14" x14ac:dyDescent="0.2">
      <c r="A109" s="461"/>
    </row>
    <row r="110" spans="1:14" x14ac:dyDescent="0.2">
      <c r="A110" s="461"/>
    </row>
    <row r="111" spans="1:14" x14ac:dyDescent="0.2">
      <c r="A111" s="200" t="s">
        <v>667</v>
      </c>
      <c r="N111" s="200" t="s">
        <v>668</v>
      </c>
    </row>
    <row r="112" spans="1:14" x14ac:dyDescent="0.2">
      <c r="A112" s="461"/>
    </row>
    <row r="113" spans="1:1" x14ac:dyDescent="0.2">
      <c r="A113" s="461"/>
    </row>
    <row r="114" spans="1:1" x14ac:dyDescent="0.2">
      <c r="A114" s="461"/>
    </row>
    <row r="115" spans="1:1" x14ac:dyDescent="0.2">
      <c r="A115" s="461"/>
    </row>
    <row r="116" spans="1:1" x14ac:dyDescent="0.2">
      <c r="A116" s="461"/>
    </row>
    <row r="117" spans="1:1" x14ac:dyDescent="0.2">
      <c r="A117" s="461"/>
    </row>
    <row r="118" spans="1:1" x14ac:dyDescent="0.2">
      <c r="A118" s="461"/>
    </row>
    <row r="119" spans="1:1" x14ac:dyDescent="0.2">
      <c r="A119" s="461"/>
    </row>
    <row r="120" spans="1:1" x14ac:dyDescent="0.2">
      <c r="A120" s="461"/>
    </row>
    <row r="121" spans="1:1" x14ac:dyDescent="0.2">
      <c r="A121" s="461"/>
    </row>
    <row r="122" spans="1:1" x14ac:dyDescent="0.2">
      <c r="A122" s="461"/>
    </row>
    <row r="123" spans="1:1" x14ac:dyDescent="0.2">
      <c r="A123" s="461"/>
    </row>
    <row r="124" spans="1:1" x14ac:dyDescent="0.2">
      <c r="A124" s="461"/>
    </row>
    <row r="125" spans="1:1" x14ac:dyDescent="0.2">
      <c r="A125" s="461"/>
    </row>
    <row r="126" spans="1:1" x14ac:dyDescent="0.2">
      <c r="A126" s="461"/>
    </row>
    <row r="127" spans="1:1" x14ac:dyDescent="0.2">
      <c r="A127" s="461"/>
    </row>
    <row r="128" spans="1:1" x14ac:dyDescent="0.2">
      <c r="A128" s="461"/>
    </row>
    <row r="129" spans="1:1" x14ac:dyDescent="0.2">
      <c r="A129" s="461"/>
    </row>
    <row r="130" spans="1:1" x14ac:dyDescent="0.2">
      <c r="A130" s="461"/>
    </row>
    <row r="131" spans="1:1" x14ac:dyDescent="0.2">
      <c r="A131" s="461"/>
    </row>
    <row r="132" spans="1:1" x14ac:dyDescent="0.2">
      <c r="A132" s="461"/>
    </row>
    <row r="133" spans="1:1" x14ac:dyDescent="0.2">
      <c r="A133" s="461"/>
    </row>
    <row r="134" spans="1:1" x14ac:dyDescent="0.2">
      <c r="A134" s="461"/>
    </row>
    <row r="135" spans="1:1" x14ac:dyDescent="0.2">
      <c r="A135" s="461"/>
    </row>
    <row r="136" spans="1:1" x14ac:dyDescent="0.2">
      <c r="A136" s="200" t="s">
        <v>669</v>
      </c>
    </row>
    <row r="137" spans="1:1" x14ac:dyDescent="0.2">
      <c r="A137" s="461"/>
    </row>
    <row r="138" spans="1:1" x14ac:dyDescent="0.2">
      <c r="A138" s="461"/>
    </row>
    <row r="139" spans="1:1" x14ac:dyDescent="0.2">
      <c r="A139" s="461"/>
    </row>
    <row r="140" spans="1:1" x14ac:dyDescent="0.2">
      <c r="A140" s="461"/>
    </row>
    <row r="141" spans="1:1" x14ac:dyDescent="0.2">
      <c r="A141" s="461"/>
    </row>
    <row r="142" spans="1:1" x14ac:dyDescent="0.2">
      <c r="A142" s="461"/>
    </row>
    <row r="143" spans="1:1" x14ac:dyDescent="0.2">
      <c r="A143" s="461"/>
    </row>
    <row r="144" spans="1:1" x14ac:dyDescent="0.2">
      <c r="A144" s="461"/>
    </row>
    <row r="145" spans="1:1" x14ac:dyDescent="0.2">
      <c r="A145" s="461"/>
    </row>
    <row r="146" spans="1:1" x14ac:dyDescent="0.2">
      <c r="A146" s="461"/>
    </row>
    <row r="147" spans="1:1" x14ac:dyDescent="0.2">
      <c r="A147" s="461"/>
    </row>
    <row r="148" spans="1:1" x14ac:dyDescent="0.2">
      <c r="A148" s="461"/>
    </row>
    <row r="149" spans="1:1" x14ac:dyDescent="0.2">
      <c r="A149" s="461"/>
    </row>
    <row r="150" spans="1:1" x14ac:dyDescent="0.2">
      <c r="A150" s="461"/>
    </row>
    <row r="151" spans="1:1" x14ac:dyDescent="0.2">
      <c r="A151" s="461"/>
    </row>
    <row r="152" spans="1:1" x14ac:dyDescent="0.2">
      <c r="A152" s="461"/>
    </row>
    <row r="153" spans="1:1" x14ac:dyDescent="0.2">
      <c r="A153" s="461"/>
    </row>
    <row r="154" spans="1:1" x14ac:dyDescent="0.2">
      <c r="A154" s="461"/>
    </row>
    <row r="155" spans="1:1" x14ac:dyDescent="0.2">
      <c r="A155" s="461"/>
    </row>
    <row r="156" spans="1:1" x14ac:dyDescent="0.2">
      <c r="A156" s="461"/>
    </row>
    <row r="157" spans="1:1" x14ac:dyDescent="0.2">
      <c r="A157" s="461"/>
    </row>
    <row r="158" spans="1:1" x14ac:dyDescent="0.2">
      <c r="A158" s="461"/>
    </row>
    <row r="159" spans="1:1" x14ac:dyDescent="0.2">
      <c r="A159" s="461"/>
    </row>
    <row r="160" spans="1:1" x14ac:dyDescent="0.2">
      <c r="A160" s="461"/>
    </row>
    <row r="161" spans="1:14" ht="15" x14ac:dyDescent="0.2">
      <c r="A161" s="618" t="s">
        <v>403</v>
      </c>
    </row>
    <row r="162" spans="1:14" x14ac:dyDescent="0.2">
      <c r="A162" s="137" t="s">
        <v>653</v>
      </c>
      <c r="N162" s="137" t="s">
        <v>654</v>
      </c>
    </row>
    <row r="163" spans="1:14" x14ac:dyDescent="0.2">
      <c r="A163" s="461"/>
    </row>
    <row r="164" spans="1:14" x14ac:dyDescent="0.2">
      <c r="A164" s="461"/>
    </row>
    <row r="165" spans="1:14" x14ac:dyDescent="0.2">
      <c r="A165" s="461"/>
    </row>
    <row r="166" spans="1:14" x14ac:dyDescent="0.2">
      <c r="A166" s="461"/>
    </row>
    <row r="167" spans="1:14" x14ac:dyDescent="0.2">
      <c r="A167" s="461"/>
    </row>
    <row r="168" spans="1:14" x14ac:dyDescent="0.2">
      <c r="A168" s="461"/>
    </row>
    <row r="169" spans="1:14" x14ac:dyDescent="0.2">
      <c r="A169" s="461"/>
    </row>
    <row r="170" spans="1:14" x14ac:dyDescent="0.2">
      <c r="A170" s="461"/>
    </row>
    <row r="171" spans="1:14" x14ac:dyDescent="0.2">
      <c r="A171" s="461"/>
    </row>
    <row r="172" spans="1:14" x14ac:dyDescent="0.2">
      <c r="A172" s="461"/>
    </row>
    <row r="173" spans="1:14" x14ac:dyDescent="0.2">
      <c r="A173" s="461"/>
    </row>
    <row r="174" spans="1:14" x14ac:dyDescent="0.2">
      <c r="A174" s="461"/>
    </row>
    <row r="175" spans="1:14" x14ac:dyDescent="0.2">
      <c r="A175" s="461"/>
    </row>
    <row r="176" spans="1:14" x14ac:dyDescent="0.2">
      <c r="A176" s="461"/>
    </row>
    <row r="177" spans="1:14" x14ac:dyDescent="0.2">
      <c r="A177" s="461"/>
    </row>
    <row r="178" spans="1:14" x14ac:dyDescent="0.2">
      <c r="A178" s="461"/>
    </row>
    <row r="179" spans="1:14" x14ac:dyDescent="0.2">
      <c r="A179" s="461"/>
    </row>
    <row r="180" spans="1:14" x14ac:dyDescent="0.2">
      <c r="A180" s="461"/>
    </row>
    <row r="181" spans="1:14" x14ac:dyDescent="0.2">
      <c r="A181" s="461"/>
    </row>
    <row r="182" spans="1:14" x14ac:dyDescent="0.2">
      <c r="A182" s="461"/>
    </row>
    <row r="183" spans="1:14" x14ac:dyDescent="0.2">
      <c r="A183" s="461"/>
    </row>
    <row r="184" spans="1:14" x14ac:dyDescent="0.2">
      <c r="A184" s="461"/>
    </row>
    <row r="185" spans="1:14" x14ac:dyDescent="0.2">
      <c r="A185" s="461"/>
    </row>
    <row r="186" spans="1:14" x14ac:dyDescent="0.2">
      <c r="A186" s="461"/>
    </row>
    <row r="187" spans="1:14" x14ac:dyDescent="0.2">
      <c r="A187" s="137" t="s">
        <v>655</v>
      </c>
      <c r="N187" s="137" t="s">
        <v>656</v>
      </c>
    </row>
    <row r="188" spans="1:14" x14ac:dyDescent="0.2">
      <c r="A188" s="461"/>
    </row>
    <row r="189" spans="1:14" x14ac:dyDescent="0.2">
      <c r="A189" s="461"/>
    </row>
    <row r="190" spans="1:14" x14ac:dyDescent="0.2">
      <c r="A190" s="461"/>
    </row>
    <row r="191" spans="1:14" x14ac:dyDescent="0.2">
      <c r="A191" s="461"/>
    </row>
    <row r="192" spans="1:14" x14ac:dyDescent="0.2">
      <c r="A192" s="461"/>
    </row>
    <row r="193" spans="1:1" x14ac:dyDescent="0.2">
      <c r="A193" s="461"/>
    </row>
    <row r="194" spans="1:1" x14ac:dyDescent="0.2">
      <c r="A194" s="461"/>
    </row>
    <row r="195" spans="1:1" x14ac:dyDescent="0.2">
      <c r="A195" s="461"/>
    </row>
    <row r="196" spans="1:1" x14ac:dyDescent="0.2">
      <c r="A196" s="461"/>
    </row>
    <row r="197" spans="1:1" x14ac:dyDescent="0.2">
      <c r="A197" s="461"/>
    </row>
    <row r="198" spans="1:1" x14ac:dyDescent="0.2">
      <c r="A198" s="461"/>
    </row>
    <row r="199" spans="1:1" x14ac:dyDescent="0.2">
      <c r="A199" s="461"/>
    </row>
    <row r="200" spans="1:1" x14ac:dyDescent="0.2">
      <c r="A200" s="461"/>
    </row>
    <row r="201" spans="1:1" x14ac:dyDescent="0.2">
      <c r="A201" s="461"/>
    </row>
    <row r="202" spans="1:1" x14ac:dyDescent="0.2">
      <c r="A202" s="461"/>
    </row>
    <row r="203" spans="1:1" x14ac:dyDescent="0.2">
      <c r="A203" s="461"/>
    </row>
    <row r="204" spans="1:1" x14ac:dyDescent="0.2">
      <c r="A204" s="461"/>
    </row>
    <row r="205" spans="1:1" x14ac:dyDescent="0.2">
      <c r="A205" s="461"/>
    </row>
    <row r="206" spans="1:1" x14ac:dyDescent="0.2">
      <c r="A206" s="461"/>
    </row>
    <row r="207" spans="1:1" x14ac:dyDescent="0.2">
      <c r="A207" s="461"/>
    </row>
    <row r="208" spans="1:1" x14ac:dyDescent="0.2">
      <c r="A208" s="461"/>
    </row>
    <row r="209" spans="1:62" x14ac:dyDescent="0.2">
      <c r="A209" s="461"/>
    </row>
    <row r="210" spans="1:62" x14ac:dyDescent="0.2">
      <c r="A210" s="461"/>
    </row>
    <row r="211" spans="1:62" x14ac:dyDescent="0.2">
      <c r="A211" s="461"/>
    </row>
    <row r="212" spans="1:62" x14ac:dyDescent="0.2">
      <c r="A212" s="137" t="s">
        <v>657</v>
      </c>
      <c r="C212" s="155" t="s">
        <v>660</v>
      </c>
    </row>
    <row r="213" spans="1:62" x14ac:dyDescent="0.2">
      <c r="A213" s="461"/>
    </row>
    <row r="214" spans="1:62" x14ac:dyDescent="0.2">
      <c r="A214" s="461"/>
    </row>
    <row r="215" spans="1:62" x14ac:dyDescent="0.2">
      <c r="A215" s="461"/>
    </row>
    <row r="216" spans="1:62" x14ac:dyDescent="0.2">
      <c r="A216" s="461"/>
    </row>
    <row r="218" spans="1:62" x14ac:dyDescent="0.2">
      <c r="BG218" s="451"/>
      <c r="BH218" s="199"/>
      <c r="BI218" s="199"/>
      <c r="BJ218" s="450"/>
    </row>
    <row r="237" spans="1:1" ht="15" x14ac:dyDescent="0.25">
      <c r="A237" s="456" t="s">
        <v>658</v>
      </c>
    </row>
    <row r="238" spans="1:1" x14ac:dyDescent="0.2">
      <c r="A238" s="137" t="s">
        <v>659</v>
      </c>
    </row>
    <row r="263" spans="1:49" s="691" customFormat="1" x14ac:dyDescent="0.2"/>
    <row r="264" spans="1:49" s="683" customFormat="1" x14ac:dyDescent="0.2">
      <c r="A264" s="674" t="s">
        <v>398</v>
      </c>
    </row>
    <row r="265" spans="1:49" s="683" customFormat="1" x14ac:dyDescent="0.2">
      <c r="A265" s="696"/>
      <c r="B265" s="697">
        <v>42095</v>
      </c>
      <c r="C265" s="697">
        <v>42125</v>
      </c>
      <c r="D265" s="697">
        <v>42156</v>
      </c>
      <c r="E265" s="697">
        <v>42186</v>
      </c>
      <c r="F265" s="697">
        <v>42217</v>
      </c>
      <c r="G265" s="697">
        <v>42248</v>
      </c>
      <c r="H265" s="697">
        <v>42278</v>
      </c>
      <c r="I265" s="698">
        <v>42309</v>
      </c>
      <c r="J265" s="698">
        <v>42339</v>
      </c>
      <c r="K265" s="698">
        <v>42370</v>
      </c>
      <c r="L265" s="698">
        <v>42401</v>
      </c>
      <c r="M265" s="698">
        <v>42430</v>
      </c>
      <c r="N265" s="698">
        <v>42461</v>
      </c>
      <c r="O265" s="698">
        <v>42491</v>
      </c>
      <c r="P265" s="698">
        <v>42522</v>
      </c>
      <c r="Q265" s="698">
        <v>42552</v>
      </c>
      <c r="R265" s="698">
        <v>42583</v>
      </c>
      <c r="S265" s="698">
        <v>42614</v>
      </c>
      <c r="T265" s="698">
        <v>42644</v>
      </c>
      <c r="U265" s="698">
        <v>42675</v>
      </c>
      <c r="V265" s="698">
        <v>42705</v>
      </c>
      <c r="W265" s="698">
        <v>42736</v>
      </c>
      <c r="X265" s="698">
        <v>42767</v>
      </c>
      <c r="Y265" s="698">
        <v>42795</v>
      </c>
      <c r="Z265" s="697">
        <v>42826</v>
      </c>
      <c r="AA265" s="697">
        <v>42856</v>
      </c>
      <c r="AB265" s="697">
        <v>42887</v>
      </c>
      <c r="AC265" s="697">
        <v>42917</v>
      </c>
      <c r="AD265" s="697">
        <v>42948</v>
      </c>
      <c r="AE265" s="697"/>
      <c r="AF265" s="697"/>
      <c r="AG265" s="698"/>
      <c r="AH265" s="698"/>
      <c r="AI265" s="698"/>
      <c r="AJ265" s="698"/>
      <c r="AK265" s="698"/>
      <c r="AL265" s="698"/>
      <c r="AM265" s="698"/>
      <c r="AN265" s="698"/>
      <c r="AO265" s="698"/>
      <c r="AP265" s="698"/>
      <c r="AQ265" s="698"/>
      <c r="AR265" s="698"/>
      <c r="AS265" s="698"/>
      <c r="AT265" s="698"/>
      <c r="AU265" s="698"/>
      <c r="AV265" s="698"/>
      <c r="AW265" s="698"/>
    </row>
    <row r="266" spans="1:49" s="683" customFormat="1" x14ac:dyDescent="0.2">
      <c r="A266" s="693" t="s">
        <v>394</v>
      </c>
      <c r="B266" s="692">
        <f t="shared" ref="B266:AD266" si="1">B11</f>
        <v>654</v>
      </c>
      <c r="C266" s="692">
        <f t="shared" si="1"/>
        <v>761</v>
      </c>
      <c r="D266" s="692">
        <f t="shared" si="1"/>
        <v>841</v>
      </c>
      <c r="E266" s="692">
        <f t="shared" si="1"/>
        <v>978</v>
      </c>
      <c r="F266" s="692">
        <f t="shared" si="1"/>
        <v>846</v>
      </c>
      <c r="G266" s="692">
        <f t="shared" si="1"/>
        <v>778</v>
      </c>
      <c r="H266" s="692">
        <f t="shared" si="1"/>
        <v>850</v>
      </c>
      <c r="I266" s="692">
        <f t="shared" si="1"/>
        <v>592</v>
      </c>
      <c r="J266" s="692">
        <f t="shared" si="1"/>
        <v>497</v>
      </c>
      <c r="K266" s="692">
        <f t="shared" si="1"/>
        <v>504</v>
      </c>
      <c r="L266" s="692">
        <f t="shared" si="1"/>
        <v>389</v>
      </c>
      <c r="M266" s="692">
        <f t="shared" si="1"/>
        <v>433</v>
      </c>
      <c r="N266" s="692">
        <f t="shared" si="1"/>
        <v>552</v>
      </c>
      <c r="O266" s="692">
        <f t="shared" si="1"/>
        <v>567</v>
      </c>
      <c r="P266" s="692">
        <f t="shared" si="1"/>
        <v>620</v>
      </c>
      <c r="Q266" s="692">
        <f t="shared" si="1"/>
        <v>730</v>
      </c>
      <c r="R266" s="692">
        <f t="shared" si="1"/>
        <v>710</v>
      </c>
      <c r="S266" s="692">
        <f t="shared" si="1"/>
        <v>792</v>
      </c>
      <c r="T266" s="692">
        <f t="shared" si="1"/>
        <v>922</v>
      </c>
      <c r="U266" s="692">
        <f t="shared" si="1"/>
        <v>873</v>
      </c>
      <c r="V266" s="692">
        <f t="shared" si="1"/>
        <v>786</v>
      </c>
      <c r="W266" s="692">
        <f t="shared" si="1"/>
        <v>807</v>
      </c>
      <c r="X266" s="692">
        <f t="shared" si="1"/>
        <v>758</v>
      </c>
      <c r="Y266" s="692">
        <f t="shared" si="1"/>
        <v>668</v>
      </c>
      <c r="Z266" s="692">
        <f t="shared" si="1"/>
        <v>774</v>
      </c>
      <c r="AA266" s="692">
        <f t="shared" si="1"/>
        <v>871</v>
      </c>
      <c r="AB266" s="692">
        <f t="shared" si="1"/>
        <v>992</v>
      </c>
      <c r="AC266" s="692">
        <f t="shared" si="1"/>
        <v>1120</v>
      </c>
      <c r="AD266" s="692">
        <f t="shared" si="1"/>
        <v>1225</v>
      </c>
      <c r="AE266" s="692"/>
      <c r="AF266" s="692"/>
      <c r="AG266" s="694"/>
      <c r="AH266" s="694"/>
      <c r="AI266" s="694"/>
      <c r="AJ266" s="694"/>
      <c r="AK266" s="694"/>
      <c r="AL266" s="694"/>
      <c r="AM266" s="694"/>
      <c r="AN266" s="694"/>
      <c r="AO266" s="694"/>
      <c r="AP266" s="694"/>
      <c r="AQ266" s="694"/>
      <c r="AR266" s="694"/>
      <c r="AS266" s="694"/>
      <c r="AT266" s="694"/>
      <c r="AU266" s="694"/>
      <c r="AV266" s="694"/>
      <c r="AW266" s="694"/>
    </row>
    <row r="267" spans="1:49" s="683" customFormat="1" x14ac:dyDescent="0.2">
      <c r="A267" s="693" t="s">
        <v>393</v>
      </c>
      <c r="B267" s="692">
        <f t="shared" ref="B267:AD267" si="2">B12</f>
        <v>285</v>
      </c>
      <c r="C267" s="692">
        <f t="shared" si="2"/>
        <v>303</v>
      </c>
      <c r="D267" s="692">
        <f t="shared" si="2"/>
        <v>421</v>
      </c>
      <c r="E267" s="692">
        <f t="shared" si="2"/>
        <v>654</v>
      </c>
      <c r="F267" s="692">
        <f t="shared" si="2"/>
        <v>674</v>
      </c>
      <c r="G267" s="692">
        <f t="shared" si="2"/>
        <v>680</v>
      </c>
      <c r="H267" s="692">
        <f t="shared" si="2"/>
        <v>639</v>
      </c>
      <c r="I267" s="692">
        <f t="shared" si="2"/>
        <v>406</v>
      </c>
      <c r="J267" s="692">
        <f t="shared" si="2"/>
        <v>457</v>
      </c>
      <c r="K267" s="692">
        <f t="shared" si="2"/>
        <v>418</v>
      </c>
      <c r="L267" s="692">
        <f t="shared" si="2"/>
        <v>210</v>
      </c>
      <c r="M267" s="692">
        <f t="shared" si="2"/>
        <v>229</v>
      </c>
      <c r="N267" s="692">
        <f t="shared" si="2"/>
        <v>448</v>
      </c>
      <c r="O267" s="692">
        <f t="shared" si="2"/>
        <v>507</v>
      </c>
      <c r="P267" s="692">
        <f t="shared" si="2"/>
        <v>568</v>
      </c>
      <c r="Q267" s="692">
        <f t="shared" si="2"/>
        <v>682</v>
      </c>
      <c r="R267" s="692">
        <f t="shared" si="2"/>
        <v>716</v>
      </c>
      <c r="S267" s="692">
        <f t="shared" si="2"/>
        <v>742</v>
      </c>
      <c r="T267" s="692">
        <f t="shared" si="2"/>
        <v>767</v>
      </c>
      <c r="U267" s="692">
        <f t="shared" si="2"/>
        <v>780</v>
      </c>
      <c r="V267" s="692">
        <f t="shared" si="2"/>
        <v>746</v>
      </c>
      <c r="W267" s="692">
        <f t="shared" si="2"/>
        <v>728</v>
      </c>
      <c r="X267" s="692">
        <f t="shared" si="2"/>
        <v>660</v>
      </c>
      <c r="Y267" s="692">
        <f t="shared" si="2"/>
        <v>669</v>
      </c>
      <c r="Z267" s="692">
        <f t="shared" si="2"/>
        <v>762</v>
      </c>
      <c r="AA267" s="692">
        <f t="shared" si="2"/>
        <v>835</v>
      </c>
      <c r="AB267" s="692">
        <f t="shared" si="2"/>
        <v>846</v>
      </c>
      <c r="AC267" s="692">
        <f t="shared" si="2"/>
        <v>961</v>
      </c>
      <c r="AD267" s="692">
        <f t="shared" si="2"/>
        <v>1065</v>
      </c>
      <c r="AE267" s="692"/>
      <c r="AF267" s="692"/>
      <c r="AG267" s="694"/>
      <c r="AH267" s="694"/>
      <c r="AI267" s="694"/>
      <c r="AJ267" s="694"/>
      <c r="AK267" s="694"/>
      <c r="AL267" s="694"/>
      <c r="AM267" s="694"/>
      <c r="AN267" s="694"/>
      <c r="AO267" s="694"/>
      <c r="AP267" s="694"/>
      <c r="AQ267" s="694"/>
      <c r="AR267" s="694"/>
      <c r="AS267" s="694"/>
      <c r="AT267" s="694"/>
      <c r="AU267" s="694"/>
      <c r="AV267" s="694"/>
      <c r="AW267" s="694"/>
    </row>
    <row r="268" spans="1:49" s="683" customFormat="1" ht="25.5" x14ac:dyDescent="0.2">
      <c r="A268" s="693" t="s">
        <v>395</v>
      </c>
      <c r="B268" s="692">
        <f t="shared" ref="B268:AD268" si="3">B13</f>
        <v>262</v>
      </c>
      <c r="C268" s="692">
        <f t="shared" si="3"/>
        <v>284</v>
      </c>
      <c r="D268" s="692">
        <f t="shared" si="3"/>
        <v>294</v>
      </c>
      <c r="E268" s="692">
        <f t="shared" si="3"/>
        <v>310</v>
      </c>
      <c r="F268" s="692">
        <f t="shared" si="3"/>
        <v>278</v>
      </c>
      <c r="G268" s="692">
        <f t="shared" si="3"/>
        <v>235</v>
      </c>
      <c r="H268" s="692">
        <f t="shared" si="3"/>
        <v>246</v>
      </c>
      <c r="I268" s="692">
        <f t="shared" si="3"/>
        <v>171</v>
      </c>
      <c r="J268" s="692">
        <f t="shared" si="3"/>
        <v>162</v>
      </c>
      <c r="K268" s="692">
        <f t="shared" si="3"/>
        <v>173</v>
      </c>
      <c r="L268" s="692">
        <f t="shared" si="3"/>
        <v>142</v>
      </c>
      <c r="M268" s="692">
        <f t="shared" si="3"/>
        <v>162</v>
      </c>
      <c r="N268" s="692">
        <f t="shared" si="3"/>
        <v>209</v>
      </c>
      <c r="O268" s="692">
        <f t="shared" si="3"/>
        <v>198</v>
      </c>
      <c r="P268" s="692">
        <f t="shared" si="3"/>
        <v>192</v>
      </c>
      <c r="Q268" s="692">
        <f t="shared" si="3"/>
        <v>244</v>
      </c>
      <c r="R268" s="692">
        <f t="shared" si="3"/>
        <v>347</v>
      </c>
      <c r="S268" s="692">
        <f t="shared" si="3"/>
        <v>391</v>
      </c>
      <c r="T268" s="692">
        <f t="shared" si="3"/>
        <v>395</v>
      </c>
      <c r="U268" s="692">
        <f t="shared" si="3"/>
        <v>375</v>
      </c>
      <c r="V268" s="692">
        <f t="shared" si="3"/>
        <v>308</v>
      </c>
      <c r="W268" s="692">
        <f t="shared" si="3"/>
        <v>345</v>
      </c>
      <c r="X268" s="692">
        <f t="shared" si="3"/>
        <v>299</v>
      </c>
      <c r="Y268" s="692">
        <f t="shared" si="3"/>
        <v>311</v>
      </c>
      <c r="Z268" s="692">
        <f t="shared" si="3"/>
        <v>372</v>
      </c>
      <c r="AA268" s="692">
        <f t="shared" si="3"/>
        <v>377</v>
      </c>
      <c r="AB268" s="692">
        <f t="shared" si="3"/>
        <v>420</v>
      </c>
      <c r="AC268" s="692">
        <f t="shared" si="3"/>
        <v>450</v>
      </c>
      <c r="AD268" s="692">
        <f t="shared" si="3"/>
        <v>459</v>
      </c>
      <c r="AE268" s="692"/>
      <c r="AF268" s="692"/>
      <c r="AG268" s="694"/>
      <c r="AH268" s="694"/>
      <c r="AI268" s="694"/>
      <c r="AJ268" s="694"/>
      <c r="AK268" s="694"/>
      <c r="AL268" s="694"/>
      <c r="AM268" s="694"/>
      <c r="AN268" s="694"/>
      <c r="AO268" s="694"/>
      <c r="AP268" s="694"/>
      <c r="AQ268" s="694"/>
      <c r="AR268" s="694"/>
      <c r="AS268" s="694"/>
      <c r="AT268" s="694"/>
      <c r="AU268" s="694"/>
      <c r="AV268" s="694"/>
      <c r="AW268" s="694"/>
    </row>
    <row r="269" spans="1:49" s="683" customFormat="1" x14ac:dyDescent="0.2">
      <c r="A269" s="693" t="s">
        <v>396</v>
      </c>
      <c r="B269" s="692">
        <f t="shared" ref="B269:AD269" si="4">B14</f>
        <v>247</v>
      </c>
      <c r="C269" s="692">
        <f t="shared" si="4"/>
        <v>224</v>
      </c>
      <c r="D269" s="692">
        <f t="shared" si="4"/>
        <v>296</v>
      </c>
      <c r="E269" s="692">
        <f t="shared" si="4"/>
        <v>410</v>
      </c>
      <c r="F269" s="692">
        <f t="shared" si="4"/>
        <v>470</v>
      </c>
      <c r="G269" s="692">
        <f t="shared" si="4"/>
        <v>487</v>
      </c>
      <c r="H269" s="692">
        <f t="shared" si="4"/>
        <v>571</v>
      </c>
      <c r="I269" s="692">
        <f t="shared" si="4"/>
        <v>179</v>
      </c>
      <c r="J269" s="692">
        <f t="shared" si="4"/>
        <v>46</v>
      </c>
      <c r="K269" s="692">
        <f t="shared" si="4"/>
        <v>28</v>
      </c>
      <c r="L269" s="692">
        <f t="shared" si="4"/>
        <v>27</v>
      </c>
      <c r="M269" s="692">
        <f t="shared" si="4"/>
        <v>37</v>
      </c>
      <c r="N269" s="692">
        <f t="shared" si="4"/>
        <v>43</v>
      </c>
      <c r="O269" s="692">
        <f t="shared" si="4"/>
        <v>73</v>
      </c>
      <c r="P269" s="692">
        <f t="shared" si="4"/>
        <v>56</v>
      </c>
      <c r="Q269" s="692">
        <f t="shared" si="4"/>
        <v>99</v>
      </c>
      <c r="R269" s="692">
        <f t="shared" si="4"/>
        <v>55</v>
      </c>
      <c r="S269" s="692">
        <f t="shared" si="4"/>
        <v>95</v>
      </c>
      <c r="T269" s="692">
        <f t="shared" si="4"/>
        <v>186</v>
      </c>
      <c r="U269" s="692">
        <f t="shared" si="4"/>
        <v>247</v>
      </c>
      <c r="V269" s="692">
        <f t="shared" si="4"/>
        <v>326</v>
      </c>
      <c r="W269" s="692">
        <f t="shared" si="4"/>
        <v>442</v>
      </c>
      <c r="X269" s="692">
        <f t="shared" si="4"/>
        <v>429</v>
      </c>
      <c r="Y269" s="692">
        <f t="shared" si="4"/>
        <v>495</v>
      </c>
      <c r="Z269" s="692">
        <f t="shared" si="4"/>
        <v>570</v>
      </c>
      <c r="AA269" s="692">
        <f t="shared" si="4"/>
        <v>649</v>
      </c>
      <c r="AB269" s="692">
        <f t="shared" si="4"/>
        <v>724</v>
      </c>
      <c r="AC269" s="692">
        <f t="shared" si="4"/>
        <v>722</v>
      </c>
      <c r="AD269" s="692">
        <f t="shared" si="4"/>
        <v>753</v>
      </c>
      <c r="AE269" s="692"/>
      <c r="AF269" s="692"/>
      <c r="AG269" s="694"/>
      <c r="AH269" s="694"/>
      <c r="AI269" s="694"/>
      <c r="AJ269" s="694"/>
      <c r="AK269" s="694"/>
      <c r="AL269" s="694"/>
      <c r="AM269" s="694"/>
      <c r="AN269" s="694"/>
      <c r="AO269" s="694"/>
      <c r="AP269" s="694"/>
      <c r="AQ269" s="694"/>
      <c r="AR269" s="694"/>
      <c r="AS269" s="694"/>
      <c r="AT269" s="694"/>
      <c r="AU269" s="694"/>
      <c r="AV269" s="694"/>
      <c r="AW269" s="694"/>
    </row>
    <row r="270" spans="1:49" s="683" customFormat="1" ht="38.25" x14ac:dyDescent="0.2">
      <c r="A270" s="693" t="s">
        <v>262</v>
      </c>
      <c r="B270" s="692">
        <f t="shared" ref="B270:AD270" si="5">B15</f>
        <v>1448</v>
      </c>
      <c r="C270" s="692">
        <f t="shared" si="5"/>
        <v>1572</v>
      </c>
      <c r="D270" s="692">
        <f t="shared" si="5"/>
        <v>1852</v>
      </c>
      <c r="E270" s="692">
        <f t="shared" si="5"/>
        <v>2352</v>
      </c>
      <c r="F270" s="692">
        <f t="shared" si="5"/>
        <v>2268</v>
      </c>
      <c r="G270" s="692">
        <f t="shared" si="5"/>
        <v>2180</v>
      </c>
      <c r="H270" s="692">
        <f t="shared" si="5"/>
        <v>2306</v>
      </c>
      <c r="I270" s="692">
        <f t="shared" si="5"/>
        <v>1348</v>
      </c>
      <c r="J270" s="692">
        <f t="shared" si="5"/>
        <v>1162</v>
      </c>
      <c r="K270" s="692">
        <f t="shared" si="5"/>
        <v>1123</v>
      </c>
      <c r="L270" s="692">
        <f t="shared" si="5"/>
        <v>768</v>
      </c>
      <c r="M270" s="692">
        <f t="shared" si="5"/>
        <v>861</v>
      </c>
      <c r="N270" s="692">
        <f t="shared" si="5"/>
        <v>1252</v>
      </c>
      <c r="O270" s="692">
        <f t="shared" si="5"/>
        <v>1345</v>
      </c>
      <c r="P270" s="692">
        <f t="shared" si="5"/>
        <v>1436</v>
      </c>
      <c r="Q270" s="692">
        <f t="shared" si="5"/>
        <v>1755</v>
      </c>
      <c r="R270" s="692">
        <f t="shared" si="5"/>
        <v>1828</v>
      </c>
      <c r="S270" s="692">
        <f t="shared" si="5"/>
        <v>2020</v>
      </c>
      <c r="T270" s="692">
        <f t="shared" si="5"/>
        <v>2270</v>
      </c>
      <c r="U270" s="692">
        <f t="shared" si="5"/>
        <v>2275</v>
      </c>
      <c r="V270" s="692">
        <f t="shared" si="5"/>
        <v>2166</v>
      </c>
      <c r="W270" s="692">
        <f t="shared" si="5"/>
        <v>2322</v>
      </c>
      <c r="X270" s="692">
        <f t="shared" si="5"/>
        <v>2146</v>
      </c>
      <c r="Y270" s="692">
        <f t="shared" si="5"/>
        <v>2143</v>
      </c>
      <c r="Z270" s="692">
        <f t="shared" si="5"/>
        <v>2478</v>
      </c>
      <c r="AA270" s="692">
        <f t="shared" si="5"/>
        <v>2732</v>
      </c>
      <c r="AB270" s="692">
        <f t="shared" si="5"/>
        <v>2982</v>
      </c>
      <c r="AC270" s="692">
        <f t="shared" si="5"/>
        <v>3253</v>
      </c>
      <c r="AD270" s="692">
        <f t="shared" si="5"/>
        <v>3502</v>
      </c>
      <c r="AE270" s="692"/>
      <c r="AF270" s="692"/>
      <c r="AG270" s="694"/>
      <c r="AH270" s="694"/>
      <c r="AI270" s="694"/>
      <c r="AJ270" s="694"/>
      <c r="AK270" s="694"/>
      <c r="AL270" s="694"/>
      <c r="AM270" s="694"/>
      <c r="AN270" s="694"/>
      <c r="AO270" s="694"/>
      <c r="AP270" s="694"/>
      <c r="AQ270" s="694"/>
      <c r="AR270" s="694"/>
      <c r="AS270" s="694"/>
      <c r="AT270" s="694"/>
      <c r="AU270" s="694"/>
      <c r="AV270" s="694"/>
      <c r="AW270" s="694"/>
    </row>
    <row r="271" spans="1:49" s="683" customFormat="1" ht="15" x14ac:dyDescent="0.2">
      <c r="A271" s="699" t="s">
        <v>394</v>
      </c>
      <c r="B271" s="700" t="s">
        <v>515</v>
      </c>
      <c r="C271" s="701"/>
      <c r="D271" s="701"/>
      <c r="E271" s="692"/>
      <c r="F271" s="692"/>
      <c r="G271" s="692"/>
      <c r="H271" s="692"/>
      <c r="I271" s="694"/>
      <c r="J271" s="694"/>
      <c r="K271" s="694"/>
      <c r="L271" s="695"/>
      <c r="M271" s="695"/>
      <c r="N271" s="694"/>
      <c r="O271" s="694"/>
      <c r="P271" s="694"/>
      <c r="Q271" s="694"/>
      <c r="R271" s="694"/>
      <c r="S271" s="694"/>
      <c r="T271" s="694"/>
      <c r="U271" s="694"/>
      <c r="V271" s="694"/>
      <c r="W271" s="694"/>
      <c r="X271" s="694"/>
      <c r="Y271" s="694"/>
      <c r="Z271" s="692"/>
      <c r="AA271" s="692"/>
      <c r="AB271" s="692"/>
      <c r="AC271" s="692"/>
      <c r="AD271" s="692"/>
      <c r="AE271" s="692"/>
      <c r="AF271" s="692"/>
      <c r="AG271" s="694"/>
      <c r="AH271" s="694"/>
      <c r="AI271" s="694"/>
      <c r="AJ271" s="695"/>
      <c r="AK271" s="695"/>
      <c r="AL271" s="694"/>
      <c r="AM271" s="694"/>
      <c r="AN271" s="694"/>
      <c r="AO271" s="694"/>
      <c r="AP271" s="694"/>
      <c r="AQ271" s="694"/>
      <c r="AR271" s="694"/>
      <c r="AS271" s="694"/>
      <c r="AT271" s="694"/>
      <c r="AU271" s="694"/>
      <c r="AV271" s="694"/>
      <c r="AW271" s="694"/>
    </row>
    <row r="272" spans="1:49" s="683" customFormat="1" x14ac:dyDescent="0.2">
      <c r="A272" s="693" t="s">
        <v>131</v>
      </c>
      <c r="B272" s="692"/>
      <c r="C272" s="692"/>
      <c r="D272" s="692"/>
      <c r="E272" s="692"/>
      <c r="F272" s="692"/>
      <c r="G272" s="692"/>
      <c r="H272" s="692"/>
      <c r="I272" s="694"/>
      <c r="J272" s="694"/>
      <c r="K272" s="694"/>
      <c r="L272" s="695"/>
      <c r="M272" s="695"/>
      <c r="N272" s="694"/>
      <c r="O272" s="694"/>
      <c r="P272" s="694"/>
      <c r="Q272" s="694"/>
      <c r="R272" s="694"/>
      <c r="S272" s="694"/>
      <c r="T272" s="694"/>
      <c r="U272" s="694"/>
      <c r="V272" s="694"/>
      <c r="W272" s="694"/>
      <c r="X272" s="694"/>
      <c r="Y272" s="694"/>
      <c r="Z272" s="692"/>
      <c r="AA272" s="692"/>
      <c r="AB272" s="692"/>
      <c r="AC272" s="692"/>
      <c r="AD272" s="692"/>
      <c r="AE272" s="692"/>
      <c r="AF272" s="692"/>
      <c r="AG272" s="694"/>
      <c r="AH272" s="694"/>
      <c r="AI272" s="694"/>
      <c r="AJ272" s="695"/>
      <c r="AK272" s="695"/>
      <c r="AL272" s="694"/>
      <c r="AM272" s="694"/>
      <c r="AN272" s="694"/>
      <c r="AO272" s="694"/>
      <c r="AP272" s="694"/>
      <c r="AQ272" s="694"/>
      <c r="AR272" s="694"/>
      <c r="AS272" s="694"/>
      <c r="AT272" s="694"/>
      <c r="AU272" s="694"/>
      <c r="AV272" s="694"/>
      <c r="AW272" s="694"/>
    </row>
    <row r="273" spans="1:49" s="683" customFormat="1" x14ac:dyDescent="0.2">
      <c r="A273" s="693" t="s">
        <v>184</v>
      </c>
      <c r="B273" s="692"/>
      <c r="C273" s="692"/>
      <c r="D273" s="692"/>
      <c r="E273" s="692"/>
      <c r="F273" s="692"/>
      <c r="G273" s="692"/>
      <c r="H273" s="692"/>
      <c r="I273" s="694"/>
      <c r="J273" s="694"/>
      <c r="K273" s="694"/>
      <c r="L273" s="695"/>
      <c r="M273" s="695"/>
      <c r="N273" s="694"/>
      <c r="O273" s="694"/>
      <c r="P273" s="694"/>
      <c r="Q273" s="694"/>
      <c r="R273" s="694"/>
      <c r="S273" s="694"/>
      <c r="T273" s="694"/>
      <c r="U273" s="694"/>
      <c r="V273" s="694"/>
      <c r="W273" s="694"/>
      <c r="X273" s="694"/>
      <c r="Y273" s="694"/>
      <c r="Z273" s="692"/>
      <c r="AA273" s="692"/>
      <c r="AB273" s="692"/>
      <c r="AC273" s="692"/>
      <c r="AD273" s="692"/>
      <c r="AE273" s="692"/>
      <c r="AF273" s="692"/>
      <c r="AG273" s="694"/>
      <c r="AH273" s="694"/>
      <c r="AI273" s="694"/>
      <c r="AJ273" s="695"/>
      <c r="AK273" s="695"/>
      <c r="AL273" s="694"/>
      <c r="AM273" s="694"/>
      <c r="AN273" s="694"/>
      <c r="AO273" s="694"/>
      <c r="AP273" s="694"/>
      <c r="AQ273" s="694"/>
      <c r="AR273" s="694"/>
      <c r="AS273" s="694"/>
      <c r="AT273" s="694"/>
      <c r="AU273" s="694"/>
      <c r="AV273" s="694"/>
      <c r="AW273" s="694"/>
    </row>
    <row r="274" spans="1:49" s="683" customFormat="1" x14ac:dyDescent="0.2">
      <c r="A274" s="702" t="s">
        <v>490</v>
      </c>
      <c r="B274" s="692"/>
      <c r="C274" s="692">
        <f>SUM(C266-B266)</f>
        <v>107</v>
      </c>
      <c r="D274" s="692">
        <f t="shared" ref="D274:W274" si="6">SUM(D266-C266)</f>
        <v>80</v>
      </c>
      <c r="E274" s="692">
        <f t="shared" si="6"/>
        <v>137</v>
      </c>
      <c r="F274" s="692">
        <f>SUM(F266-E266)*-1</f>
        <v>132</v>
      </c>
      <c r="G274" s="692">
        <f>SUM(G266-F266)*-1</f>
        <v>68</v>
      </c>
      <c r="H274" s="692">
        <f t="shared" si="6"/>
        <v>72</v>
      </c>
      <c r="I274" s="692">
        <f>SUM(I266-H266)*-1</f>
        <v>258</v>
      </c>
      <c r="J274" s="692">
        <f>SUM(J266-I266)*-1</f>
        <v>95</v>
      </c>
      <c r="K274" s="692">
        <f t="shared" si="6"/>
        <v>7</v>
      </c>
      <c r="L274" s="692">
        <f>SUM(L266-K266)*-1</f>
        <v>115</v>
      </c>
      <c r="M274" s="692">
        <f t="shared" si="6"/>
        <v>44</v>
      </c>
      <c r="N274" s="692">
        <f t="shared" si="6"/>
        <v>119</v>
      </c>
      <c r="O274" s="692">
        <f t="shared" si="6"/>
        <v>15</v>
      </c>
      <c r="P274" s="692">
        <f t="shared" si="6"/>
        <v>53</v>
      </c>
      <c r="Q274" s="692">
        <f t="shared" si="6"/>
        <v>110</v>
      </c>
      <c r="R274" s="692">
        <f>SUM(R266-Q266)*-1</f>
        <v>20</v>
      </c>
      <c r="S274" s="692">
        <f t="shared" si="6"/>
        <v>82</v>
      </c>
      <c r="T274" s="692">
        <f t="shared" si="6"/>
        <v>130</v>
      </c>
      <c r="U274" s="692">
        <f>SUM(U266-T266)*-1</f>
        <v>49</v>
      </c>
      <c r="V274" s="692">
        <f>SUM(V266-U266)*-1</f>
        <v>87</v>
      </c>
      <c r="W274" s="692">
        <f t="shared" si="6"/>
        <v>21</v>
      </c>
      <c r="X274" s="692">
        <f>SUM(X266-W266)*-1</f>
        <v>49</v>
      </c>
      <c r="Y274" s="692">
        <f>SUM(Y266-X266)*-1</f>
        <v>90</v>
      </c>
      <c r="Z274" s="692">
        <f>SUM(Z266-Y266)</f>
        <v>106</v>
      </c>
      <c r="AA274" s="692">
        <f>SUM(AA266-Z266)</f>
        <v>97</v>
      </c>
      <c r="AB274" s="692">
        <f>SUM(AB266-AA266)</f>
        <v>121</v>
      </c>
      <c r="AC274" s="692">
        <f>SUM(AC266-AB266)</f>
        <v>128</v>
      </c>
      <c r="AD274" s="692">
        <f>SUM(AD266-AC266)</f>
        <v>105</v>
      </c>
      <c r="AE274" s="692" t="s">
        <v>385</v>
      </c>
      <c r="AF274" s="692" t="s">
        <v>385</v>
      </c>
      <c r="AG274" s="692" t="s">
        <v>385</v>
      </c>
      <c r="AH274" s="692" t="s">
        <v>385</v>
      </c>
      <c r="AI274" s="692" t="s">
        <v>385</v>
      </c>
      <c r="AJ274" s="692" t="s">
        <v>385</v>
      </c>
      <c r="AK274" s="692" t="s">
        <v>385</v>
      </c>
      <c r="AL274" s="692" t="s">
        <v>385</v>
      </c>
      <c r="AM274" s="692" t="s">
        <v>385</v>
      </c>
      <c r="AN274" s="692" t="s">
        <v>385</v>
      </c>
      <c r="AO274" s="692" t="s">
        <v>385</v>
      </c>
      <c r="AP274" s="692" t="s">
        <v>385</v>
      </c>
      <c r="AQ274" s="692" t="s">
        <v>385</v>
      </c>
      <c r="AR274" s="692" t="s">
        <v>385</v>
      </c>
      <c r="AS274" s="692" t="s">
        <v>385</v>
      </c>
      <c r="AT274" s="692" t="s">
        <v>385</v>
      </c>
      <c r="AU274" s="692" t="s">
        <v>385</v>
      </c>
      <c r="AV274" s="692" t="s">
        <v>385</v>
      </c>
      <c r="AW274" s="692" t="s">
        <v>385</v>
      </c>
    </row>
    <row r="275" spans="1:49" s="683" customFormat="1" ht="63.75" x14ac:dyDescent="0.2">
      <c r="A275" s="703" t="s">
        <v>519</v>
      </c>
      <c r="B275" s="692"/>
      <c r="C275" s="692"/>
      <c r="D275" s="692"/>
      <c r="E275" s="692"/>
      <c r="F275" s="692"/>
      <c r="G275" s="692"/>
      <c r="H275" s="692"/>
      <c r="I275" s="694"/>
      <c r="J275" s="694"/>
      <c r="K275" s="694"/>
      <c r="L275" s="695"/>
      <c r="M275" s="695"/>
      <c r="N275" s="694"/>
      <c r="O275" s="694"/>
      <c r="P275" s="694"/>
      <c r="Q275" s="694"/>
      <c r="R275" s="694"/>
      <c r="S275" s="694"/>
      <c r="T275" s="694"/>
      <c r="U275" s="694"/>
      <c r="V275" s="694"/>
      <c r="W275" s="694"/>
      <c r="X275" s="694"/>
      <c r="Y275" s="694"/>
      <c r="Z275" s="692"/>
      <c r="AA275" s="692"/>
      <c r="AB275" s="692"/>
      <c r="AC275" s="692"/>
      <c r="AD275" s="692"/>
      <c r="AE275" s="692"/>
      <c r="AF275" s="692"/>
      <c r="AG275" s="694"/>
      <c r="AH275" s="694"/>
      <c r="AI275" s="694"/>
      <c r="AJ275" s="695"/>
      <c r="AK275" s="695"/>
      <c r="AL275" s="694"/>
      <c r="AM275" s="694"/>
      <c r="AN275" s="694"/>
      <c r="AO275" s="694"/>
      <c r="AP275" s="694"/>
      <c r="AQ275" s="694"/>
      <c r="AR275" s="694"/>
      <c r="AS275" s="694"/>
      <c r="AT275" s="694"/>
      <c r="AU275" s="694"/>
      <c r="AV275" s="694"/>
      <c r="AW275" s="694"/>
    </row>
    <row r="276" spans="1:49" s="683" customFormat="1" x14ac:dyDescent="0.2">
      <c r="A276" s="674" t="s">
        <v>492</v>
      </c>
      <c r="B276" s="692">
        <f t="shared" ref="B276:AW276" si="7">AVERAGE($B$266:$AW$266)</f>
        <v>754.82758620689651</v>
      </c>
      <c r="C276" s="692">
        <f t="shared" si="7"/>
        <v>754.82758620689651</v>
      </c>
      <c r="D276" s="692">
        <f t="shared" si="7"/>
        <v>754.82758620689651</v>
      </c>
      <c r="E276" s="692">
        <f t="shared" si="7"/>
        <v>754.82758620689651</v>
      </c>
      <c r="F276" s="692">
        <f t="shared" si="7"/>
        <v>754.82758620689651</v>
      </c>
      <c r="G276" s="692">
        <f t="shared" si="7"/>
        <v>754.82758620689651</v>
      </c>
      <c r="H276" s="692">
        <f t="shared" si="7"/>
        <v>754.82758620689651</v>
      </c>
      <c r="I276" s="692">
        <f t="shared" si="7"/>
        <v>754.82758620689651</v>
      </c>
      <c r="J276" s="692">
        <f t="shared" si="7"/>
        <v>754.82758620689651</v>
      </c>
      <c r="K276" s="692">
        <f t="shared" si="7"/>
        <v>754.82758620689651</v>
      </c>
      <c r="L276" s="692">
        <f t="shared" si="7"/>
        <v>754.82758620689651</v>
      </c>
      <c r="M276" s="692">
        <f t="shared" si="7"/>
        <v>754.82758620689651</v>
      </c>
      <c r="N276" s="692">
        <f t="shared" si="7"/>
        <v>754.82758620689651</v>
      </c>
      <c r="O276" s="692">
        <f t="shared" si="7"/>
        <v>754.82758620689651</v>
      </c>
      <c r="P276" s="692">
        <f t="shared" si="7"/>
        <v>754.82758620689651</v>
      </c>
      <c r="Q276" s="692">
        <f t="shared" si="7"/>
        <v>754.82758620689651</v>
      </c>
      <c r="R276" s="692">
        <f t="shared" si="7"/>
        <v>754.82758620689651</v>
      </c>
      <c r="S276" s="692">
        <f t="shared" si="7"/>
        <v>754.82758620689651</v>
      </c>
      <c r="T276" s="692">
        <f t="shared" si="7"/>
        <v>754.82758620689651</v>
      </c>
      <c r="U276" s="692">
        <f t="shared" si="7"/>
        <v>754.82758620689651</v>
      </c>
      <c r="V276" s="692">
        <f t="shared" si="7"/>
        <v>754.82758620689651</v>
      </c>
      <c r="W276" s="692">
        <f t="shared" si="7"/>
        <v>754.82758620689651</v>
      </c>
      <c r="X276" s="692">
        <f t="shared" si="7"/>
        <v>754.82758620689651</v>
      </c>
      <c r="Y276" s="692">
        <f t="shared" si="7"/>
        <v>754.82758620689651</v>
      </c>
      <c r="Z276" s="692">
        <f t="shared" si="7"/>
        <v>754.82758620689651</v>
      </c>
      <c r="AA276" s="692">
        <f t="shared" si="7"/>
        <v>754.82758620689651</v>
      </c>
      <c r="AB276" s="692">
        <f t="shared" si="7"/>
        <v>754.82758620689651</v>
      </c>
      <c r="AC276" s="692">
        <f t="shared" si="7"/>
        <v>754.82758620689651</v>
      </c>
      <c r="AD276" s="692">
        <f t="shared" si="7"/>
        <v>754.82758620689651</v>
      </c>
      <c r="AE276" s="692">
        <f t="shared" si="7"/>
        <v>754.82758620689651</v>
      </c>
      <c r="AF276" s="692">
        <f t="shared" si="7"/>
        <v>754.82758620689651</v>
      </c>
      <c r="AG276" s="692">
        <f t="shared" si="7"/>
        <v>754.82758620689651</v>
      </c>
      <c r="AH276" s="692">
        <f t="shared" si="7"/>
        <v>754.82758620689651</v>
      </c>
      <c r="AI276" s="692">
        <f t="shared" si="7"/>
        <v>754.82758620689651</v>
      </c>
      <c r="AJ276" s="692">
        <f t="shared" si="7"/>
        <v>754.82758620689651</v>
      </c>
      <c r="AK276" s="692">
        <f t="shared" si="7"/>
        <v>754.82758620689651</v>
      </c>
      <c r="AL276" s="692">
        <f t="shared" si="7"/>
        <v>754.82758620689651</v>
      </c>
      <c r="AM276" s="692">
        <f t="shared" si="7"/>
        <v>754.82758620689651</v>
      </c>
      <c r="AN276" s="692">
        <f t="shared" si="7"/>
        <v>754.82758620689651</v>
      </c>
      <c r="AO276" s="692">
        <f t="shared" si="7"/>
        <v>754.82758620689651</v>
      </c>
      <c r="AP276" s="692">
        <f t="shared" si="7"/>
        <v>754.82758620689651</v>
      </c>
      <c r="AQ276" s="692">
        <f t="shared" si="7"/>
        <v>754.82758620689651</v>
      </c>
      <c r="AR276" s="692">
        <f t="shared" si="7"/>
        <v>754.82758620689651</v>
      </c>
      <c r="AS276" s="692">
        <f t="shared" si="7"/>
        <v>754.82758620689651</v>
      </c>
      <c r="AT276" s="692">
        <f t="shared" si="7"/>
        <v>754.82758620689651</v>
      </c>
      <c r="AU276" s="692">
        <f t="shared" si="7"/>
        <v>754.82758620689651</v>
      </c>
      <c r="AV276" s="692">
        <f t="shared" si="7"/>
        <v>754.82758620689651</v>
      </c>
      <c r="AW276" s="692">
        <f t="shared" si="7"/>
        <v>754.82758620689651</v>
      </c>
    </row>
    <row r="277" spans="1:49" s="683" customFormat="1" x14ac:dyDescent="0.2">
      <c r="A277" s="702" t="s">
        <v>491</v>
      </c>
      <c r="B277" s="692">
        <f>SUM(C274:AW274)/(COUNT(C274:AW274))</f>
        <v>89.178571428571431</v>
      </c>
      <c r="C277" s="692"/>
      <c r="D277" s="692"/>
      <c r="E277" s="692"/>
      <c r="F277" s="692"/>
      <c r="G277" s="692"/>
      <c r="H277" s="692"/>
      <c r="I277" s="694"/>
      <c r="J277" s="694"/>
      <c r="K277" s="694"/>
      <c r="L277" s="695"/>
      <c r="M277" s="695"/>
      <c r="N277" s="694"/>
      <c r="O277" s="694"/>
      <c r="P277" s="694"/>
      <c r="Q277" s="694"/>
      <c r="R277" s="694"/>
      <c r="S277" s="694"/>
      <c r="T277" s="694"/>
      <c r="U277" s="694"/>
      <c r="V277" s="694"/>
      <c r="W277" s="694"/>
      <c r="X277" s="694"/>
      <c r="Y277" s="694"/>
      <c r="Z277" s="692"/>
      <c r="AA277" s="692"/>
      <c r="AB277" s="692"/>
      <c r="AC277" s="692"/>
      <c r="AD277" s="692"/>
      <c r="AE277" s="692"/>
      <c r="AF277" s="692"/>
      <c r="AG277" s="694"/>
      <c r="AH277" s="694"/>
      <c r="AI277" s="694"/>
      <c r="AJ277" s="695"/>
      <c r="AK277" s="695"/>
      <c r="AL277" s="694"/>
      <c r="AM277" s="694"/>
      <c r="AN277" s="694"/>
      <c r="AO277" s="694"/>
      <c r="AP277" s="694"/>
      <c r="AQ277" s="694"/>
      <c r="AR277" s="694"/>
      <c r="AS277" s="694"/>
      <c r="AT277" s="694"/>
      <c r="AU277" s="694"/>
      <c r="AV277" s="694"/>
      <c r="AW277" s="694"/>
    </row>
    <row r="278" spans="1:49" s="683" customFormat="1" ht="25.5" x14ac:dyDescent="0.2">
      <c r="A278" s="702" t="s">
        <v>494</v>
      </c>
      <c r="B278" s="692">
        <f>SUM(B277/1.128)</f>
        <v>79.059017223910857</v>
      </c>
      <c r="C278" s="692"/>
      <c r="D278" s="692"/>
      <c r="E278" s="692"/>
      <c r="F278" s="692"/>
      <c r="G278" s="692"/>
      <c r="H278" s="692"/>
      <c r="I278" s="694"/>
      <c r="J278" s="694"/>
      <c r="K278" s="694"/>
      <c r="L278" s="695"/>
      <c r="M278" s="695"/>
      <c r="N278" s="694"/>
      <c r="O278" s="694"/>
      <c r="P278" s="694"/>
      <c r="Q278" s="694"/>
      <c r="R278" s="694"/>
      <c r="S278" s="694"/>
      <c r="T278" s="694"/>
      <c r="U278" s="694"/>
      <c r="V278" s="694"/>
      <c r="W278" s="694"/>
      <c r="X278" s="694"/>
      <c r="Y278" s="694"/>
      <c r="Z278" s="692"/>
      <c r="AA278" s="692"/>
      <c r="AB278" s="692"/>
      <c r="AC278" s="692"/>
      <c r="AD278" s="692"/>
      <c r="AE278" s="692"/>
      <c r="AF278" s="692"/>
      <c r="AG278" s="694"/>
      <c r="AH278" s="694"/>
      <c r="AI278" s="694"/>
      <c r="AJ278" s="695"/>
      <c r="AK278" s="695"/>
      <c r="AL278" s="694"/>
      <c r="AM278" s="694"/>
      <c r="AN278" s="694"/>
      <c r="AO278" s="694"/>
      <c r="AP278" s="694"/>
      <c r="AQ278" s="694"/>
      <c r="AR278" s="694"/>
      <c r="AS278" s="694"/>
      <c r="AT278" s="694"/>
      <c r="AU278" s="694"/>
      <c r="AV278" s="694"/>
      <c r="AW278" s="694"/>
    </row>
    <row r="279" spans="1:49" s="683" customFormat="1" x14ac:dyDescent="0.2">
      <c r="A279" s="702" t="s">
        <v>497</v>
      </c>
      <c r="B279" s="692">
        <f t="shared" ref="B279:AW279" si="8">$B$276+(3*$B$278)</f>
        <v>992.00463787862907</v>
      </c>
      <c r="C279" s="692">
        <f t="shared" si="8"/>
        <v>992.00463787862907</v>
      </c>
      <c r="D279" s="692">
        <f t="shared" si="8"/>
        <v>992.00463787862907</v>
      </c>
      <c r="E279" s="692">
        <f t="shared" si="8"/>
        <v>992.00463787862907</v>
      </c>
      <c r="F279" s="692">
        <f t="shared" si="8"/>
        <v>992.00463787862907</v>
      </c>
      <c r="G279" s="692">
        <f t="shared" si="8"/>
        <v>992.00463787862907</v>
      </c>
      <c r="H279" s="692">
        <f t="shared" si="8"/>
        <v>992.00463787862907</v>
      </c>
      <c r="I279" s="692">
        <f t="shared" si="8"/>
        <v>992.00463787862907</v>
      </c>
      <c r="J279" s="692">
        <f t="shared" si="8"/>
        <v>992.00463787862907</v>
      </c>
      <c r="K279" s="692">
        <f t="shared" si="8"/>
        <v>992.00463787862907</v>
      </c>
      <c r="L279" s="692">
        <f t="shared" si="8"/>
        <v>992.00463787862907</v>
      </c>
      <c r="M279" s="692">
        <f t="shared" si="8"/>
        <v>992.00463787862907</v>
      </c>
      <c r="N279" s="692">
        <f t="shared" si="8"/>
        <v>992.00463787862907</v>
      </c>
      <c r="O279" s="692">
        <f t="shared" si="8"/>
        <v>992.00463787862907</v>
      </c>
      <c r="P279" s="692">
        <f t="shared" si="8"/>
        <v>992.00463787862907</v>
      </c>
      <c r="Q279" s="692">
        <f t="shared" si="8"/>
        <v>992.00463787862907</v>
      </c>
      <c r="R279" s="692">
        <f t="shared" si="8"/>
        <v>992.00463787862907</v>
      </c>
      <c r="S279" s="692">
        <f t="shared" si="8"/>
        <v>992.00463787862907</v>
      </c>
      <c r="T279" s="692">
        <f t="shared" si="8"/>
        <v>992.00463787862907</v>
      </c>
      <c r="U279" s="692">
        <f t="shared" si="8"/>
        <v>992.00463787862907</v>
      </c>
      <c r="V279" s="692">
        <f t="shared" si="8"/>
        <v>992.00463787862907</v>
      </c>
      <c r="W279" s="692">
        <f t="shared" si="8"/>
        <v>992.00463787862907</v>
      </c>
      <c r="X279" s="692">
        <f t="shared" si="8"/>
        <v>992.00463787862907</v>
      </c>
      <c r="Y279" s="692">
        <f t="shared" si="8"/>
        <v>992.00463787862907</v>
      </c>
      <c r="Z279" s="692">
        <f t="shared" si="8"/>
        <v>992.00463787862907</v>
      </c>
      <c r="AA279" s="692">
        <f t="shared" si="8"/>
        <v>992.00463787862907</v>
      </c>
      <c r="AB279" s="692">
        <f t="shared" si="8"/>
        <v>992.00463787862907</v>
      </c>
      <c r="AC279" s="692">
        <f t="shared" si="8"/>
        <v>992.00463787862907</v>
      </c>
      <c r="AD279" s="692">
        <f t="shared" si="8"/>
        <v>992.00463787862907</v>
      </c>
      <c r="AE279" s="692">
        <f t="shared" si="8"/>
        <v>992.00463787862907</v>
      </c>
      <c r="AF279" s="692">
        <f t="shared" si="8"/>
        <v>992.00463787862907</v>
      </c>
      <c r="AG279" s="692">
        <f t="shared" si="8"/>
        <v>992.00463787862907</v>
      </c>
      <c r="AH279" s="692">
        <f t="shared" si="8"/>
        <v>992.00463787862907</v>
      </c>
      <c r="AI279" s="692">
        <f t="shared" si="8"/>
        <v>992.00463787862907</v>
      </c>
      <c r="AJ279" s="692">
        <f t="shared" si="8"/>
        <v>992.00463787862907</v>
      </c>
      <c r="AK279" s="692">
        <f t="shared" si="8"/>
        <v>992.00463787862907</v>
      </c>
      <c r="AL279" s="692">
        <f t="shared" si="8"/>
        <v>992.00463787862907</v>
      </c>
      <c r="AM279" s="692">
        <f t="shared" si="8"/>
        <v>992.00463787862907</v>
      </c>
      <c r="AN279" s="692">
        <f t="shared" si="8"/>
        <v>992.00463787862907</v>
      </c>
      <c r="AO279" s="692">
        <f t="shared" si="8"/>
        <v>992.00463787862907</v>
      </c>
      <c r="AP279" s="692">
        <f t="shared" si="8"/>
        <v>992.00463787862907</v>
      </c>
      <c r="AQ279" s="692">
        <f t="shared" si="8"/>
        <v>992.00463787862907</v>
      </c>
      <c r="AR279" s="692">
        <f t="shared" si="8"/>
        <v>992.00463787862907</v>
      </c>
      <c r="AS279" s="692">
        <f t="shared" si="8"/>
        <v>992.00463787862907</v>
      </c>
      <c r="AT279" s="692">
        <f t="shared" si="8"/>
        <v>992.00463787862907</v>
      </c>
      <c r="AU279" s="692">
        <f t="shared" si="8"/>
        <v>992.00463787862907</v>
      </c>
      <c r="AV279" s="692">
        <f t="shared" si="8"/>
        <v>992.00463787862907</v>
      </c>
      <c r="AW279" s="692">
        <f t="shared" si="8"/>
        <v>992.00463787862907</v>
      </c>
    </row>
    <row r="280" spans="1:49" s="683" customFormat="1" x14ac:dyDescent="0.2">
      <c r="A280" s="702" t="s">
        <v>499</v>
      </c>
      <c r="B280" s="692">
        <f t="shared" ref="B280:AW280" si="9">$B$276-(3*$B$278)</f>
        <v>517.65053453516396</v>
      </c>
      <c r="C280" s="692">
        <f t="shared" si="9"/>
        <v>517.65053453516396</v>
      </c>
      <c r="D280" s="692">
        <f t="shared" si="9"/>
        <v>517.65053453516396</v>
      </c>
      <c r="E280" s="692">
        <f t="shared" si="9"/>
        <v>517.65053453516396</v>
      </c>
      <c r="F280" s="692">
        <f t="shared" si="9"/>
        <v>517.65053453516396</v>
      </c>
      <c r="G280" s="692">
        <f t="shared" si="9"/>
        <v>517.65053453516396</v>
      </c>
      <c r="H280" s="692">
        <f t="shared" si="9"/>
        <v>517.65053453516396</v>
      </c>
      <c r="I280" s="692">
        <f t="shared" si="9"/>
        <v>517.65053453516396</v>
      </c>
      <c r="J280" s="692">
        <f t="shared" si="9"/>
        <v>517.65053453516396</v>
      </c>
      <c r="K280" s="692">
        <f t="shared" si="9"/>
        <v>517.65053453516396</v>
      </c>
      <c r="L280" s="692">
        <f t="shared" si="9"/>
        <v>517.65053453516396</v>
      </c>
      <c r="M280" s="692">
        <f t="shared" si="9"/>
        <v>517.65053453516396</v>
      </c>
      <c r="N280" s="692">
        <f t="shared" si="9"/>
        <v>517.65053453516396</v>
      </c>
      <c r="O280" s="692">
        <f t="shared" si="9"/>
        <v>517.65053453516396</v>
      </c>
      <c r="P280" s="692">
        <f t="shared" si="9"/>
        <v>517.65053453516396</v>
      </c>
      <c r="Q280" s="692">
        <f t="shared" si="9"/>
        <v>517.65053453516396</v>
      </c>
      <c r="R280" s="692">
        <f t="shared" si="9"/>
        <v>517.65053453516396</v>
      </c>
      <c r="S280" s="692">
        <f t="shared" si="9"/>
        <v>517.65053453516396</v>
      </c>
      <c r="T280" s="692">
        <f t="shared" si="9"/>
        <v>517.65053453516396</v>
      </c>
      <c r="U280" s="692">
        <f t="shared" si="9"/>
        <v>517.65053453516396</v>
      </c>
      <c r="V280" s="692">
        <f t="shared" si="9"/>
        <v>517.65053453516396</v>
      </c>
      <c r="W280" s="692">
        <f t="shared" si="9"/>
        <v>517.65053453516396</v>
      </c>
      <c r="X280" s="692">
        <f t="shared" si="9"/>
        <v>517.65053453516396</v>
      </c>
      <c r="Y280" s="692">
        <f t="shared" si="9"/>
        <v>517.65053453516396</v>
      </c>
      <c r="Z280" s="692">
        <f t="shared" si="9"/>
        <v>517.65053453516396</v>
      </c>
      <c r="AA280" s="692">
        <f t="shared" si="9"/>
        <v>517.65053453516396</v>
      </c>
      <c r="AB280" s="692">
        <f t="shared" si="9"/>
        <v>517.65053453516396</v>
      </c>
      <c r="AC280" s="692">
        <f t="shared" si="9"/>
        <v>517.65053453516396</v>
      </c>
      <c r="AD280" s="692">
        <f t="shared" si="9"/>
        <v>517.65053453516396</v>
      </c>
      <c r="AE280" s="692">
        <f t="shared" si="9"/>
        <v>517.65053453516396</v>
      </c>
      <c r="AF280" s="692">
        <f t="shared" si="9"/>
        <v>517.65053453516396</v>
      </c>
      <c r="AG280" s="692">
        <f t="shared" si="9"/>
        <v>517.65053453516396</v>
      </c>
      <c r="AH280" s="692">
        <f t="shared" si="9"/>
        <v>517.65053453516396</v>
      </c>
      <c r="AI280" s="692">
        <f t="shared" si="9"/>
        <v>517.65053453516396</v>
      </c>
      <c r="AJ280" s="692">
        <f t="shared" si="9"/>
        <v>517.65053453516396</v>
      </c>
      <c r="AK280" s="692">
        <f t="shared" si="9"/>
        <v>517.65053453516396</v>
      </c>
      <c r="AL280" s="692">
        <f t="shared" si="9"/>
        <v>517.65053453516396</v>
      </c>
      <c r="AM280" s="692">
        <f t="shared" si="9"/>
        <v>517.65053453516396</v>
      </c>
      <c r="AN280" s="692">
        <f t="shared" si="9"/>
        <v>517.65053453516396</v>
      </c>
      <c r="AO280" s="692">
        <f t="shared" si="9"/>
        <v>517.65053453516396</v>
      </c>
      <c r="AP280" s="692">
        <f t="shared" si="9"/>
        <v>517.65053453516396</v>
      </c>
      <c r="AQ280" s="692">
        <f t="shared" si="9"/>
        <v>517.65053453516396</v>
      </c>
      <c r="AR280" s="692">
        <f t="shared" si="9"/>
        <v>517.65053453516396</v>
      </c>
      <c r="AS280" s="692">
        <f t="shared" si="9"/>
        <v>517.65053453516396</v>
      </c>
      <c r="AT280" s="692">
        <f t="shared" si="9"/>
        <v>517.65053453516396</v>
      </c>
      <c r="AU280" s="692">
        <f t="shared" si="9"/>
        <v>517.65053453516396</v>
      </c>
      <c r="AV280" s="692">
        <f t="shared" si="9"/>
        <v>517.65053453516396</v>
      </c>
      <c r="AW280" s="692">
        <f t="shared" si="9"/>
        <v>517.65053453516396</v>
      </c>
    </row>
    <row r="281" spans="1:49" s="683" customFormat="1" ht="25.5" x14ac:dyDescent="0.2">
      <c r="A281" s="693" t="s">
        <v>513</v>
      </c>
      <c r="B281" s="692"/>
      <c r="C281" s="692"/>
      <c r="D281" s="692"/>
      <c r="E281" s="692"/>
      <c r="F281" s="692"/>
      <c r="G281" s="692"/>
      <c r="H281" s="692"/>
      <c r="I281" s="694"/>
      <c r="J281" s="694"/>
      <c r="K281" s="694"/>
      <c r="L281" s="695"/>
      <c r="M281" s="695"/>
      <c r="N281" s="694"/>
      <c r="O281" s="694"/>
      <c r="P281" s="694"/>
      <c r="Q281" s="694"/>
      <c r="R281" s="694"/>
      <c r="S281" s="694"/>
      <c r="T281" s="694"/>
      <c r="U281" s="694"/>
      <c r="V281" s="694"/>
      <c r="W281" s="694"/>
      <c r="X281" s="694"/>
      <c r="Y281" s="694"/>
      <c r="Z281" s="692"/>
      <c r="AA281" s="692"/>
      <c r="AB281" s="692"/>
      <c r="AC281" s="692"/>
      <c r="AD281" s="692"/>
      <c r="AE281" s="692"/>
      <c r="AF281" s="692"/>
      <c r="AG281" s="694"/>
      <c r="AH281" s="694"/>
      <c r="AI281" s="694"/>
      <c r="AJ281" s="695"/>
      <c r="AK281" s="695"/>
      <c r="AL281" s="694"/>
      <c r="AM281" s="694"/>
      <c r="AN281" s="694"/>
      <c r="AO281" s="694"/>
      <c r="AP281" s="694"/>
      <c r="AQ281" s="694"/>
      <c r="AR281" s="694"/>
      <c r="AS281" s="694"/>
      <c r="AT281" s="694"/>
      <c r="AU281" s="694"/>
      <c r="AV281" s="694"/>
      <c r="AW281" s="694"/>
    </row>
    <row r="282" spans="1:49" s="683" customFormat="1" x14ac:dyDescent="0.2">
      <c r="A282" s="704" t="s">
        <v>393</v>
      </c>
      <c r="B282" s="700" t="s">
        <v>515</v>
      </c>
      <c r="C282" s="692" t="s">
        <v>516</v>
      </c>
      <c r="D282" s="692"/>
      <c r="E282" s="692"/>
      <c r="F282" s="692"/>
      <c r="G282" s="692"/>
      <c r="H282" s="692"/>
      <c r="I282" s="694"/>
      <c r="J282" s="694"/>
      <c r="K282" s="694"/>
      <c r="L282" s="695"/>
      <c r="M282" s="695"/>
      <c r="N282" s="694"/>
      <c r="O282" s="694"/>
      <c r="P282" s="694"/>
      <c r="Q282" s="694"/>
      <c r="R282" s="694"/>
      <c r="S282" s="694"/>
      <c r="T282" s="694"/>
      <c r="U282" s="694"/>
      <c r="V282" s="694"/>
      <c r="W282" s="694"/>
      <c r="X282" s="694"/>
      <c r="Y282" s="694"/>
      <c r="Z282" s="692"/>
      <c r="AA282" s="692"/>
      <c r="AB282" s="692"/>
      <c r="AC282" s="692"/>
      <c r="AD282" s="692"/>
      <c r="AE282" s="692"/>
      <c r="AF282" s="692"/>
      <c r="AG282" s="694"/>
      <c r="AH282" s="694"/>
      <c r="AI282" s="694"/>
      <c r="AJ282" s="695"/>
      <c r="AK282" s="695"/>
      <c r="AL282" s="694"/>
      <c r="AM282" s="694"/>
      <c r="AN282" s="694"/>
      <c r="AO282" s="694"/>
      <c r="AP282" s="694"/>
      <c r="AQ282" s="694"/>
      <c r="AR282" s="694"/>
      <c r="AS282" s="694"/>
      <c r="AT282" s="694"/>
      <c r="AU282" s="694"/>
      <c r="AV282" s="694"/>
      <c r="AW282" s="694"/>
    </row>
    <row r="283" spans="1:49" s="683" customFormat="1" x14ac:dyDescent="0.2">
      <c r="A283" s="693" t="s">
        <v>131</v>
      </c>
      <c r="B283" s="692"/>
      <c r="C283" s="692"/>
      <c r="D283" s="692"/>
      <c r="E283" s="692"/>
      <c r="F283" s="692"/>
      <c r="G283" s="692"/>
      <c r="H283" s="692"/>
      <c r="I283" s="694"/>
      <c r="J283" s="694"/>
      <c r="K283" s="694"/>
      <c r="L283" s="695"/>
      <c r="M283" s="695"/>
      <c r="N283" s="694"/>
      <c r="O283" s="694"/>
      <c r="P283" s="694"/>
      <c r="Q283" s="694"/>
      <c r="R283" s="694"/>
      <c r="S283" s="694"/>
      <c r="T283" s="694"/>
      <c r="U283" s="694"/>
      <c r="V283" s="694"/>
      <c r="W283" s="694"/>
      <c r="X283" s="694"/>
      <c r="Y283" s="694"/>
      <c r="Z283" s="692"/>
      <c r="AA283" s="692"/>
      <c r="AB283" s="692"/>
      <c r="AC283" s="692"/>
      <c r="AD283" s="692"/>
      <c r="AE283" s="692"/>
      <c r="AF283" s="692"/>
      <c r="AG283" s="694"/>
      <c r="AH283" s="694"/>
      <c r="AI283" s="694"/>
      <c r="AJ283" s="695"/>
      <c r="AK283" s="695"/>
      <c r="AL283" s="694"/>
      <c r="AM283" s="694"/>
      <c r="AN283" s="694"/>
      <c r="AO283" s="694"/>
      <c r="AP283" s="694"/>
      <c r="AQ283" s="694"/>
      <c r="AR283" s="694"/>
      <c r="AS283" s="694"/>
      <c r="AT283" s="694"/>
      <c r="AU283" s="694"/>
      <c r="AV283" s="694"/>
      <c r="AW283" s="694"/>
    </row>
    <row r="284" spans="1:49" s="683" customFormat="1" x14ac:dyDescent="0.2">
      <c r="A284" s="693" t="s">
        <v>184</v>
      </c>
      <c r="B284" s="692"/>
      <c r="C284" s="692"/>
      <c r="D284" s="692"/>
      <c r="E284" s="692"/>
      <c r="F284" s="692"/>
      <c r="G284" s="692"/>
      <c r="H284" s="692"/>
      <c r="I284" s="694"/>
      <c r="J284" s="694"/>
      <c r="K284" s="694"/>
      <c r="L284" s="695"/>
      <c r="M284" s="695"/>
      <c r="N284" s="694"/>
      <c r="O284" s="694"/>
      <c r="P284" s="694"/>
      <c r="Q284" s="694"/>
      <c r="R284" s="694"/>
      <c r="S284" s="694"/>
      <c r="T284" s="694"/>
      <c r="U284" s="694"/>
      <c r="V284" s="694"/>
      <c r="W284" s="694"/>
      <c r="X284" s="694"/>
      <c r="Y284" s="694"/>
      <c r="Z284" s="692"/>
      <c r="AA284" s="692"/>
      <c r="AB284" s="692"/>
      <c r="AC284" s="692"/>
      <c r="AD284" s="692"/>
      <c r="AE284" s="692"/>
      <c r="AF284" s="692"/>
      <c r="AG284" s="694"/>
      <c r="AH284" s="694"/>
      <c r="AI284" s="694"/>
      <c r="AJ284" s="695"/>
      <c r="AK284" s="695"/>
      <c r="AL284" s="694"/>
      <c r="AM284" s="694"/>
      <c r="AN284" s="694"/>
      <c r="AO284" s="694"/>
      <c r="AP284" s="694"/>
      <c r="AQ284" s="694"/>
      <c r="AR284" s="694"/>
      <c r="AS284" s="694"/>
      <c r="AT284" s="694"/>
      <c r="AU284" s="694"/>
      <c r="AV284" s="694"/>
      <c r="AW284" s="694"/>
    </row>
    <row r="285" spans="1:49" s="683" customFormat="1" x14ac:dyDescent="0.2">
      <c r="A285" s="702" t="s">
        <v>490</v>
      </c>
      <c r="B285" s="692"/>
      <c r="C285" s="692">
        <f>SUM(C267-B267)</f>
        <v>18</v>
      </c>
      <c r="D285" s="692">
        <f t="shared" ref="D285:Y285" si="10">SUM(D267-C267)</f>
        <v>118</v>
      </c>
      <c r="E285" s="692">
        <f t="shared" si="10"/>
        <v>233</v>
      </c>
      <c r="F285" s="692">
        <f t="shared" si="10"/>
        <v>20</v>
      </c>
      <c r="G285" s="692">
        <f t="shared" si="10"/>
        <v>6</v>
      </c>
      <c r="H285" s="692">
        <f>SUM(H267-G267)*-1</f>
        <v>41</v>
      </c>
      <c r="I285" s="692">
        <f>SUM(I267-H267)*-1</f>
        <v>233</v>
      </c>
      <c r="J285" s="692">
        <f t="shared" si="10"/>
        <v>51</v>
      </c>
      <c r="K285" s="692">
        <f>SUM(K267-J267)*-1</f>
        <v>39</v>
      </c>
      <c r="L285" s="692">
        <f>SUM(L267-K267)*-1</f>
        <v>208</v>
      </c>
      <c r="M285" s="692">
        <f t="shared" si="10"/>
        <v>19</v>
      </c>
      <c r="N285" s="692">
        <f t="shared" si="10"/>
        <v>219</v>
      </c>
      <c r="O285" s="692">
        <f t="shared" si="10"/>
        <v>59</v>
      </c>
      <c r="P285" s="692">
        <f t="shared" si="10"/>
        <v>61</v>
      </c>
      <c r="Q285" s="692">
        <f t="shared" si="10"/>
        <v>114</v>
      </c>
      <c r="R285" s="692">
        <f t="shared" si="10"/>
        <v>34</v>
      </c>
      <c r="S285" s="692">
        <f t="shared" si="10"/>
        <v>26</v>
      </c>
      <c r="T285" s="692">
        <f t="shared" si="10"/>
        <v>25</v>
      </c>
      <c r="U285" s="692">
        <f t="shared" si="10"/>
        <v>13</v>
      </c>
      <c r="V285" s="692">
        <f>SUM(V267-U267)*-1</f>
        <v>34</v>
      </c>
      <c r="W285" s="692">
        <f>SUM(W267-V267)*-1</f>
        <v>18</v>
      </c>
      <c r="X285" s="692">
        <f>SUM(X267-W267)*-1</f>
        <v>68</v>
      </c>
      <c r="Y285" s="692">
        <f t="shared" si="10"/>
        <v>9</v>
      </c>
      <c r="Z285" s="692">
        <f>SUM(Z267-Y267)</f>
        <v>93</v>
      </c>
      <c r="AA285" s="692">
        <f>SUM(AA267-Z267)</f>
        <v>73</v>
      </c>
      <c r="AB285" s="692">
        <f>SUM(AB267-AA267)</f>
        <v>11</v>
      </c>
      <c r="AC285" s="692">
        <f>SUM(AC267-AB267)</f>
        <v>115</v>
      </c>
      <c r="AD285" s="692">
        <f>SUM(AD267-AC267)</f>
        <v>104</v>
      </c>
      <c r="AE285" s="692" t="s">
        <v>385</v>
      </c>
      <c r="AF285" s="692" t="s">
        <v>385</v>
      </c>
      <c r="AG285" s="692" t="s">
        <v>385</v>
      </c>
      <c r="AH285" s="692" t="s">
        <v>385</v>
      </c>
      <c r="AI285" s="692" t="s">
        <v>385</v>
      </c>
      <c r="AJ285" s="692" t="s">
        <v>385</v>
      </c>
      <c r="AK285" s="692" t="s">
        <v>385</v>
      </c>
      <c r="AL285" s="692" t="s">
        <v>385</v>
      </c>
      <c r="AM285" s="692" t="s">
        <v>385</v>
      </c>
      <c r="AN285" s="692" t="s">
        <v>385</v>
      </c>
      <c r="AO285" s="692" t="s">
        <v>385</v>
      </c>
      <c r="AP285" s="692" t="s">
        <v>385</v>
      </c>
      <c r="AQ285" s="692" t="s">
        <v>385</v>
      </c>
      <c r="AR285" s="692" t="s">
        <v>385</v>
      </c>
      <c r="AS285" s="692" t="s">
        <v>385</v>
      </c>
      <c r="AT285" s="692" t="s">
        <v>385</v>
      </c>
      <c r="AU285" s="692" t="s">
        <v>385</v>
      </c>
      <c r="AV285" s="692" t="s">
        <v>385</v>
      </c>
      <c r="AW285" s="692" t="s">
        <v>385</v>
      </c>
    </row>
    <row r="286" spans="1:49" s="683" customFormat="1" ht="53.25" x14ac:dyDescent="0.2">
      <c r="A286" s="703" t="s">
        <v>520</v>
      </c>
      <c r="B286" s="692"/>
      <c r="C286" s="692"/>
      <c r="D286" s="692"/>
      <c r="E286" s="692"/>
      <c r="F286" s="692"/>
      <c r="G286" s="692"/>
      <c r="H286" s="692"/>
      <c r="I286" s="694"/>
      <c r="J286" s="694"/>
      <c r="K286" s="694"/>
      <c r="L286" s="695"/>
      <c r="M286" s="695"/>
      <c r="N286" s="694"/>
      <c r="O286" s="694"/>
      <c r="P286" s="694"/>
      <c r="Q286" s="694"/>
      <c r="R286" s="694"/>
      <c r="S286" s="694"/>
      <c r="T286" s="694"/>
      <c r="U286" s="694"/>
      <c r="V286" s="694"/>
      <c r="W286" s="694"/>
      <c r="X286" s="694"/>
      <c r="Y286" s="694"/>
      <c r="Z286" s="692"/>
      <c r="AA286" s="692"/>
      <c r="AB286" s="692"/>
      <c r="AC286" s="692"/>
      <c r="AD286" s="692"/>
      <c r="AE286" s="692"/>
      <c r="AF286" s="692"/>
      <c r="AG286" s="694"/>
      <c r="AH286" s="694"/>
      <c r="AI286" s="694"/>
      <c r="AJ286" s="695"/>
      <c r="AK286" s="695"/>
      <c r="AL286" s="694"/>
      <c r="AM286" s="694"/>
      <c r="AN286" s="694"/>
      <c r="AO286" s="694"/>
      <c r="AP286" s="694"/>
      <c r="AQ286" s="694"/>
      <c r="AR286" s="694"/>
      <c r="AS286" s="694"/>
      <c r="AT286" s="694"/>
      <c r="AU286" s="694"/>
      <c r="AV286" s="694"/>
      <c r="AW286" s="694"/>
    </row>
    <row r="287" spans="1:49" s="683" customFormat="1" x14ac:dyDescent="0.2">
      <c r="A287" s="674" t="s">
        <v>492</v>
      </c>
      <c r="B287" s="692">
        <f t="shared" ref="B287:AW287" si="11">AVERAGE($B$267:$AW$267)</f>
        <v>615.79310344827582</v>
      </c>
      <c r="C287" s="692">
        <f t="shared" si="11"/>
        <v>615.79310344827582</v>
      </c>
      <c r="D287" s="692">
        <f t="shared" si="11"/>
        <v>615.79310344827582</v>
      </c>
      <c r="E287" s="692">
        <f t="shared" si="11"/>
        <v>615.79310344827582</v>
      </c>
      <c r="F287" s="692">
        <f t="shared" si="11"/>
        <v>615.79310344827582</v>
      </c>
      <c r="G287" s="692">
        <f t="shared" si="11"/>
        <v>615.79310344827582</v>
      </c>
      <c r="H287" s="692">
        <f t="shared" si="11"/>
        <v>615.79310344827582</v>
      </c>
      <c r="I287" s="692">
        <f t="shared" si="11"/>
        <v>615.79310344827582</v>
      </c>
      <c r="J287" s="692">
        <f t="shared" si="11"/>
        <v>615.79310344827582</v>
      </c>
      <c r="K287" s="692">
        <f t="shared" si="11"/>
        <v>615.79310344827582</v>
      </c>
      <c r="L287" s="692">
        <f t="shared" si="11"/>
        <v>615.79310344827582</v>
      </c>
      <c r="M287" s="692">
        <f t="shared" si="11"/>
        <v>615.79310344827582</v>
      </c>
      <c r="N287" s="692">
        <f t="shared" si="11"/>
        <v>615.79310344827582</v>
      </c>
      <c r="O287" s="692">
        <f t="shared" si="11"/>
        <v>615.79310344827582</v>
      </c>
      <c r="P287" s="692">
        <f t="shared" si="11"/>
        <v>615.79310344827582</v>
      </c>
      <c r="Q287" s="692">
        <f t="shared" si="11"/>
        <v>615.79310344827582</v>
      </c>
      <c r="R287" s="692">
        <f t="shared" si="11"/>
        <v>615.79310344827582</v>
      </c>
      <c r="S287" s="692">
        <f t="shared" si="11"/>
        <v>615.79310344827582</v>
      </c>
      <c r="T287" s="692">
        <f t="shared" si="11"/>
        <v>615.79310344827582</v>
      </c>
      <c r="U287" s="692">
        <f t="shared" si="11"/>
        <v>615.79310344827582</v>
      </c>
      <c r="V287" s="692">
        <f t="shared" si="11"/>
        <v>615.79310344827582</v>
      </c>
      <c r="W287" s="692">
        <f t="shared" si="11"/>
        <v>615.79310344827582</v>
      </c>
      <c r="X287" s="692">
        <f t="shared" si="11"/>
        <v>615.79310344827582</v>
      </c>
      <c r="Y287" s="692">
        <f t="shared" si="11"/>
        <v>615.79310344827582</v>
      </c>
      <c r="Z287" s="692">
        <f t="shared" si="11"/>
        <v>615.79310344827582</v>
      </c>
      <c r="AA287" s="692">
        <f t="shared" si="11"/>
        <v>615.79310344827582</v>
      </c>
      <c r="AB287" s="692">
        <f t="shared" si="11"/>
        <v>615.79310344827582</v>
      </c>
      <c r="AC287" s="692">
        <f t="shared" si="11"/>
        <v>615.79310344827582</v>
      </c>
      <c r="AD287" s="692">
        <f t="shared" si="11"/>
        <v>615.79310344827582</v>
      </c>
      <c r="AE287" s="692">
        <f t="shared" si="11"/>
        <v>615.79310344827582</v>
      </c>
      <c r="AF287" s="692">
        <f t="shared" si="11"/>
        <v>615.79310344827582</v>
      </c>
      <c r="AG287" s="692">
        <f t="shared" si="11"/>
        <v>615.79310344827582</v>
      </c>
      <c r="AH287" s="692">
        <f t="shared" si="11"/>
        <v>615.79310344827582</v>
      </c>
      <c r="AI287" s="692">
        <f t="shared" si="11"/>
        <v>615.79310344827582</v>
      </c>
      <c r="AJ287" s="692">
        <f t="shared" si="11"/>
        <v>615.79310344827582</v>
      </c>
      <c r="AK287" s="692">
        <f t="shared" si="11"/>
        <v>615.79310344827582</v>
      </c>
      <c r="AL287" s="692">
        <f t="shared" si="11"/>
        <v>615.79310344827582</v>
      </c>
      <c r="AM287" s="692">
        <f t="shared" si="11"/>
        <v>615.79310344827582</v>
      </c>
      <c r="AN287" s="692">
        <f t="shared" si="11"/>
        <v>615.79310344827582</v>
      </c>
      <c r="AO287" s="692">
        <f t="shared" si="11"/>
        <v>615.79310344827582</v>
      </c>
      <c r="AP287" s="692">
        <f t="shared" si="11"/>
        <v>615.79310344827582</v>
      </c>
      <c r="AQ287" s="692">
        <f t="shared" si="11"/>
        <v>615.79310344827582</v>
      </c>
      <c r="AR287" s="692">
        <f t="shared" si="11"/>
        <v>615.79310344827582</v>
      </c>
      <c r="AS287" s="692">
        <f t="shared" si="11"/>
        <v>615.79310344827582</v>
      </c>
      <c r="AT287" s="692">
        <f t="shared" si="11"/>
        <v>615.79310344827582</v>
      </c>
      <c r="AU287" s="692">
        <f t="shared" si="11"/>
        <v>615.79310344827582</v>
      </c>
      <c r="AV287" s="692">
        <f t="shared" si="11"/>
        <v>615.79310344827582</v>
      </c>
      <c r="AW287" s="692">
        <f t="shared" si="11"/>
        <v>615.79310344827582</v>
      </c>
    </row>
    <row r="288" spans="1:49" s="683" customFormat="1" x14ac:dyDescent="0.2">
      <c r="A288" s="702" t="s">
        <v>491</v>
      </c>
      <c r="B288" s="692">
        <f>SUM(C285:AW285)/COUNT(C285:AW285)</f>
        <v>73.642857142857139</v>
      </c>
      <c r="C288" s="692"/>
      <c r="D288" s="692"/>
      <c r="E288" s="692"/>
      <c r="F288" s="692"/>
      <c r="G288" s="692"/>
      <c r="H288" s="692"/>
      <c r="I288" s="694"/>
      <c r="J288" s="694"/>
      <c r="K288" s="694"/>
      <c r="L288" s="695"/>
      <c r="M288" s="695"/>
      <c r="N288" s="694"/>
      <c r="O288" s="694"/>
      <c r="P288" s="694"/>
      <c r="Q288" s="694"/>
      <c r="R288" s="694"/>
      <c r="S288" s="694"/>
      <c r="T288" s="694"/>
      <c r="U288" s="694"/>
      <c r="V288" s="694"/>
      <c r="W288" s="694"/>
      <c r="X288" s="694"/>
      <c r="Y288" s="694"/>
      <c r="Z288" s="692"/>
      <c r="AA288" s="692"/>
      <c r="AB288" s="692"/>
      <c r="AC288" s="692"/>
      <c r="AD288" s="692"/>
      <c r="AE288" s="692"/>
      <c r="AF288" s="692"/>
      <c r="AG288" s="694"/>
      <c r="AH288" s="694"/>
      <c r="AI288" s="694"/>
      <c r="AJ288" s="695"/>
      <c r="AK288" s="695"/>
      <c r="AL288" s="694"/>
      <c r="AM288" s="694"/>
      <c r="AN288" s="694"/>
      <c r="AO288" s="694"/>
      <c r="AP288" s="694"/>
      <c r="AQ288" s="694"/>
      <c r="AR288" s="694"/>
      <c r="AS288" s="694"/>
      <c r="AT288" s="694"/>
      <c r="AU288" s="694"/>
      <c r="AV288" s="694"/>
      <c r="AW288" s="694"/>
    </row>
    <row r="289" spans="1:49" s="683" customFormat="1" ht="25.5" x14ac:dyDescent="0.2">
      <c r="A289" s="702" t="s">
        <v>494</v>
      </c>
      <c r="B289" s="692">
        <f>SUM(B288/1.128)</f>
        <v>65.286220871327259</v>
      </c>
      <c r="C289" s="692"/>
      <c r="D289" s="692"/>
      <c r="E289" s="692"/>
      <c r="F289" s="692"/>
      <c r="G289" s="692"/>
      <c r="H289" s="692"/>
      <c r="I289" s="694"/>
      <c r="J289" s="694"/>
      <c r="K289" s="694"/>
      <c r="L289" s="695"/>
      <c r="M289" s="695"/>
      <c r="N289" s="694"/>
      <c r="O289" s="694"/>
      <c r="P289" s="694"/>
      <c r="Q289" s="694"/>
      <c r="R289" s="694"/>
      <c r="S289" s="694"/>
      <c r="T289" s="694"/>
      <c r="U289" s="694"/>
      <c r="V289" s="694"/>
      <c r="W289" s="694"/>
      <c r="X289" s="694"/>
      <c r="Y289" s="694"/>
      <c r="Z289" s="692"/>
      <c r="AA289" s="692"/>
      <c r="AB289" s="692"/>
      <c r="AC289" s="692"/>
      <c r="AD289" s="692"/>
      <c r="AE289" s="692"/>
      <c r="AF289" s="692"/>
      <c r="AG289" s="694"/>
      <c r="AH289" s="694"/>
      <c r="AI289" s="694"/>
      <c r="AJ289" s="695"/>
      <c r="AK289" s="695"/>
      <c r="AL289" s="694"/>
      <c r="AM289" s="694"/>
      <c r="AN289" s="694"/>
      <c r="AO289" s="694"/>
      <c r="AP289" s="694"/>
      <c r="AQ289" s="694"/>
      <c r="AR289" s="694"/>
      <c r="AS289" s="694"/>
      <c r="AT289" s="694"/>
      <c r="AU289" s="694"/>
      <c r="AV289" s="694"/>
      <c r="AW289" s="694"/>
    </row>
    <row r="290" spans="1:49" s="683" customFormat="1" x14ac:dyDescent="0.2">
      <c r="A290" s="702" t="s">
        <v>497</v>
      </c>
      <c r="B290" s="692">
        <f t="shared" ref="B290:AW290" si="12">SUM($B$287)+(3*$B$289)</f>
        <v>811.65176606225759</v>
      </c>
      <c r="C290" s="692">
        <f t="shared" si="12"/>
        <v>811.65176606225759</v>
      </c>
      <c r="D290" s="692">
        <f t="shared" si="12"/>
        <v>811.65176606225759</v>
      </c>
      <c r="E290" s="692">
        <f t="shared" si="12"/>
        <v>811.65176606225759</v>
      </c>
      <c r="F290" s="692">
        <f t="shared" si="12"/>
        <v>811.65176606225759</v>
      </c>
      <c r="G290" s="692">
        <f t="shared" si="12"/>
        <v>811.65176606225759</v>
      </c>
      <c r="H290" s="692">
        <f t="shared" si="12"/>
        <v>811.65176606225759</v>
      </c>
      <c r="I290" s="692">
        <f t="shared" si="12"/>
        <v>811.65176606225759</v>
      </c>
      <c r="J290" s="692">
        <f t="shared" si="12"/>
        <v>811.65176606225759</v>
      </c>
      <c r="K290" s="692">
        <f t="shared" si="12"/>
        <v>811.65176606225759</v>
      </c>
      <c r="L290" s="692">
        <f t="shared" si="12"/>
        <v>811.65176606225759</v>
      </c>
      <c r="M290" s="692">
        <f t="shared" si="12"/>
        <v>811.65176606225759</v>
      </c>
      <c r="N290" s="692">
        <f t="shared" si="12"/>
        <v>811.65176606225759</v>
      </c>
      <c r="O290" s="692">
        <f t="shared" si="12"/>
        <v>811.65176606225759</v>
      </c>
      <c r="P290" s="692">
        <f t="shared" si="12"/>
        <v>811.65176606225759</v>
      </c>
      <c r="Q290" s="692">
        <f t="shared" si="12"/>
        <v>811.65176606225759</v>
      </c>
      <c r="R290" s="692">
        <f t="shared" si="12"/>
        <v>811.65176606225759</v>
      </c>
      <c r="S290" s="692">
        <f t="shared" si="12"/>
        <v>811.65176606225759</v>
      </c>
      <c r="T290" s="692">
        <f t="shared" si="12"/>
        <v>811.65176606225759</v>
      </c>
      <c r="U290" s="692">
        <f t="shared" si="12"/>
        <v>811.65176606225759</v>
      </c>
      <c r="V290" s="692">
        <f t="shared" si="12"/>
        <v>811.65176606225759</v>
      </c>
      <c r="W290" s="692">
        <f t="shared" si="12"/>
        <v>811.65176606225759</v>
      </c>
      <c r="X290" s="692">
        <f t="shared" si="12"/>
        <v>811.65176606225759</v>
      </c>
      <c r="Y290" s="692">
        <f t="shared" si="12"/>
        <v>811.65176606225759</v>
      </c>
      <c r="Z290" s="692">
        <f t="shared" si="12"/>
        <v>811.65176606225759</v>
      </c>
      <c r="AA290" s="692">
        <f t="shared" si="12"/>
        <v>811.65176606225759</v>
      </c>
      <c r="AB290" s="692">
        <f t="shared" si="12"/>
        <v>811.65176606225759</v>
      </c>
      <c r="AC290" s="692">
        <f t="shared" si="12"/>
        <v>811.65176606225759</v>
      </c>
      <c r="AD290" s="692">
        <f t="shared" si="12"/>
        <v>811.65176606225759</v>
      </c>
      <c r="AE290" s="692">
        <f t="shared" si="12"/>
        <v>811.65176606225759</v>
      </c>
      <c r="AF290" s="692">
        <f t="shared" si="12"/>
        <v>811.65176606225759</v>
      </c>
      <c r="AG290" s="692">
        <f t="shared" si="12"/>
        <v>811.65176606225759</v>
      </c>
      <c r="AH290" s="692">
        <f t="shared" si="12"/>
        <v>811.65176606225759</v>
      </c>
      <c r="AI290" s="692">
        <f t="shared" si="12"/>
        <v>811.65176606225759</v>
      </c>
      <c r="AJ290" s="692">
        <f t="shared" si="12"/>
        <v>811.65176606225759</v>
      </c>
      <c r="AK290" s="692">
        <f t="shared" si="12"/>
        <v>811.65176606225759</v>
      </c>
      <c r="AL290" s="692">
        <f t="shared" si="12"/>
        <v>811.65176606225759</v>
      </c>
      <c r="AM290" s="692">
        <f t="shared" si="12"/>
        <v>811.65176606225759</v>
      </c>
      <c r="AN290" s="692">
        <f t="shared" si="12"/>
        <v>811.65176606225759</v>
      </c>
      <c r="AO290" s="692">
        <f t="shared" si="12"/>
        <v>811.65176606225759</v>
      </c>
      <c r="AP290" s="692">
        <f t="shared" si="12"/>
        <v>811.65176606225759</v>
      </c>
      <c r="AQ290" s="692">
        <f t="shared" si="12"/>
        <v>811.65176606225759</v>
      </c>
      <c r="AR290" s="692">
        <f t="shared" si="12"/>
        <v>811.65176606225759</v>
      </c>
      <c r="AS290" s="692">
        <f t="shared" si="12"/>
        <v>811.65176606225759</v>
      </c>
      <c r="AT290" s="692">
        <f t="shared" si="12"/>
        <v>811.65176606225759</v>
      </c>
      <c r="AU290" s="692">
        <f t="shared" si="12"/>
        <v>811.65176606225759</v>
      </c>
      <c r="AV290" s="692">
        <f t="shared" si="12"/>
        <v>811.65176606225759</v>
      </c>
      <c r="AW290" s="692">
        <f t="shared" si="12"/>
        <v>811.65176606225759</v>
      </c>
    </row>
    <row r="291" spans="1:49" s="683" customFormat="1" x14ac:dyDescent="0.2">
      <c r="A291" s="702" t="s">
        <v>499</v>
      </c>
      <c r="B291" s="692">
        <f t="shared" ref="B291:AW291" si="13">SUM($B$287)-(3*$B$289)</f>
        <v>419.93444083429404</v>
      </c>
      <c r="C291" s="692">
        <f t="shared" si="13"/>
        <v>419.93444083429404</v>
      </c>
      <c r="D291" s="692">
        <f t="shared" si="13"/>
        <v>419.93444083429404</v>
      </c>
      <c r="E291" s="692">
        <f t="shared" si="13"/>
        <v>419.93444083429404</v>
      </c>
      <c r="F291" s="692">
        <f t="shared" si="13"/>
        <v>419.93444083429404</v>
      </c>
      <c r="G291" s="692">
        <f t="shared" si="13"/>
        <v>419.93444083429404</v>
      </c>
      <c r="H291" s="692">
        <f t="shared" si="13"/>
        <v>419.93444083429404</v>
      </c>
      <c r="I291" s="692">
        <f t="shared" si="13"/>
        <v>419.93444083429404</v>
      </c>
      <c r="J291" s="692">
        <f t="shared" si="13"/>
        <v>419.93444083429404</v>
      </c>
      <c r="K291" s="692">
        <f t="shared" si="13"/>
        <v>419.93444083429404</v>
      </c>
      <c r="L291" s="692">
        <f t="shared" si="13"/>
        <v>419.93444083429404</v>
      </c>
      <c r="M291" s="692">
        <f t="shared" si="13"/>
        <v>419.93444083429404</v>
      </c>
      <c r="N291" s="692">
        <f t="shared" si="13"/>
        <v>419.93444083429404</v>
      </c>
      <c r="O291" s="692">
        <f t="shared" si="13"/>
        <v>419.93444083429404</v>
      </c>
      <c r="P291" s="692">
        <f t="shared" si="13"/>
        <v>419.93444083429404</v>
      </c>
      <c r="Q291" s="692">
        <f t="shared" si="13"/>
        <v>419.93444083429404</v>
      </c>
      <c r="R291" s="692">
        <f t="shared" si="13"/>
        <v>419.93444083429404</v>
      </c>
      <c r="S291" s="692">
        <f t="shared" si="13"/>
        <v>419.93444083429404</v>
      </c>
      <c r="T291" s="692">
        <f t="shared" si="13"/>
        <v>419.93444083429404</v>
      </c>
      <c r="U291" s="692">
        <f t="shared" si="13"/>
        <v>419.93444083429404</v>
      </c>
      <c r="V291" s="692">
        <f t="shared" si="13"/>
        <v>419.93444083429404</v>
      </c>
      <c r="W291" s="692">
        <f t="shared" si="13"/>
        <v>419.93444083429404</v>
      </c>
      <c r="X291" s="692">
        <f t="shared" si="13"/>
        <v>419.93444083429404</v>
      </c>
      <c r="Y291" s="692">
        <f t="shared" si="13"/>
        <v>419.93444083429404</v>
      </c>
      <c r="Z291" s="692">
        <f t="shared" si="13"/>
        <v>419.93444083429404</v>
      </c>
      <c r="AA291" s="692">
        <f t="shared" si="13"/>
        <v>419.93444083429404</v>
      </c>
      <c r="AB291" s="692">
        <f t="shared" si="13"/>
        <v>419.93444083429404</v>
      </c>
      <c r="AC291" s="692">
        <f t="shared" si="13"/>
        <v>419.93444083429404</v>
      </c>
      <c r="AD291" s="692">
        <f t="shared" si="13"/>
        <v>419.93444083429404</v>
      </c>
      <c r="AE291" s="692">
        <f t="shared" si="13"/>
        <v>419.93444083429404</v>
      </c>
      <c r="AF291" s="692">
        <f t="shared" si="13"/>
        <v>419.93444083429404</v>
      </c>
      <c r="AG291" s="692">
        <f t="shared" si="13"/>
        <v>419.93444083429404</v>
      </c>
      <c r="AH291" s="692">
        <f t="shared" si="13"/>
        <v>419.93444083429404</v>
      </c>
      <c r="AI291" s="692">
        <f t="shared" si="13"/>
        <v>419.93444083429404</v>
      </c>
      <c r="AJ291" s="692">
        <f t="shared" si="13"/>
        <v>419.93444083429404</v>
      </c>
      <c r="AK291" s="692">
        <f t="shared" si="13"/>
        <v>419.93444083429404</v>
      </c>
      <c r="AL291" s="692">
        <f t="shared" si="13"/>
        <v>419.93444083429404</v>
      </c>
      <c r="AM291" s="692">
        <f t="shared" si="13"/>
        <v>419.93444083429404</v>
      </c>
      <c r="AN291" s="692">
        <f t="shared" si="13"/>
        <v>419.93444083429404</v>
      </c>
      <c r="AO291" s="692">
        <f t="shared" si="13"/>
        <v>419.93444083429404</v>
      </c>
      <c r="AP291" s="692">
        <f t="shared" si="13"/>
        <v>419.93444083429404</v>
      </c>
      <c r="AQ291" s="692">
        <f t="shared" si="13"/>
        <v>419.93444083429404</v>
      </c>
      <c r="AR291" s="692">
        <f t="shared" si="13"/>
        <v>419.93444083429404</v>
      </c>
      <c r="AS291" s="692">
        <f t="shared" si="13"/>
        <v>419.93444083429404</v>
      </c>
      <c r="AT291" s="692">
        <f t="shared" si="13"/>
        <v>419.93444083429404</v>
      </c>
      <c r="AU291" s="692">
        <f t="shared" si="13"/>
        <v>419.93444083429404</v>
      </c>
      <c r="AV291" s="692">
        <f t="shared" si="13"/>
        <v>419.93444083429404</v>
      </c>
      <c r="AW291" s="692">
        <f t="shared" si="13"/>
        <v>419.93444083429404</v>
      </c>
    </row>
    <row r="292" spans="1:49" s="683" customFormat="1" ht="25.5" x14ac:dyDescent="0.2">
      <c r="A292" s="693" t="s">
        <v>513</v>
      </c>
      <c r="B292" s="692"/>
      <c r="C292" s="692"/>
      <c r="D292" s="692"/>
      <c r="E292" s="692"/>
      <c r="F292" s="692"/>
      <c r="G292" s="692"/>
      <c r="H292" s="692"/>
      <c r="I292" s="694"/>
      <c r="J292" s="694"/>
      <c r="K292" s="694"/>
      <c r="L292" s="695"/>
      <c r="M292" s="695"/>
      <c r="N292" s="694"/>
      <c r="O292" s="694"/>
      <c r="P292" s="694"/>
      <c r="Q292" s="694"/>
      <c r="R292" s="694"/>
      <c r="S292" s="694"/>
      <c r="T292" s="694"/>
      <c r="U292" s="694"/>
      <c r="V292" s="694"/>
      <c r="W292" s="694"/>
      <c r="X292" s="694"/>
      <c r="Y292" s="694"/>
      <c r="Z292" s="692"/>
      <c r="AA292" s="692"/>
      <c r="AB292" s="692"/>
      <c r="AC292" s="692"/>
      <c r="AD292" s="692"/>
      <c r="AE292" s="692"/>
      <c r="AF292" s="692"/>
      <c r="AG292" s="694"/>
      <c r="AH292" s="694"/>
      <c r="AI292" s="694"/>
      <c r="AJ292" s="695"/>
      <c r="AK292" s="695"/>
      <c r="AL292" s="694"/>
      <c r="AM292" s="694"/>
      <c r="AN292" s="694"/>
      <c r="AO292" s="694"/>
      <c r="AP292" s="694"/>
      <c r="AQ292" s="694"/>
      <c r="AR292" s="694"/>
      <c r="AS292" s="694"/>
      <c r="AT292" s="694"/>
      <c r="AU292" s="694"/>
      <c r="AV292" s="694"/>
      <c r="AW292" s="694"/>
    </row>
    <row r="293" spans="1:49" s="683" customFormat="1" ht="30" x14ac:dyDescent="0.2">
      <c r="A293" s="699" t="s">
        <v>395</v>
      </c>
      <c r="B293" s="700" t="s">
        <v>515</v>
      </c>
      <c r="C293" s="692"/>
      <c r="D293" s="692"/>
      <c r="E293" s="692"/>
      <c r="F293" s="692"/>
      <c r="G293" s="692"/>
      <c r="H293" s="692"/>
      <c r="I293" s="694"/>
      <c r="J293" s="694"/>
      <c r="K293" s="694"/>
      <c r="L293" s="695"/>
      <c r="M293" s="695"/>
      <c r="N293" s="694"/>
      <c r="O293" s="694"/>
      <c r="P293" s="694"/>
      <c r="Q293" s="694"/>
      <c r="R293" s="694"/>
      <c r="S293" s="694"/>
      <c r="T293" s="694"/>
      <c r="U293" s="694"/>
      <c r="V293" s="694"/>
      <c r="W293" s="694"/>
      <c r="X293" s="694"/>
      <c r="Y293" s="694"/>
      <c r="Z293" s="692"/>
      <c r="AA293" s="692"/>
      <c r="AB293" s="692"/>
      <c r="AC293" s="692"/>
      <c r="AD293" s="692"/>
      <c r="AE293" s="692"/>
      <c r="AF293" s="692"/>
      <c r="AG293" s="694"/>
      <c r="AH293" s="694"/>
      <c r="AI293" s="694"/>
      <c r="AJ293" s="695"/>
      <c r="AK293" s="695"/>
      <c r="AL293" s="694"/>
      <c r="AM293" s="694"/>
      <c r="AN293" s="694"/>
      <c r="AO293" s="694"/>
      <c r="AP293" s="694"/>
      <c r="AQ293" s="694"/>
      <c r="AR293" s="694"/>
      <c r="AS293" s="694"/>
      <c r="AT293" s="694"/>
      <c r="AU293" s="694"/>
      <c r="AV293" s="694"/>
      <c r="AW293" s="694"/>
    </row>
    <row r="294" spans="1:49" s="683" customFormat="1" x14ac:dyDescent="0.2">
      <c r="A294" s="693" t="s">
        <v>131</v>
      </c>
      <c r="B294" s="692"/>
      <c r="C294" s="692"/>
      <c r="D294" s="692"/>
      <c r="E294" s="692"/>
      <c r="F294" s="692"/>
      <c r="G294" s="692"/>
      <c r="H294" s="692"/>
      <c r="I294" s="694"/>
      <c r="J294" s="694"/>
      <c r="K294" s="694"/>
      <c r="L294" s="695"/>
      <c r="M294" s="695"/>
      <c r="N294" s="694"/>
      <c r="O294" s="694"/>
      <c r="P294" s="694"/>
      <c r="Q294" s="694"/>
      <c r="R294" s="694"/>
      <c r="S294" s="694"/>
      <c r="T294" s="694"/>
      <c r="U294" s="694"/>
      <c r="V294" s="694"/>
      <c r="W294" s="694"/>
      <c r="X294" s="694"/>
      <c r="Y294" s="694"/>
      <c r="Z294" s="692"/>
      <c r="AA294" s="692"/>
      <c r="AB294" s="692"/>
      <c r="AC294" s="692"/>
      <c r="AD294" s="692"/>
      <c r="AE294" s="692"/>
      <c r="AF294" s="692"/>
      <c r="AG294" s="694"/>
      <c r="AH294" s="694"/>
      <c r="AI294" s="694"/>
      <c r="AJ294" s="695"/>
      <c r="AK294" s="695"/>
      <c r="AL294" s="694"/>
      <c r="AM294" s="694"/>
      <c r="AN294" s="694"/>
      <c r="AO294" s="694"/>
      <c r="AP294" s="694"/>
      <c r="AQ294" s="694"/>
      <c r="AR294" s="694"/>
      <c r="AS294" s="694"/>
      <c r="AT294" s="694"/>
      <c r="AU294" s="694"/>
      <c r="AV294" s="694"/>
      <c r="AW294" s="694"/>
    </row>
    <row r="295" spans="1:49" s="683" customFormat="1" x14ac:dyDescent="0.2">
      <c r="A295" s="693" t="s">
        <v>184</v>
      </c>
      <c r="B295" s="692"/>
      <c r="C295" s="692"/>
      <c r="D295" s="692"/>
      <c r="E295" s="692"/>
      <c r="F295" s="692"/>
      <c r="G295" s="692"/>
      <c r="H295" s="692"/>
      <c r="I295" s="694"/>
      <c r="J295" s="694"/>
      <c r="K295" s="694"/>
      <c r="L295" s="695"/>
      <c r="M295" s="695"/>
      <c r="N295" s="694"/>
      <c r="O295" s="694"/>
      <c r="P295" s="694"/>
      <c r="Q295" s="694"/>
      <c r="R295" s="694"/>
      <c r="S295" s="694"/>
      <c r="T295" s="694"/>
      <c r="U295" s="694"/>
      <c r="V295" s="694"/>
      <c r="W295" s="694"/>
      <c r="X295" s="694"/>
      <c r="Y295" s="694"/>
      <c r="Z295" s="692"/>
      <c r="AA295" s="692"/>
      <c r="AB295" s="692"/>
      <c r="AC295" s="692"/>
      <c r="AD295" s="692"/>
      <c r="AE295" s="692"/>
      <c r="AF295" s="692"/>
      <c r="AG295" s="694"/>
      <c r="AH295" s="694"/>
      <c r="AI295" s="694"/>
      <c r="AJ295" s="695"/>
      <c r="AK295" s="695"/>
      <c r="AL295" s="694"/>
      <c r="AM295" s="694"/>
      <c r="AN295" s="694"/>
      <c r="AO295" s="694"/>
      <c r="AP295" s="694"/>
      <c r="AQ295" s="694"/>
      <c r="AR295" s="694"/>
      <c r="AS295" s="694"/>
      <c r="AT295" s="694"/>
      <c r="AU295" s="694"/>
      <c r="AV295" s="694"/>
      <c r="AW295" s="694"/>
    </row>
    <row r="296" spans="1:49" s="683" customFormat="1" x14ac:dyDescent="0.2">
      <c r="A296" s="702" t="s">
        <v>490</v>
      </c>
      <c r="B296" s="692"/>
      <c r="C296" s="692">
        <f>SUM(C268-B268)</f>
        <v>22</v>
      </c>
      <c r="D296" s="692">
        <f t="shared" ref="D296:Y296" si="14">SUM(D268-C268)</f>
        <v>10</v>
      </c>
      <c r="E296" s="692">
        <f t="shared" si="14"/>
        <v>16</v>
      </c>
      <c r="F296" s="692">
        <f>SUM(F268-E268)*-1</f>
        <v>32</v>
      </c>
      <c r="G296" s="692">
        <f>SUM(G268-F268)*-1</f>
        <v>43</v>
      </c>
      <c r="H296" s="692">
        <f t="shared" si="14"/>
        <v>11</v>
      </c>
      <c r="I296" s="692">
        <f>SUM(I268-H268)*-1</f>
        <v>75</v>
      </c>
      <c r="J296" s="692">
        <f>SUM(J268-I268)*-1</f>
        <v>9</v>
      </c>
      <c r="K296" s="692">
        <f t="shared" si="14"/>
        <v>11</v>
      </c>
      <c r="L296" s="692">
        <f>SUM(L268-K268)*-1</f>
        <v>31</v>
      </c>
      <c r="M296" s="692">
        <f t="shared" si="14"/>
        <v>20</v>
      </c>
      <c r="N296" s="692">
        <f t="shared" si="14"/>
        <v>47</v>
      </c>
      <c r="O296" s="692">
        <f>SUM(O268-N268)*-1</f>
        <v>11</v>
      </c>
      <c r="P296" s="692">
        <f>SUM(P268-O268)*-1</f>
        <v>6</v>
      </c>
      <c r="Q296" s="692">
        <f t="shared" si="14"/>
        <v>52</v>
      </c>
      <c r="R296" s="692">
        <f t="shared" si="14"/>
        <v>103</v>
      </c>
      <c r="S296" s="692">
        <f t="shared" si="14"/>
        <v>44</v>
      </c>
      <c r="T296" s="692">
        <f t="shared" si="14"/>
        <v>4</v>
      </c>
      <c r="U296" s="692">
        <f>SUM(U268-T268)*-1</f>
        <v>20</v>
      </c>
      <c r="V296" s="692">
        <f>SUM(V268-U268)*-1</f>
        <v>67</v>
      </c>
      <c r="W296" s="692">
        <f t="shared" si="14"/>
        <v>37</v>
      </c>
      <c r="X296" s="692">
        <f>SUM(X268-W268)*-1</f>
        <v>46</v>
      </c>
      <c r="Y296" s="692">
        <f t="shared" si="14"/>
        <v>12</v>
      </c>
      <c r="Z296" s="692">
        <f>SUM(Z268-Y268)</f>
        <v>61</v>
      </c>
      <c r="AA296" s="692">
        <f>SUM(AA268-Z268)</f>
        <v>5</v>
      </c>
      <c r="AB296" s="692">
        <f>SUM(AB268-AA268)</f>
        <v>43</v>
      </c>
      <c r="AC296" s="692">
        <f>SUM(AC268-AB268)</f>
        <v>30</v>
      </c>
      <c r="AD296" s="692">
        <f>SUM(AD268-AC268)</f>
        <v>9</v>
      </c>
      <c r="AE296" s="692" t="s">
        <v>385</v>
      </c>
      <c r="AF296" s="692" t="s">
        <v>385</v>
      </c>
      <c r="AG296" s="692" t="s">
        <v>385</v>
      </c>
      <c r="AH296" s="692" t="s">
        <v>385</v>
      </c>
      <c r="AI296" s="692" t="s">
        <v>385</v>
      </c>
      <c r="AJ296" s="692" t="s">
        <v>385</v>
      </c>
      <c r="AK296" s="692" t="s">
        <v>385</v>
      </c>
      <c r="AL296" s="692" t="s">
        <v>385</v>
      </c>
      <c r="AM296" s="692" t="s">
        <v>385</v>
      </c>
      <c r="AN296" s="692" t="s">
        <v>385</v>
      </c>
      <c r="AO296" s="692" t="s">
        <v>385</v>
      </c>
      <c r="AP296" s="692" t="s">
        <v>385</v>
      </c>
      <c r="AQ296" s="692" t="s">
        <v>385</v>
      </c>
      <c r="AR296" s="692" t="s">
        <v>385</v>
      </c>
      <c r="AS296" s="692" t="s">
        <v>385</v>
      </c>
      <c r="AT296" s="692" t="s">
        <v>385</v>
      </c>
      <c r="AU296" s="692" t="s">
        <v>385</v>
      </c>
      <c r="AV296" s="692" t="s">
        <v>385</v>
      </c>
      <c r="AW296" s="692" t="s">
        <v>385</v>
      </c>
    </row>
    <row r="297" spans="1:49" s="683" customFormat="1" ht="53.25" x14ac:dyDescent="0.2">
      <c r="A297" s="703" t="s">
        <v>520</v>
      </c>
      <c r="B297" s="692"/>
      <c r="C297" s="692"/>
      <c r="D297" s="692"/>
      <c r="E297" s="692"/>
      <c r="F297" s="692"/>
      <c r="G297" s="692"/>
      <c r="H297" s="692"/>
      <c r="I297" s="694"/>
      <c r="J297" s="694"/>
      <c r="K297" s="694"/>
      <c r="L297" s="695"/>
      <c r="M297" s="695"/>
      <c r="N297" s="694"/>
      <c r="O297" s="694"/>
      <c r="P297" s="694"/>
      <c r="Q297" s="694"/>
      <c r="R297" s="694"/>
      <c r="S297" s="694"/>
      <c r="T297" s="694"/>
      <c r="U297" s="694"/>
      <c r="V297" s="694"/>
      <c r="W297" s="694"/>
      <c r="X297" s="694"/>
      <c r="Y297" s="694"/>
      <c r="Z297" s="692"/>
      <c r="AA297" s="692"/>
      <c r="AB297" s="692"/>
      <c r="AC297" s="692"/>
      <c r="AD297" s="692"/>
      <c r="AE297" s="692"/>
      <c r="AF297" s="692"/>
      <c r="AG297" s="694"/>
      <c r="AH297" s="694"/>
      <c r="AI297" s="694"/>
      <c r="AJ297" s="695"/>
      <c r="AK297" s="695"/>
      <c r="AL297" s="694"/>
      <c r="AM297" s="694"/>
      <c r="AN297" s="694"/>
      <c r="AO297" s="694"/>
      <c r="AP297" s="694"/>
      <c r="AQ297" s="694"/>
      <c r="AR297" s="694"/>
      <c r="AS297" s="694"/>
      <c r="AT297" s="694"/>
      <c r="AU297" s="694"/>
      <c r="AV297" s="694"/>
      <c r="AW297" s="694"/>
    </row>
    <row r="298" spans="1:49" s="683" customFormat="1" x14ac:dyDescent="0.2">
      <c r="A298" s="674" t="s">
        <v>492</v>
      </c>
      <c r="B298" s="692">
        <f t="shared" ref="B298:AW298" si="15">AVERAGE($B$268:$AW$268)</f>
        <v>290.0344827586207</v>
      </c>
      <c r="C298" s="692">
        <f t="shared" si="15"/>
        <v>290.0344827586207</v>
      </c>
      <c r="D298" s="692">
        <f t="shared" si="15"/>
        <v>290.0344827586207</v>
      </c>
      <c r="E298" s="692">
        <f t="shared" si="15"/>
        <v>290.0344827586207</v>
      </c>
      <c r="F298" s="692">
        <f t="shared" si="15"/>
        <v>290.0344827586207</v>
      </c>
      <c r="G298" s="692">
        <f t="shared" si="15"/>
        <v>290.0344827586207</v>
      </c>
      <c r="H298" s="692">
        <f t="shared" si="15"/>
        <v>290.0344827586207</v>
      </c>
      <c r="I298" s="692">
        <f t="shared" si="15"/>
        <v>290.0344827586207</v>
      </c>
      <c r="J298" s="692">
        <f t="shared" si="15"/>
        <v>290.0344827586207</v>
      </c>
      <c r="K298" s="692">
        <f t="shared" si="15"/>
        <v>290.0344827586207</v>
      </c>
      <c r="L298" s="692">
        <f t="shared" si="15"/>
        <v>290.0344827586207</v>
      </c>
      <c r="M298" s="692">
        <f t="shared" si="15"/>
        <v>290.0344827586207</v>
      </c>
      <c r="N298" s="692">
        <f t="shared" si="15"/>
        <v>290.0344827586207</v>
      </c>
      <c r="O298" s="692">
        <f t="shared" si="15"/>
        <v>290.0344827586207</v>
      </c>
      <c r="P298" s="692">
        <f t="shared" si="15"/>
        <v>290.0344827586207</v>
      </c>
      <c r="Q298" s="692">
        <f t="shared" si="15"/>
        <v>290.0344827586207</v>
      </c>
      <c r="R298" s="692">
        <f t="shared" si="15"/>
        <v>290.0344827586207</v>
      </c>
      <c r="S298" s="692">
        <f t="shared" si="15"/>
        <v>290.0344827586207</v>
      </c>
      <c r="T298" s="692">
        <f t="shared" si="15"/>
        <v>290.0344827586207</v>
      </c>
      <c r="U298" s="692">
        <f t="shared" si="15"/>
        <v>290.0344827586207</v>
      </c>
      <c r="V298" s="692">
        <f t="shared" si="15"/>
        <v>290.0344827586207</v>
      </c>
      <c r="W298" s="692">
        <f t="shared" si="15"/>
        <v>290.0344827586207</v>
      </c>
      <c r="X298" s="692">
        <f t="shared" si="15"/>
        <v>290.0344827586207</v>
      </c>
      <c r="Y298" s="692">
        <f t="shared" si="15"/>
        <v>290.0344827586207</v>
      </c>
      <c r="Z298" s="692">
        <f t="shared" si="15"/>
        <v>290.0344827586207</v>
      </c>
      <c r="AA298" s="692">
        <f t="shared" si="15"/>
        <v>290.0344827586207</v>
      </c>
      <c r="AB298" s="692">
        <f t="shared" si="15"/>
        <v>290.0344827586207</v>
      </c>
      <c r="AC298" s="692">
        <f t="shared" si="15"/>
        <v>290.0344827586207</v>
      </c>
      <c r="AD298" s="692">
        <f t="shared" si="15"/>
        <v>290.0344827586207</v>
      </c>
      <c r="AE298" s="692">
        <f t="shared" si="15"/>
        <v>290.0344827586207</v>
      </c>
      <c r="AF298" s="692">
        <f t="shared" si="15"/>
        <v>290.0344827586207</v>
      </c>
      <c r="AG298" s="692">
        <f t="shared" si="15"/>
        <v>290.0344827586207</v>
      </c>
      <c r="AH298" s="692">
        <f t="shared" si="15"/>
        <v>290.0344827586207</v>
      </c>
      <c r="AI298" s="692">
        <f t="shared" si="15"/>
        <v>290.0344827586207</v>
      </c>
      <c r="AJ298" s="692">
        <f t="shared" si="15"/>
        <v>290.0344827586207</v>
      </c>
      <c r="AK298" s="692">
        <f t="shared" si="15"/>
        <v>290.0344827586207</v>
      </c>
      <c r="AL298" s="692">
        <f t="shared" si="15"/>
        <v>290.0344827586207</v>
      </c>
      <c r="AM298" s="692">
        <f t="shared" si="15"/>
        <v>290.0344827586207</v>
      </c>
      <c r="AN298" s="692">
        <f t="shared" si="15"/>
        <v>290.0344827586207</v>
      </c>
      <c r="AO298" s="692">
        <f t="shared" si="15"/>
        <v>290.0344827586207</v>
      </c>
      <c r="AP298" s="692">
        <f t="shared" si="15"/>
        <v>290.0344827586207</v>
      </c>
      <c r="AQ298" s="692">
        <f t="shared" si="15"/>
        <v>290.0344827586207</v>
      </c>
      <c r="AR298" s="692">
        <f t="shared" si="15"/>
        <v>290.0344827586207</v>
      </c>
      <c r="AS298" s="692">
        <f t="shared" si="15"/>
        <v>290.0344827586207</v>
      </c>
      <c r="AT298" s="692">
        <f t="shared" si="15"/>
        <v>290.0344827586207</v>
      </c>
      <c r="AU298" s="692">
        <f t="shared" si="15"/>
        <v>290.0344827586207</v>
      </c>
      <c r="AV298" s="692">
        <f t="shared" si="15"/>
        <v>290.0344827586207</v>
      </c>
      <c r="AW298" s="692">
        <f t="shared" si="15"/>
        <v>290.0344827586207</v>
      </c>
    </row>
    <row r="299" spans="1:49" s="683" customFormat="1" x14ac:dyDescent="0.2">
      <c r="A299" s="702" t="s">
        <v>491</v>
      </c>
      <c r="B299" s="692">
        <f>SUM(C296:AW296)/COUNT(C296:AW296)</f>
        <v>31.321428571428573</v>
      </c>
      <c r="C299" s="692"/>
      <c r="D299" s="692"/>
      <c r="E299" s="692"/>
      <c r="F299" s="692"/>
      <c r="G299" s="692"/>
      <c r="H299" s="692"/>
      <c r="I299" s="694"/>
      <c r="J299" s="694"/>
      <c r="K299" s="694"/>
      <c r="L299" s="695"/>
      <c r="M299" s="695"/>
      <c r="N299" s="694"/>
      <c r="O299" s="694"/>
      <c r="P299" s="694"/>
      <c r="Q299" s="694"/>
      <c r="R299" s="694"/>
      <c r="S299" s="694"/>
      <c r="T299" s="694"/>
      <c r="U299" s="694"/>
      <c r="V299" s="694"/>
      <c r="W299" s="694"/>
      <c r="X299" s="694"/>
      <c r="Y299" s="694"/>
      <c r="Z299" s="692"/>
      <c r="AA299" s="692"/>
      <c r="AB299" s="692"/>
      <c r="AC299" s="692"/>
      <c r="AD299" s="692"/>
      <c r="AE299" s="692"/>
      <c r="AF299" s="692"/>
      <c r="AG299" s="694"/>
      <c r="AH299" s="694"/>
      <c r="AI299" s="694"/>
      <c r="AJ299" s="695"/>
      <c r="AK299" s="695"/>
      <c r="AL299" s="694"/>
      <c r="AM299" s="694"/>
      <c r="AN299" s="694"/>
      <c r="AO299" s="694"/>
      <c r="AP299" s="694"/>
      <c r="AQ299" s="694"/>
      <c r="AR299" s="694"/>
      <c r="AS299" s="694"/>
      <c r="AT299" s="694"/>
      <c r="AU299" s="694"/>
      <c r="AV299" s="694"/>
      <c r="AW299" s="694"/>
    </row>
    <row r="300" spans="1:49" s="683" customFormat="1" ht="25.5" x14ac:dyDescent="0.2">
      <c r="A300" s="702" t="s">
        <v>494</v>
      </c>
      <c r="B300" s="692">
        <f>SUM(B299)/1.128</f>
        <v>27.767223910840936</v>
      </c>
      <c r="C300" s="692"/>
      <c r="D300" s="692"/>
      <c r="E300" s="692"/>
      <c r="F300" s="692"/>
      <c r="G300" s="692"/>
      <c r="H300" s="692"/>
      <c r="I300" s="694"/>
      <c r="J300" s="694"/>
      <c r="K300" s="694"/>
      <c r="L300" s="695"/>
      <c r="M300" s="695"/>
      <c r="N300" s="694"/>
      <c r="O300" s="694"/>
      <c r="P300" s="694"/>
      <c r="Q300" s="694"/>
      <c r="R300" s="694"/>
      <c r="S300" s="694"/>
      <c r="T300" s="694"/>
      <c r="U300" s="694"/>
      <c r="V300" s="694"/>
      <c r="W300" s="694"/>
      <c r="X300" s="694"/>
      <c r="Y300" s="694"/>
      <c r="Z300" s="692"/>
      <c r="AA300" s="692"/>
      <c r="AB300" s="692"/>
      <c r="AC300" s="692"/>
      <c r="AD300" s="692"/>
      <c r="AE300" s="692"/>
      <c r="AF300" s="692"/>
      <c r="AG300" s="694"/>
      <c r="AH300" s="694"/>
      <c r="AI300" s="694"/>
      <c r="AJ300" s="695"/>
      <c r="AK300" s="695"/>
      <c r="AL300" s="694"/>
      <c r="AM300" s="694"/>
      <c r="AN300" s="694"/>
      <c r="AO300" s="694"/>
      <c r="AP300" s="694"/>
      <c r="AQ300" s="694"/>
      <c r="AR300" s="694"/>
      <c r="AS300" s="694"/>
      <c r="AT300" s="694"/>
      <c r="AU300" s="694"/>
      <c r="AV300" s="694"/>
      <c r="AW300" s="694"/>
    </row>
    <row r="301" spans="1:49" s="683" customFormat="1" x14ac:dyDescent="0.2">
      <c r="A301" s="702" t="s">
        <v>497</v>
      </c>
      <c r="B301" s="692">
        <f t="shared" ref="B301:AW301" si="16">$B$298+(3*$B$300)</f>
        <v>373.33615449114347</v>
      </c>
      <c r="C301" s="692">
        <f t="shared" si="16"/>
        <v>373.33615449114347</v>
      </c>
      <c r="D301" s="692">
        <f t="shared" si="16"/>
        <v>373.33615449114347</v>
      </c>
      <c r="E301" s="692">
        <f t="shared" si="16"/>
        <v>373.33615449114347</v>
      </c>
      <c r="F301" s="692">
        <f t="shared" si="16"/>
        <v>373.33615449114347</v>
      </c>
      <c r="G301" s="692">
        <f t="shared" si="16"/>
        <v>373.33615449114347</v>
      </c>
      <c r="H301" s="692">
        <f t="shared" si="16"/>
        <v>373.33615449114347</v>
      </c>
      <c r="I301" s="692">
        <f t="shared" si="16"/>
        <v>373.33615449114347</v>
      </c>
      <c r="J301" s="692">
        <f t="shared" si="16"/>
        <v>373.33615449114347</v>
      </c>
      <c r="K301" s="692">
        <f t="shared" si="16"/>
        <v>373.33615449114347</v>
      </c>
      <c r="L301" s="692">
        <f t="shared" si="16"/>
        <v>373.33615449114347</v>
      </c>
      <c r="M301" s="692">
        <f t="shared" si="16"/>
        <v>373.33615449114347</v>
      </c>
      <c r="N301" s="692">
        <f t="shared" si="16"/>
        <v>373.33615449114347</v>
      </c>
      <c r="O301" s="692">
        <f t="shared" si="16"/>
        <v>373.33615449114347</v>
      </c>
      <c r="P301" s="692">
        <f t="shared" si="16"/>
        <v>373.33615449114347</v>
      </c>
      <c r="Q301" s="692">
        <f t="shared" si="16"/>
        <v>373.33615449114347</v>
      </c>
      <c r="R301" s="692">
        <f t="shared" si="16"/>
        <v>373.33615449114347</v>
      </c>
      <c r="S301" s="692">
        <f t="shared" si="16"/>
        <v>373.33615449114347</v>
      </c>
      <c r="T301" s="692">
        <f t="shared" si="16"/>
        <v>373.33615449114347</v>
      </c>
      <c r="U301" s="692">
        <f t="shared" si="16"/>
        <v>373.33615449114347</v>
      </c>
      <c r="V301" s="692">
        <f t="shared" si="16"/>
        <v>373.33615449114347</v>
      </c>
      <c r="W301" s="692">
        <f t="shared" si="16"/>
        <v>373.33615449114347</v>
      </c>
      <c r="X301" s="692">
        <f t="shared" si="16"/>
        <v>373.33615449114347</v>
      </c>
      <c r="Y301" s="692">
        <f t="shared" si="16"/>
        <v>373.33615449114347</v>
      </c>
      <c r="Z301" s="692">
        <f t="shared" si="16"/>
        <v>373.33615449114347</v>
      </c>
      <c r="AA301" s="692">
        <f t="shared" si="16"/>
        <v>373.33615449114347</v>
      </c>
      <c r="AB301" s="692">
        <f t="shared" si="16"/>
        <v>373.33615449114347</v>
      </c>
      <c r="AC301" s="692">
        <f t="shared" si="16"/>
        <v>373.33615449114347</v>
      </c>
      <c r="AD301" s="692">
        <f t="shared" si="16"/>
        <v>373.33615449114347</v>
      </c>
      <c r="AE301" s="692">
        <f t="shared" si="16"/>
        <v>373.33615449114347</v>
      </c>
      <c r="AF301" s="692">
        <f t="shared" si="16"/>
        <v>373.33615449114347</v>
      </c>
      <c r="AG301" s="692">
        <f t="shared" si="16"/>
        <v>373.33615449114347</v>
      </c>
      <c r="AH301" s="692">
        <f t="shared" si="16"/>
        <v>373.33615449114347</v>
      </c>
      <c r="AI301" s="692">
        <f t="shared" si="16"/>
        <v>373.33615449114347</v>
      </c>
      <c r="AJ301" s="692">
        <f t="shared" si="16"/>
        <v>373.33615449114347</v>
      </c>
      <c r="AK301" s="692">
        <f t="shared" si="16"/>
        <v>373.33615449114347</v>
      </c>
      <c r="AL301" s="692">
        <f t="shared" si="16"/>
        <v>373.33615449114347</v>
      </c>
      <c r="AM301" s="692">
        <f t="shared" si="16"/>
        <v>373.33615449114347</v>
      </c>
      <c r="AN301" s="692">
        <f t="shared" si="16"/>
        <v>373.33615449114347</v>
      </c>
      <c r="AO301" s="692">
        <f t="shared" si="16"/>
        <v>373.33615449114347</v>
      </c>
      <c r="AP301" s="692">
        <f t="shared" si="16"/>
        <v>373.33615449114347</v>
      </c>
      <c r="AQ301" s="692">
        <f t="shared" si="16"/>
        <v>373.33615449114347</v>
      </c>
      <c r="AR301" s="692">
        <f t="shared" si="16"/>
        <v>373.33615449114347</v>
      </c>
      <c r="AS301" s="692">
        <f t="shared" si="16"/>
        <v>373.33615449114347</v>
      </c>
      <c r="AT301" s="692">
        <f t="shared" si="16"/>
        <v>373.33615449114347</v>
      </c>
      <c r="AU301" s="692">
        <f t="shared" si="16"/>
        <v>373.33615449114347</v>
      </c>
      <c r="AV301" s="692">
        <f t="shared" si="16"/>
        <v>373.33615449114347</v>
      </c>
      <c r="AW301" s="692">
        <f t="shared" si="16"/>
        <v>373.33615449114347</v>
      </c>
    </row>
    <row r="302" spans="1:49" s="683" customFormat="1" x14ac:dyDescent="0.2">
      <c r="A302" s="702" t="s">
        <v>499</v>
      </c>
      <c r="B302" s="692">
        <f t="shared" ref="B302:AW302" si="17">$B$298-(3*$B$300)</f>
        <v>206.73281102609789</v>
      </c>
      <c r="C302" s="692">
        <f t="shared" si="17"/>
        <v>206.73281102609789</v>
      </c>
      <c r="D302" s="692">
        <f t="shared" si="17"/>
        <v>206.73281102609789</v>
      </c>
      <c r="E302" s="692">
        <f t="shared" si="17"/>
        <v>206.73281102609789</v>
      </c>
      <c r="F302" s="692">
        <f t="shared" si="17"/>
        <v>206.73281102609789</v>
      </c>
      <c r="G302" s="692">
        <f t="shared" si="17"/>
        <v>206.73281102609789</v>
      </c>
      <c r="H302" s="692">
        <f t="shared" si="17"/>
        <v>206.73281102609789</v>
      </c>
      <c r="I302" s="692">
        <f t="shared" si="17"/>
        <v>206.73281102609789</v>
      </c>
      <c r="J302" s="692">
        <f t="shared" si="17"/>
        <v>206.73281102609789</v>
      </c>
      <c r="K302" s="692">
        <f t="shared" si="17"/>
        <v>206.73281102609789</v>
      </c>
      <c r="L302" s="692">
        <f t="shared" si="17"/>
        <v>206.73281102609789</v>
      </c>
      <c r="M302" s="692">
        <f t="shared" si="17"/>
        <v>206.73281102609789</v>
      </c>
      <c r="N302" s="692">
        <f t="shared" si="17"/>
        <v>206.73281102609789</v>
      </c>
      <c r="O302" s="692">
        <f t="shared" si="17"/>
        <v>206.73281102609789</v>
      </c>
      <c r="P302" s="692">
        <f t="shared" si="17"/>
        <v>206.73281102609789</v>
      </c>
      <c r="Q302" s="692">
        <f t="shared" si="17"/>
        <v>206.73281102609789</v>
      </c>
      <c r="R302" s="692">
        <f t="shared" si="17"/>
        <v>206.73281102609789</v>
      </c>
      <c r="S302" s="692">
        <f t="shared" si="17"/>
        <v>206.73281102609789</v>
      </c>
      <c r="T302" s="692">
        <f t="shared" si="17"/>
        <v>206.73281102609789</v>
      </c>
      <c r="U302" s="692">
        <f t="shared" si="17"/>
        <v>206.73281102609789</v>
      </c>
      <c r="V302" s="692">
        <f t="shared" si="17"/>
        <v>206.73281102609789</v>
      </c>
      <c r="W302" s="692">
        <f t="shared" si="17"/>
        <v>206.73281102609789</v>
      </c>
      <c r="X302" s="692">
        <f t="shared" si="17"/>
        <v>206.73281102609789</v>
      </c>
      <c r="Y302" s="692">
        <f t="shared" si="17"/>
        <v>206.73281102609789</v>
      </c>
      <c r="Z302" s="692">
        <f t="shared" si="17"/>
        <v>206.73281102609789</v>
      </c>
      <c r="AA302" s="692">
        <f t="shared" si="17"/>
        <v>206.73281102609789</v>
      </c>
      <c r="AB302" s="692">
        <f t="shared" si="17"/>
        <v>206.73281102609789</v>
      </c>
      <c r="AC302" s="692">
        <f t="shared" si="17"/>
        <v>206.73281102609789</v>
      </c>
      <c r="AD302" s="692">
        <f t="shared" si="17"/>
        <v>206.73281102609789</v>
      </c>
      <c r="AE302" s="692">
        <f t="shared" si="17"/>
        <v>206.73281102609789</v>
      </c>
      <c r="AF302" s="692">
        <f t="shared" si="17"/>
        <v>206.73281102609789</v>
      </c>
      <c r="AG302" s="692">
        <f t="shared" si="17"/>
        <v>206.73281102609789</v>
      </c>
      <c r="AH302" s="692">
        <f t="shared" si="17"/>
        <v>206.73281102609789</v>
      </c>
      <c r="AI302" s="692">
        <f t="shared" si="17"/>
        <v>206.73281102609789</v>
      </c>
      <c r="AJ302" s="692">
        <f t="shared" si="17"/>
        <v>206.73281102609789</v>
      </c>
      <c r="AK302" s="692">
        <f t="shared" si="17"/>
        <v>206.73281102609789</v>
      </c>
      <c r="AL302" s="692">
        <f t="shared" si="17"/>
        <v>206.73281102609789</v>
      </c>
      <c r="AM302" s="692">
        <f t="shared" si="17"/>
        <v>206.73281102609789</v>
      </c>
      <c r="AN302" s="692">
        <f t="shared" si="17"/>
        <v>206.73281102609789</v>
      </c>
      <c r="AO302" s="692">
        <f t="shared" si="17"/>
        <v>206.73281102609789</v>
      </c>
      <c r="AP302" s="692">
        <f t="shared" si="17"/>
        <v>206.73281102609789</v>
      </c>
      <c r="AQ302" s="692">
        <f t="shared" si="17"/>
        <v>206.73281102609789</v>
      </c>
      <c r="AR302" s="692">
        <f t="shared" si="17"/>
        <v>206.73281102609789</v>
      </c>
      <c r="AS302" s="692">
        <f t="shared" si="17"/>
        <v>206.73281102609789</v>
      </c>
      <c r="AT302" s="692">
        <f t="shared" si="17"/>
        <v>206.73281102609789</v>
      </c>
      <c r="AU302" s="692">
        <f t="shared" si="17"/>
        <v>206.73281102609789</v>
      </c>
      <c r="AV302" s="692">
        <f t="shared" si="17"/>
        <v>206.73281102609789</v>
      </c>
      <c r="AW302" s="692">
        <f t="shared" si="17"/>
        <v>206.73281102609789</v>
      </c>
    </row>
    <row r="303" spans="1:49" s="683" customFormat="1" ht="25.5" x14ac:dyDescent="0.2">
      <c r="A303" s="693" t="s">
        <v>513</v>
      </c>
      <c r="B303" s="692"/>
      <c r="C303" s="692"/>
      <c r="D303" s="692"/>
      <c r="E303" s="692"/>
      <c r="F303" s="692"/>
      <c r="G303" s="692"/>
      <c r="H303" s="692"/>
      <c r="I303" s="694"/>
      <c r="J303" s="694"/>
      <c r="K303" s="694"/>
      <c r="L303" s="695"/>
      <c r="M303" s="695"/>
      <c r="N303" s="694"/>
      <c r="O303" s="694"/>
      <c r="P303" s="694"/>
      <c r="Q303" s="694"/>
      <c r="R303" s="694"/>
      <c r="S303" s="694"/>
      <c r="T303" s="694"/>
      <c r="U303" s="694"/>
      <c r="V303" s="694"/>
      <c r="W303" s="694"/>
      <c r="X303" s="694"/>
      <c r="Y303" s="694"/>
      <c r="Z303" s="692"/>
      <c r="AA303" s="692"/>
      <c r="AB303" s="692"/>
      <c r="AC303" s="692"/>
      <c r="AD303" s="692"/>
      <c r="AE303" s="692"/>
      <c r="AF303" s="692"/>
      <c r="AG303" s="694"/>
      <c r="AH303" s="694"/>
      <c r="AI303" s="694"/>
      <c r="AJ303" s="695"/>
      <c r="AK303" s="695"/>
      <c r="AL303" s="694"/>
      <c r="AM303" s="694"/>
      <c r="AN303" s="694"/>
      <c r="AO303" s="694"/>
      <c r="AP303" s="694"/>
      <c r="AQ303" s="694"/>
      <c r="AR303" s="694"/>
      <c r="AS303" s="694"/>
      <c r="AT303" s="694"/>
      <c r="AU303" s="694"/>
      <c r="AV303" s="694"/>
      <c r="AW303" s="694"/>
    </row>
    <row r="304" spans="1:49" s="683" customFormat="1" ht="15" x14ac:dyDescent="0.2">
      <c r="A304" s="699" t="s">
        <v>396</v>
      </c>
      <c r="B304" s="700" t="s">
        <v>515</v>
      </c>
      <c r="C304" s="692"/>
      <c r="D304" s="692"/>
      <c r="E304" s="692"/>
      <c r="F304" s="692"/>
      <c r="G304" s="692"/>
      <c r="H304" s="692"/>
      <c r="I304" s="694"/>
      <c r="J304" s="694"/>
      <c r="K304" s="694"/>
      <c r="L304" s="695"/>
      <c r="M304" s="695"/>
      <c r="N304" s="694"/>
      <c r="O304" s="694"/>
      <c r="P304" s="694"/>
      <c r="Q304" s="694"/>
      <c r="R304" s="694"/>
      <c r="S304" s="694"/>
      <c r="T304" s="694"/>
      <c r="U304" s="694"/>
      <c r="V304" s="694"/>
      <c r="W304" s="694"/>
      <c r="X304" s="694"/>
      <c r="Y304" s="694"/>
      <c r="Z304" s="692"/>
      <c r="AA304" s="692"/>
      <c r="AB304" s="692"/>
      <c r="AC304" s="692"/>
      <c r="AD304" s="692"/>
      <c r="AE304" s="692"/>
      <c r="AF304" s="692"/>
      <c r="AG304" s="694"/>
      <c r="AH304" s="694"/>
      <c r="AI304" s="694"/>
      <c r="AJ304" s="695"/>
      <c r="AK304" s="695"/>
      <c r="AL304" s="694"/>
      <c r="AM304" s="694"/>
      <c r="AN304" s="694"/>
      <c r="AO304" s="694"/>
      <c r="AP304" s="694"/>
      <c r="AQ304" s="694"/>
      <c r="AR304" s="694"/>
      <c r="AS304" s="694"/>
      <c r="AT304" s="694"/>
      <c r="AU304" s="694"/>
      <c r="AV304" s="694"/>
      <c r="AW304" s="694"/>
    </row>
    <row r="305" spans="1:49" s="683" customFormat="1" x14ac:dyDescent="0.2">
      <c r="A305" s="693" t="s">
        <v>131</v>
      </c>
      <c r="B305" s="692"/>
      <c r="C305" s="692"/>
      <c r="D305" s="692"/>
      <c r="E305" s="692"/>
      <c r="F305" s="692"/>
      <c r="G305" s="692"/>
      <c r="H305" s="692"/>
      <c r="I305" s="694"/>
      <c r="J305" s="694"/>
      <c r="K305" s="694"/>
      <c r="L305" s="695"/>
      <c r="M305" s="695"/>
      <c r="N305" s="694"/>
      <c r="O305" s="694"/>
      <c r="P305" s="694"/>
      <c r="Q305" s="694"/>
      <c r="R305" s="694"/>
      <c r="S305" s="694"/>
      <c r="T305" s="694"/>
      <c r="U305" s="694"/>
      <c r="V305" s="694"/>
      <c r="W305" s="694"/>
      <c r="X305" s="694"/>
      <c r="Y305" s="694"/>
      <c r="Z305" s="692"/>
      <c r="AA305" s="692"/>
      <c r="AB305" s="692"/>
      <c r="AC305" s="692"/>
      <c r="AD305" s="692"/>
      <c r="AE305" s="692"/>
      <c r="AF305" s="692"/>
      <c r="AG305" s="694"/>
      <c r="AH305" s="694"/>
      <c r="AI305" s="694"/>
      <c r="AJ305" s="695"/>
      <c r="AK305" s="695"/>
      <c r="AL305" s="694"/>
      <c r="AM305" s="694"/>
      <c r="AN305" s="694"/>
      <c r="AO305" s="694"/>
      <c r="AP305" s="694"/>
      <c r="AQ305" s="694"/>
      <c r="AR305" s="694"/>
      <c r="AS305" s="694"/>
      <c r="AT305" s="694"/>
      <c r="AU305" s="694"/>
      <c r="AV305" s="694"/>
      <c r="AW305" s="694"/>
    </row>
    <row r="306" spans="1:49" s="683" customFormat="1" x14ac:dyDescent="0.2">
      <c r="A306" s="693" t="s">
        <v>184</v>
      </c>
      <c r="B306" s="692"/>
      <c r="C306" s="692"/>
      <c r="D306" s="692"/>
      <c r="E306" s="692"/>
      <c r="F306" s="692"/>
      <c r="G306" s="692"/>
      <c r="H306" s="692"/>
      <c r="I306" s="694"/>
      <c r="J306" s="694"/>
      <c r="K306" s="694"/>
      <c r="L306" s="695"/>
      <c r="M306" s="695"/>
      <c r="N306" s="694"/>
      <c r="O306" s="694"/>
      <c r="P306" s="694"/>
      <c r="Q306" s="694"/>
      <c r="R306" s="694"/>
      <c r="S306" s="694"/>
      <c r="T306" s="694"/>
      <c r="U306" s="694"/>
      <c r="V306" s="694"/>
      <c r="W306" s="694"/>
      <c r="X306" s="694"/>
      <c r="Y306" s="694"/>
      <c r="Z306" s="692"/>
      <c r="AA306" s="692"/>
      <c r="AB306" s="692"/>
      <c r="AC306" s="692"/>
      <c r="AD306" s="692"/>
      <c r="AE306" s="692"/>
      <c r="AF306" s="692"/>
      <c r="AG306" s="694"/>
      <c r="AH306" s="694"/>
      <c r="AI306" s="694"/>
      <c r="AJ306" s="695"/>
      <c r="AK306" s="695"/>
      <c r="AL306" s="694"/>
      <c r="AM306" s="694"/>
      <c r="AN306" s="694"/>
      <c r="AO306" s="694"/>
      <c r="AP306" s="694"/>
      <c r="AQ306" s="694"/>
      <c r="AR306" s="694"/>
      <c r="AS306" s="694"/>
      <c r="AT306" s="694"/>
      <c r="AU306" s="694"/>
      <c r="AV306" s="694"/>
      <c r="AW306" s="694"/>
    </row>
    <row r="307" spans="1:49" s="683" customFormat="1" x14ac:dyDescent="0.2">
      <c r="A307" s="702" t="s">
        <v>490</v>
      </c>
      <c r="B307" s="692"/>
      <c r="C307" s="692">
        <f>(C269-B269)*-1</f>
        <v>23</v>
      </c>
      <c r="D307" s="692">
        <f t="shared" ref="D307:Y307" si="18">(D269-C269)</f>
        <v>72</v>
      </c>
      <c r="E307" s="692">
        <f t="shared" si="18"/>
        <v>114</v>
      </c>
      <c r="F307" s="692">
        <f t="shared" si="18"/>
        <v>60</v>
      </c>
      <c r="G307" s="692">
        <f t="shared" si="18"/>
        <v>17</v>
      </c>
      <c r="H307" s="692">
        <f t="shared" si="18"/>
        <v>84</v>
      </c>
      <c r="I307" s="692">
        <f>(I269-H269)*-1</f>
        <v>392</v>
      </c>
      <c r="J307" s="692">
        <f>(J269-I269)*-1</f>
        <v>133</v>
      </c>
      <c r="K307" s="692">
        <f>(K269-J269)*-1</f>
        <v>18</v>
      </c>
      <c r="L307" s="692">
        <f>(L269-K269)*-1</f>
        <v>1</v>
      </c>
      <c r="M307" s="692">
        <f t="shared" si="18"/>
        <v>10</v>
      </c>
      <c r="N307" s="692">
        <f t="shared" si="18"/>
        <v>6</v>
      </c>
      <c r="O307" s="692">
        <f t="shared" si="18"/>
        <v>30</v>
      </c>
      <c r="P307" s="692">
        <f>(P269-O269)*-1</f>
        <v>17</v>
      </c>
      <c r="Q307" s="692">
        <f t="shared" si="18"/>
        <v>43</v>
      </c>
      <c r="R307" s="692">
        <f>(R269-Q269)*-1</f>
        <v>44</v>
      </c>
      <c r="S307" s="692">
        <f t="shared" si="18"/>
        <v>40</v>
      </c>
      <c r="T307" s="692">
        <f t="shared" si="18"/>
        <v>91</v>
      </c>
      <c r="U307" s="692">
        <f t="shared" si="18"/>
        <v>61</v>
      </c>
      <c r="V307" s="692">
        <f t="shared" si="18"/>
        <v>79</v>
      </c>
      <c r="W307" s="692">
        <f t="shared" si="18"/>
        <v>116</v>
      </c>
      <c r="X307" s="692">
        <f>(X269-W269)*-1</f>
        <v>13</v>
      </c>
      <c r="Y307" s="692">
        <f t="shared" si="18"/>
        <v>66</v>
      </c>
      <c r="Z307" s="692">
        <f>(Z269-Y269)</f>
        <v>75</v>
      </c>
      <c r="AA307" s="692">
        <f>(AA269-Z269)</f>
        <v>79</v>
      </c>
      <c r="AB307" s="692">
        <f>(AB269-AA269)</f>
        <v>75</v>
      </c>
      <c r="AC307" s="692">
        <f>(AC269-AB269)*-1</f>
        <v>2</v>
      </c>
      <c r="AD307" s="692">
        <f>(AD269-AC269)</f>
        <v>31</v>
      </c>
      <c r="AE307" s="692" t="s">
        <v>385</v>
      </c>
      <c r="AF307" s="692" t="s">
        <v>385</v>
      </c>
      <c r="AG307" s="692" t="s">
        <v>385</v>
      </c>
      <c r="AH307" s="692" t="s">
        <v>385</v>
      </c>
      <c r="AI307" s="692" t="s">
        <v>385</v>
      </c>
      <c r="AJ307" s="692" t="s">
        <v>385</v>
      </c>
      <c r="AK307" s="692" t="s">
        <v>385</v>
      </c>
      <c r="AL307" s="692" t="s">
        <v>385</v>
      </c>
      <c r="AM307" s="692" t="s">
        <v>385</v>
      </c>
      <c r="AN307" s="692" t="s">
        <v>385</v>
      </c>
      <c r="AO307" s="692" t="s">
        <v>385</v>
      </c>
      <c r="AP307" s="692" t="s">
        <v>385</v>
      </c>
      <c r="AQ307" s="692" t="s">
        <v>385</v>
      </c>
      <c r="AR307" s="692" t="s">
        <v>385</v>
      </c>
      <c r="AS307" s="692" t="s">
        <v>385</v>
      </c>
      <c r="AT307" s="692" t="s">
        <v>385</v>
      </c>
      <c r="AU307" s="692" t="s">
        <v>385</v>
      </c>
      <c r="AV307" s="692" t="s">
        <v>385</v>
      </c>
      <c r="AW307" s="692" t="s">
        <v>385</v>
      </c>
    </row>
    <row r="308" spans="1:49" s="683" customFormat="1" ht="53.25" x14ac:dyDescent="0.2">
      <c r="A308" s="703" t="s">
        <v>521</v>
      </c>
      <c r="B308" s="692"/>
      <c r="C308" s="692"/>
      <c r="D308" s="692"/>
      <c r="E308" s="692"/>
      <c r="F308" s="692"/>
      <c r="G308" s="692"/>
      <c r="H308" s="692"/>
      <c r="I308" s="694"/>
      <c r="J308" s="694"/>
      <c r="K308" s="694"/>
      <c r="L308" s="695"/>
      <c r="M308" s="695"/>
      <c r="N308" s="694"/>
      <c r="O308" s="694"/>
      <c r="P308" s="694"/>
      <c r="Q308" s="694"/>
      <c r="R308" s="694"/>
      <c r="S308" s="694"/>
      <c r="T308" s="694"/>
      <c r="U308" s="694"/>
      <c r="V308" s="694"/>
      <c r="W308" s="694"/>
      <c r="X308" s="694"/>
      <c r="Y308" s="694"/>
      <c r="Z308" s="692"/>
      <c r="AA308" s="692"/>
      <c r="AB308" s="692"/>
      <c r="AC308" s="692"/>
      <c r="AD308" s="692"/>
      <c r="AE308" s="692"/>
      <c r="AF308" s="692"/>
      <c r="AG308" s="694"/>
      <c r="AH308" s="694"/>
      <c r="AI308" s="694"/>
      <c r="AJ308" s="695"/>
      <c r="AK308" s="695"/>
      <c r="AL308" s="694"/>
      <c r="AM308" s="694"/>
      <c r="AN308" s="694"/>
      <c r="AO308" s="694"/>
      <c r="AP308" s="694"/>
      <c r="AQ308" s="694"/>
      <c r="AR308" s="694"/>
      <c r="AS308" s="694"/>
      <c r="AT308" s="694"/>
      <c r="AU308" s="694"/>
      <c r="AV308" s="694"/>
      <c r="AW308" s="694"/>
    </row>
    <row r="309" spans="1:49" s="683" customFormat="1" x14ac:dyDescent="0.2">
      <c r="A309" s="674" t="s">
        <v>492</v>
      </c>
      <c r="B309" s="692">
        <f t="shared" ref="B309:AW309" si="19">AVERAGE($B$269:$AW$269)</f>
        <v>309.86206896551727</v>
      </c>
      <c r="C309" s="692">
        <f t="shared" si="19"/>
        <v>309.86206896551727</v>
      </c>
      <c r="D309" s="692">
        <f t="shared" si="19"/>
        <v>309.86206896551727</v>
      </c>
      <c r="E309" s="692">
        <f t="shared" si="19"/>
        <v>309.86206896551727</v>
      </c>
      <c r="F309" s="692">
        <f t="shared" si="19"/>
        <v>309.86206896551727</v>
      </c>
      <c r="G309" s="692">
        <f t="shared" si="19"/>
        <v>309.86206896551727</v>
      </c>
      <c r="H309" s="692">
        <f t="shared" si="19"/>
        <v>309.86206896551727</v>
      </c>
      <c r="I309" s="692">
        <f t="shared" si="19"/>
        <v>309.86206896551727</v>
      </c>
      <c r="J309" s="692">
        <f t="shared" si="19"/>
        <v>309.86206896551727</v>
      </c>
      <c r="K309" s="692">
        <f t="shared" si="19"/>
        <v>309.86206896551727</v>
      </c>
      <c r="L309" s="692">
        <f t="shared" si="19"/>
        <v>309.86206896551727</v>
      </c>
      <c r="M309" s="692">
        <f t="shared" si="19"/>
        <v>309.86206896551727</v>
      </c>
      <c r="N309" s="692">
        <f t="shared" si="19"/>
        <v>309.86206896551727</v>
      </c>
      <c r="O309" s="692">
        <f t="shared" si="19"/>
        <v>309.86206896551727</v>
      </c>
      <c r="P309" s="692">
        <f t="shared" si="19"/>
        <v>309.86206896551727</v>
      </c>
      <c r="Q309" s="692">
        <f t="shared" si="19"/>
        <v>309.86206896551727</v>
      </c>
      <c r="R309" s="692">
        <f t="shared" si="19"/>
        <v>309.86206896551727</v>
      </c>
      <c r="S309" s="692">
        <f t="shared" si="19"/>
        <v>309.86206896551727</v>
      </c>
      <c r="T309" s="692">
        <f t="shared" si="19"/>
        <v>309.86206896551727</v>
      </c>
      <c r="U309" s="692">
        <f t="shared" si="19"/>
        <v>309.86206896551727</v>
      </c>
      <c r="V309" s="692">
        <f t="shared" si="19"/>
        <v>309.86206896551727</v>
      </c>
      <c r="W309" s="692">
        <f t="shared" si="19"/>
        <v>309.86206896551727</v>
      </c>
      <c r="X309" s="692">
        <f t="shared" si="19"/>
        <v>309.86206896551727</v>
      </c>
      <c r="Y309" s="692">
        <f t="shared" si="19"/>
        <v>309.86206896551727</v>
      </c>
      <c r="Z309" s="692">
        <f t="shared" si="19"/>
        <v>309.86206896551727</v>
      </c>
      <c r="AA309" s="692">
        <f t="shared" si="19"/>
        <v>309.86206896551727</v>
      </c>
      <c r="AB309" s="692">
        <f t="shared" si="19"/>
        <v>309.86206896551727</v>
      </c>
      <c r="AC309" s="692">
        <f t="shared" si="19"/>
        <v>309.86206896551727</v>
      </c>
      <c r="AD309" s="692">
        <f t="shared" si="19"/>
        <v>309.86206896551727</v>
      </c>
      <c r="AE309" s="692">
        <f t="shared" si="19"/>
        <v>309.86206896551727</v>
      </c>
      <c r="AF309" s="692">
        <f t="shared" si="19"/>
        <v>309.86206896551727</v>
      </c>
      <c r="AG309" s="692">
        <f t="shared" si="19"/>
        <v>309.86206896551727</v>
      </c>
      <c r="AH309" s="692">
        <f t="shared" si="19"/>
        <v>309.86206896551727</v>
      </c>
      <c r="AI309" s="692">
        <f t="shared" si="19"/>
        <v>309.86206896551727</v>
      </c>
      <c r="AJ309" s="692">
        <f t="shared" si="19"/>
        <v>309.86206896551727</v>
      </c>
      <c r="AK309" s="692">
        <f t="shared" si="19"/>
        <v>309.86206896551727</v>
      </c>
      <c r="AL309" s="692">
        <f t="shared" si="19"/>
        <v>309.86206896551727</v>
      </c>
      <c r="AM309" s="692">
        <f t="shared" si="19"/>
        <v>309.86206896551727</v>
      </c>
      <c r="AN309" s="692">
        <f t="shared" si="19"/>
        <v>309.86206896551727</v>
      </c>
      <c r="AO309" s="692">
        <f t="shared" si="19"/>
        <v>309.86206896551727</v>
      </c>
      <c r="AP309" s="692">
        <f t="shared" si="19"/>
        <v>309.86206896551727</v>
      </c>
      <c r="AQ309" s="692">
        <f t="shared" si="19"/>
        <v>309.86206896551727</v>
      </c>
      <c r="AR309" s="692">
        <f t="shared" si="19"/>
        <v>309.86206896551727</v>
      </c>
      <c r="AS309" s="692">
        <f t="shared" si="19"/>
        <v>309.86206896551727</v>
      </c>
      <c r="AT309" s="692">
        <f t="shared" si="19"/>
        <v>309.86206896551727</v>
      </c>
      <c r="AU309" s="692">
        <f t="shared" si="19"/>
        <v>309.86206896551727</v>
      </c>
      <c r="AV309" s="692">
        <f t="shared" si="19"/>
        <v>309.86206896551727</v>
      </c>
      <c r="AW309" s="692">
        <f t="shared" si="19"/>
        <v>309.86206896551727</v>
      </c>
    </row>
    <row r="310" spans="1:49" s="683" customFormat="1" x14ac:dyDescent="0.2">
      <c r="A310" s="702" t="s">
        <v>491</v>
      </c>
      <c r="B310" s="692">
        <f>SUM(C307:AW307)/COUNT(C307:AW307)</f>
        <v>64</v>
      </c>
      <c r="C310" s="692"/>
      <c r="D310" s="692"/>
      <c r="E310" s="692"/>
      <c r="F310" s="692"/>
      <c r="G310" s="692"/>
      <c r="H310" s="692"/>
      <c r="I310" s="694"/>
      <c r="J310" s="694"/>
      <c r="K310" s="694"/>
      <c r="L310" s="695"/>
      <c r="M310" s="695"/>
      <c r="N310" s="694"/>
      <c r="O310" s="694"/>
      <c r="P310" s="694"/>
      <c r="Q310" s="694"/>
      <c r="R310" s="694"/>
      <c r="S310" s="694"/>
      <c r="T310" s="694"/>
      <c r="U310" s="694"/>
      <c r="V310" s="694"/>
      <c r="W310" s="694"/>
      <c r="X310" s="694"/>
      <c r="Y310" s="694"/>
      <c r="Z310" s="692"/>
      <c r="AA310" s="692"/>
      <c r="AB310" s="692"/>
      <c r="AC310" s="692"/>
      <c r="AD310" s="692"/>
      <c r="AE310" s="692"/>
      <c r="AF310" s="692"/>
      <c r="AG310" s="694"/>
      <c r="AH310" s="694"/>
      <c r="AI310" s="694"/>
      <c r="AJ310" s="695"/>
      <c r="AK310" s="695"/>
      <c r="AL310" s="694"/>
      <c r="AM310" s="694"/>
      <c r="AN310" s="694"/>
      <c r="AO310" s="694"/>
      <c r="AP310" s="694"/>
      <c r="AQ310" s="694"/>
      <c r="AR310" s="694"/>
      <c r="AS310" s="694"/>
      <c r="AT310" s="694"/>
      <c r="AU310" s="694"/>
      <c r="AV310" s="694"/>
      <c r="AW310" s="694"/>
    </row>
    <row r="311" spans="1:49" s="683" customFormat="1" ht="25.5" x14ac:dyDescent="0.2">
      <c r="A311" s="702" t="s">
        <v>494</v>
      </c>
      <c r="B311" s="692">
        <f>SUM(B310/1.128)</f>
        <v>56.737588652482273</v>
      </c>
      <c r="C311" s="692"/>
      <c r="D311" s="692"/>
      <c r="E311" s="692"/>
      <c r="F311" s="692"/>
      <c r="G311" s="692"/>
      <c r="H311" s="692"/>
      <c r="I311" s="694"/>
      <c r="J311" s="694"/>
      <c r="K311" s="694"/>
      <c r="L311" s="695"/>
      <c r="M311" s="695"/>
      <c r="N311" s="694"/>
      <c r="O311" s="694"/>
      <c r="P311" s="694"/>
      <c r="Q311" s="694"/>
      <c r="R311" s="694"/>
      <c r="S311" s="694"/>
      <c r="T311" s="694"/>
      <c r="U311" s="694"/>
      <c r="V311" s="694"/>
      <c r="W311" s="694"/>
      <c r="X311" s="694"/>
      <c r="Y311" s="694"/>
      <c r="Z311" s="692"/>
      <c r="AA311" s="692"/>
      <c r="AB311" s="692"/>
      <c r="AC311" s="692"/>
      <c r="AD311" s="692"/>
      <c r="AE311" s="692"/>
      <c r="AF311" s="692"/>
      <c r="AG311" s="694"/>
      <c r="AH311" s="694"/>
      <c r="AI311" s="694"/>
      <c r="AJ311" s="695"/>
      <c r="AK311" s="695"/>
      <c r="AL311" s="694"/>
      <c r="AM311" s="694"/>
      <c r="AN311" s="694"/>
      <c r="AO311" s="694"/>
      <c r="AP311" s="694"/>
      <c r="AQ311" s="694"/>
      <c r="AR311" s="694"/>
      <c r="AS311" s="694"/>
      <c r="AT311" s="694"/>
      <c r="AU311" s="694"/>
      <c r="AV311" s="694"/>
      <c r="AW311" s="694"/>
    </row>
    <row r="312" spans="1:49" s="683" customFormat="1" x14ac:dyDescent="0.2">
      <c r="A312" s="702" t="s">
        <v>497</v>
      </c>
      <c r="B312" s="692">
        <f t="shared" ref="B312:AW312" si="20">$B$309+(3*$B$311)</f>
        <v>480.0748349229641</v>
      </c>
      <c r="C312" s="692">
        <f t="shared" si="20"/>
        <v>480.0748349229641</v>
      </c>
      <c r="D312" s="692">
        <f t="shared" si="20"/>
        <v>480.0748349229641</v>
      </c>
      <c r="E312" s="692">
        <f t="shared" si="20"/>
        <v>480.0748349229641</v>
      </c>
      <c r="F312" s="692">
        <f t="shared" si="20"/>
        <v>480.0748349229641</v>
      </c>
      <c r="G312" s="692">
        <f t="shared" si="20"/>
        <v>480.0748349229641</v>
      </c>
      <c r="H312" s="692">
        <f t="shared" si="20"/>
        <v>480.0748349229641</v>
      </c>
      <c r="I312" s="692">
        <f t="shared" si="20"/>
        <v>480.0748349229641</v>
      </c>
      <c r="J312" s="692">
        <f t="shared" si="20"/>
        <v>480.0748349229641</v>
      </c>
      <c r="K312" s="692">
        <f t="shared" si="20"/>
        <v>480.0748349229641</v>
      </c>
      <c r="L312" s="692">
        <f t="shared" si="20"/>
        <v>480.0748349229641</v>
      </c>
      <c r="M312" s="692">
        <f t="shared" si="20"/>
        <v>480.0748349229641</v>
      </c>
      <c r="N312" s="692">
        <f t="shared" si="20"/>
        <v>480.0748349229641</v>
      </c>
      <c r="O312" s="692">
        <f t="shared" si="20"/>
        <v>480.0748349229641</v>
      </c>
      <c r="P312" s="692">
        <f t="shared" si="20"/>
        <v>480.0748349229641</v>
      </c>
      <c r="Q312" s="692">
        <f t="shared" si="20"/>
        <v>480.0748349229641</v>
      </c>
      <c r="R312" s="692">
        <f t="shared" si="20"/>
        <v>480.0748349229641</v>
      </c>
      <c r="S312" s="692">
        <f t="shared" si="20"/>
        <v>480.0748349229641</v>
      </c>
      <c r="T312" s="692">
        <f t="shared" si="20"/>
        <v>480.0748349229641</v>
      </c>
      <c r="U312" s="692">
        <f t="shared" si="20"/>
        <v>480.0748349229641</v>
      </c>
      <c r="V312" s="692">
        <f t="shared" si="20"/>
        <v>480.0748349229641</v>
      </c>
      <c r="W312" s="692">
        <f t="shared" si="20"/>
        <v>480.0748349229641</v>
      </c>
      <c r="X312" s="692">
        <f t="shared" si="20"/>
        <v>480.0748349229641</v>
      </c>
      <c r="Y312" s="692">
        <f t="shared" si="20"/>
        <v>480.0748349229641</v>
      </c>
      <c r="Z312" s="692">
        <f t="shared" si="20"/>
        <v>480.0748349229641</v>
      </c>
      <c r="AA312" s="692">
        <f t="shared" si="20"/>
        <v>480.0748349229641</v>
      </c>
      <c r="AB312" s="692">
        <f t="shared" si="20"/>
        <v>480.0748349229641</v>
      </c>
      <c r="AC312" s="692">
        <f t="shared" si="20"/>
        <v>480.0748349229641</v>
      </c>
      <c r="AD312" s="692">
        <f t="shared" si="20"/>
        <v>480.0748349229641</v>
      </c>
      <c r="AE312" s="692">
        <f t="shared" si="20"/>
        <v>480.0748349229641</v>
      </c>
      <c r="AF312" s="692">
        <f t="shared" si="20"/>
        <v>480.0748349229641</v>
      </c>
      <c r="AG312" s="692">
        <f t="shared" si="20"/>
        <v>480.0748349229641</v>
      </c>
      <c r="AH312" s="692">
        <f t="shared" si="20"/>
        <v>480.0748349229641</v>
      </c>
      <c r="AI312" s="692">
        <f t="shared" si="20"/>
        <v>480.0748349229641</v>
      </c>
      <c r="AJ312" s="692">
        <f t="shared" si="20"/>
        <v>480.0748349229641</v>
      </c>
      <c r="AK312" s="692">
        <f t="shared" si="20"/>
        <v>480.0748349229641</v>
      </c>
      <c r="AL312" s="692">
        <f t="shared" si="20"/>
        <v>480.0748349229641</v>
      </c>
      <c r="AM312" s="692">
        <f t="shared" si="20"/>
        <v>480.0748349229641</v>
      </c>
      <c r="AN312" s="692">
        <f t="shared" si="20"/>
        <v>480.0748349229641</v>
      </c>
      <c r="AO312" s="692">
        <f t="shared" si="20"/>
        <v>480.0748349229641</v>
      </c>
      <c r="AP312" s="692">
        <f t="shared" si="20"/>
        <v>480.0748349229641</v>
      </c>
      <c r="AQ312" s="692">
        <f t="shared" si="20"/>
        <v>480.0748349229641</v>
      </c>
      <c r="AR312" s="692">
        <f t="shared" si="20"/>
        <v>480.0748349229641</v>
      </c>
      <c r="AS312" s="692">
        <f t="shared" si="20"/>
        <v>480.0748349229641</v>
      </c>
      <c r="AT312" s="692">
        <f t="shared" si="20"/>
        <v>480.0748349229641</v>
      </c>
      <c r="AU312" s="692">
        <f t="shared" si="20"/>
        <v>480.0748349229641</v>
      </c>
      <c r="AV312" s="692">
        <f t="shared" si="20"/>
        <v>480.0748349229641</v>
      </c>
      <c r="AW312" s="692">
        <f t="shared" si="20"/>
        <v>480.0748349229641</v>
      </c>
    </row>
    <row r="313" spans="1:49" s="683" customFormat="1" x14ac:dyDescent="0.2">
      <c r="A313" s="702" t="s">
        <v>499</v>
      </c>
      <c r="B313" s="692">
        <f t="shared" ref="B313:AW313" si="21">$B$309-(3*$B$311)</f>
        <v>139.64930300807043</v>
      </c>
      <c r="C313" s="692">
        <f t="shared" si="21"/>
        <v>139.64930300807043</v>
      </c>
      <c r="D313" s="692">
        <f t="shared" si="21"/>
        <v>139.64930300807043</v>
      </c>
      <c r="E313" s="692">
        <f t="shared" si="21"/>
        <v>139.64930300807043</v>
      </c>
      <c r="F313" s="692">
        <f t="shared" si="21"/>
        <v>139.64930300807043</v>
      </c>
      <c r="G313" s="692">
        <f t="shared" si="21"/>
        <v>139.64930300807043</v>
      </c>
      <c r="H313" s="692">
        <f t="shared" si="21"/>
        <v>139.64930300807043</v>
      </c>
      <c r="I313" s="692">
        <f t="shared" si="21"/>
        <v>139.64930300807043</v>
      </c>
      <c r="J313" s="692">
        <f t="shared" si="21"/>
        <v>139.64930300807043</v>
      </c>
      <c r="K313" s="692">
        <f t="shared" si="21"/>
        <v>139.64930300807043</v>
      </c>
      <c r="L313" s="692">
        <f t="shared" si="21"/>
        <v>139.64930300807043</v>
      </c>
      <c r="M313" s="692">
        <f t="shared" si="21"/>
        <v>139.64930300807043</v>
      </c>
      <c r="N313" s="692">
        <f t="shared" si="21"/>
        <v>139.64930300807043</v>
      </c>
      <c r="O313" s="692">
        <f t="shared" si="21"/>
        <v>139.64930300807043</v>
      </c>
      <c r="P313" s="692">
        <f t="shared" si="21"/>
        <v>139.64930300807043</v>
      </c>
      <c r="Q313" s="692">
        <f t="shared" si="21"/>
        <v>139.64930300807043</v>
      </c>
      <c r="R313" s="692">
        <f t="shared" si="21"/>
        <v>139.64930300807043</v>
      </c>
      <c r="S313" s="692">
        <f t="shared" si="21"/>
        <v>139.64930300807043</v>
      </c>
      <c r="T313" s="692">
        <f t="shared" si="21"/>
        <v>139.64930300807043</v>
      </c>
      <c r="U313" s="692">
        <f t="shared" si="21"/>
        <v>139.64930300807043</v>
      </c>
      <c r="V313" s="692">
        <f t="shared" si="21"/>
        <v>139.64930300807043</v>
      </c>
      <c r="W313" s="692">
        <f t="shared" si="21"/>
        <v>139.64930300807043</v>
      </c>
      <c r="X313" s="692">
        <f t="shared" si="21"/>
        <v>139.64930300807043</v>
      </c>
      <c r="Y313" s="692">
        <f t="shared" si="21"/>
        <v>139.64930300807043</v>
      </c>
      <c r="Z313" s="692">
        <f t="shared" si="21"/>
        <v>139.64930300807043</v>
      </c>
      <c r="AA313" s="692">
        <f t="shared" si="21"/>
        <v>139.64930300807043</v>
      </c>
      <c r="AB313" s="692">
        <f t="shared" si="21"/>
        <v>139.64930300807043</v>
      </c>
      <c r="AC313" s="692">
        <f t="shared" si="21"/>
        <v>139.64930300807043</v>
      </c>
      <c r="AD313" s="692">
        <f t="shared" si="21"/>
        <v>139.64930300807043</v>
      </c>
      <c r="AE313" s="692">
        <f t="shared" si="21"/>
        <v>139.64930300807043</v>
      </c>
      <c r="AF313" s="692">
        <f t="shared" si="21"/>
        <v>139.64930300807043</v>
      </c>
      <c r="AG313" s="692">
        <f t="shared" si="21"/>
        <v>139.64930300807043</v>
      </c>
      <c r="AH313" s="692">
        <f t="shared" si="21"/>
        <v>139.64930300807043</v>
      </c>
      <c r="AI313" s="692">
        <f t="shared" si="21"/>
        <v>139.64930300807043</v>
      </c>
      <c r="AJ313" s="692">
        <f t="shared" si="21"/>
        <v>139.64930300807043</v>
      </c>
      <c r="AK313" s="692">
        <f t="shared" si="21"/>
        <v>139.64930300807043</v>
      </c>
      <c r="AL313" s="692">
        <f t="shared" si="21"/>
        <v>139.64930300807043</v>
      </c>
      <c r="AM313" s="692">
        <f t="shared" si="21"/>
        <v>139.64930300807043</v>
      </c>
      <c r="AN313" s="692">
        <f t="shared" si="21"/>
        <v>139.64930300807043</v>
      </c>
      <c r="AO313" s="692">
        <f t="shared" si="21"/>
        <v>139.64930300807043</v>
      </c>
      <c r="AP313" s="692">
        <f t="shared" si="21"/>
        <v>139.64930300807043</v>
      </c>
      <c r="AQ313" s="692">
        <f t="shared" si="21"/>
        <v>139.64930300807043</v>
      </c>
      <c r="AR313" s="692">
        <f t="shared" si="21"/>
        <v>139.64930300807043</v>
      </c>
      <c r="AS313" s="692">
        <f t="shared" si="21"/>
        <v>139.64930300807043</v>
      </c>
      <c r="AT313" s="692">
        <f t="shared" si="21"/>
        <v>139.64930300807043</v>
      </c>
      <c r="AU313" s="692">
        <f t="shared" si="21"/>
        <v>139.64930300807043</v>
      </c>
      <c r="AV313" s="692">
        <f t="shared" si="21"/>
        <v>139.64930300807043</v>
      </c>
      <c r="AW313" s="692">
        <f t="shared" si="21"/>
        <v>139.64930300807043</v>
      </c>
    </row>
    <row r="314" spans="1:49" s="683" customFormat="1" ht="25.5" x14ac:dyDescent="0.2">
      <c r="A314" s="693" t="s">
        <v>513</v>
      </c>
      <c r="B314" s="692"/>
      <c r="C314" s="692"/>
      <c r="D314" s="692"/>
      <c r="E314" s="692"/>
      <c r="F314" s="692"/>
      <c r="G314" s="692"/>
      <c r="H314" s="692"/>
      <c r="I314" s="694"/>
      <c r="J314" s="694"/>
      <c r="K314" s="694"/>
      <c r="L314" s="695"/>
      <c r="M314" s="695"/>
      <c r="N314" s="694"/>
      <c r="O314" s="694"/>
      <c r="P314" s="694"/>
      <c r="Q314" s="694"/>
      <c r="R314" s="694"/>
      <c r="S314" s="694"/>
      <c r="T314" s="694"/>
      <c r="U314" s="694"/>
      <c r="V314" s="694"/>
      <c r="W314" s="694"/>
      <c r="X314" s="694"/>
      <c r="Y314" s="694"/>
      <c r="Z314" s="692"/>
      <c r="AA314" s="692"/>
      <c r="AB314" s="692"/>
      <c r="AC314" s="692"/>
      <c r="AD314" s="692"/>
      <c r="AE314" s="692"/>
      <c r="AF314" s="692"/>
      <c r="AG314" s="694"/>
      <c r="AH314" s="694"/>
      <c r="AI314" s="694"/>
      <c r="AJ314" s="695"/>
      <c r="AK314" s="695"/>
      <c r="AL314" s="694"/>
      <c r="AM314" s="694"/>
      <c r="AN314" s="694"/>
      <c r="AO314" s="694"/>
      <c r="AP314" s="694"/>
      <c r="AQ314" s="694"/>
      <c r="AR314" s="694"/>
      <c r="AS314" s="694"/>
      <c r="AT314" s="694"/>
      <c r="AU314" s="694"/>
      <c r="AV314" s="694"/>
      <c r="AW314" s="694"/>
    </row>
    <row r="315" spans="1:49" s="683" customFormat="1" ht="60" x14ac:dyDescent="0.2">
      <c r="A315" s="699" t="s">
        <v>262</v>
      </c>
      <c r="B315" s="700" t="s">
        <v>515</v>
      </c>
      <c r="C315" s="692"/>
      <c r="D315" s="692"/>
      <c r="E315" s="692"/>
      <c r="F315" s="692"/>
      <c r="G315" s="692"/>
      <c r="H315" s="692"/>
      <c r="I315" s="694"/>
      <c r="J315" s="694"/>
      <c r="K315" s="694"/>
      <c r="L315" s="695"/>
      <c r="M315" s="695"/>
      <c r="N315" s="694"/>
      <c r="O315" s="694"/>
      <c r="P315" s="694"/>
      <c r="Q315" s="694"/>
      <c r="R315" s="694"/>
      <c r="S315" s="694"/>
      <c r="T315" s="694"/>
      <c r="U315" s="694"/>
      <c r="V315" s="694"/>
      <c r="W315" s="694"/>
      <c r="X315" s="694"/>
      <c r="Y315" s="694"/>
      <c r="Z315" s="692"/>
      <c r="AA315" s="692"/>
      <c r="AB315" s="692"/>
      <c r="AC315" s="692"/>
      <c r="AD315" s="692"/>
      <c r="AE315" s="692"/>
      <c r="AF315" s="692"/>
      <c r="AG315" s="694"/>
      <c r="AH315" s="694"/>
      <c r="AI315" s="694"/>
      <c r="AJ315" s="695"/>
      <c r="AK315" s="695"/>
      <c r="AL315" s="694"/>
      <c r="AM315" s="694"/>
      <c r="AN315" s="694"/>
      <c r="AO315" s="694"/>
      <c r="AP315" s="694"/>
      <c r="AQ315" s="694"/>
      <c r="AR315" s="694"/>
      <c r="AS315" s="694"/>
      <c r="AT315" s="694"/>
      <c r="AU315" s="694"/>
      <c r="AV315" s="694"/>
      <c r="AW315" s="694"/>
    </row>
    <row r="316" spans="1:49" s="683" customFormat="1" x14ac:dyDescent="0.2">
      <c r="A316" s="693" t="s">
        <v>131</v>
      </c>
      <c r="B316" s="692"/>
      <c r="C316" s="692"/>
      <c r="D316" s="692"/>
      <c r="E316" s="692"/>
      <c r="F316" s="692"/>
      <c r="G316" s="692"/>
      <c r="H316" s="692"/>
      <c r="I316" s="694"/>
      <c r="J316" s="694"/>
      <c r="K316" s="694"/>
      <c r="L316" s="695"/>
      <c r="M316" s="695"/>
      <c r="N316" s="694"/>
      <c r="O316" s="694"/>
      <c r="P316" s="694"/>
      <c r="Q316" s="694"/>
      <c r="R316" s="694"/>
      <c r="S316" s="694"/>
      <c r="T316" s="694"/>
      <c r="U316" s="694"/>
      <c r="V316" s="694"/>
      <c r="W316" s="694"/>
      <c r="X316" s="694"/>
      <c r="Y316" s="694"/>
      <c r="Z316" s="692"/>
      <c r="AA316" s="692"/>
      <c r="AB316" s="692"/>
      <c r="AC316" s="692"/>
      <c r="AD316" s="692"/>
      <c r="AE316" s="692"/>
      <c r="AF316" s="692"/>
      <c r="AG316" s="694"/>
      <c r="AH316" s="694"/>
      <c r="AI316" s="694"/>
      <c r="AJ316" s="695"/>
      <c r="AK316" s="695"/>
      <c r="AL316" s="694"/>
      <c r="AM316" s="694"/>
      <c r="AN316" s="694"/>
      <c r="AO316" s="694"/>
      <c r="AP316" s="694"/>
      <c r="AQ316" s="694"/>
      <c r="AR316" s="694"/>
      <c r="AS316" s="694"/>
      <c r="AT316" s="694"/>
      <c r="AU316" s="694"/>
      <c r="AV316" s="694"/>
      <c r="AW316" s="694"/>
    </row>
    <row r="317" spans="1:49" s="683" customFormat="1" x14ac:dyDescent="0.2">
      <c r="A317" s="693" t="s">
        <v>184</v>
      </c>
      <c r="B317" s="692"/>
      <c r="C317" s="692"/>
      <c r="D317" s="692"/>
      <c r="E317" s="692"/>
      <c r="F317" s="692"/>
      <c r="G317" s="692"/>
      <c r="H317" s="692"/>
      <c r="I317" s="694"/>
      <c r="J317" s="694"/>
      <c r="K317" s="694"/>
      <c r="L317" s="695"/>
      <c r="M317" s="695"/>
      <c r="N317" s="694"/>
      <c r="O317" s="694"/>
      <c r="P317" s="694"/>
      <c r="Q317" s="694"/>
      <c r="R317" s="694"/>
      <c r="S317" s="694"/>
      <c r="T317" s="694"/>
      <c r="U317" s="694"/>
      <c r="V317" s="694"/>
      <c r="W317" s="694"/>
      <c r="X317" s="694"/>
      <c r="Y317" s="694"/>
      <c r="Z317" s="692"/>
      <c r="AA317" s="692"/>
      <c r="AB317" s="692"/>
      <c r="AC317" s="692"/>
      <c r="AD317" s="692"/>
      <c r="AE317" s="692"/>
      <c r="AF317" s="692"/>
      <c r="AG317" s="694"/>
      <c r="AH317" s="694"/>
      <c r="AI317" s="694"/>
      <c r="AJ317" s="695"/>
      <c r="AK317" s="695"/>
      <c r="AL317" s="694"/>
      <c r="AM317" s="694"/>
      <c r="AN317" s="694"/>
      <c r="AO317" s="694"/>
      <c r="AP317" s="694"/>
      <c r="AQ317" s="694"/>
      <c r="AR317" s="694"/>
      <c r="AS317" s="694"/>
      <c r="AT317" s="694"/>
      <c r="AU317" s="694"/>
      <c r="AV317" s="694"/>
      <c r="AW317" s="694"/>
    </row>
    <row r="318" spans="1:49" s="683" customFormat="1" x14ac:dyDescent="0.2">
      <c r="A318" s="702" t="s">
        <v>490</v>
      </c>
      <c r="B318" s="692"/>
      <c r="C318" s="692">
        <f>SUM(C270-B270)</f>
        <v>124</v>
      </c>
      <c r="D318" s="692">
        <f t="shared" ref="D318:W318" si="22">SUM(D270-C270)</f>
        <v>280</v>
      </c>
      <c r="E318" s="692">
        <f t="shared" si="22"/>
        <v>500</v>
      </c>
      <c r="F318" s="692">
        <f>SUM(F270-E270)*-1</f>
        <v>84</v>
      </c>
      <c r="G318" s="692">
        <f>SUM(G270-F270)*-1</f>
        <v>88</v>
      </c>
      <c r="H318" s="692">
        <f t="shared" si="22"/>
        <v>126</v>
      </c>
      <c r="I318" s="692">
        <f>SUM(I270-H270)*-1</f>
        <v>958</v>
      </c>
      <c r="J318" s="692">
        <f>SUM(J270-I270)*-1</f>
        <v>186</v>
      </c>
      <c r="K318" s="692">
        <f>SUM(K270-J270)*-1</f>
        <v>39</v>
      </c>
      <c r="L318" s="692">
        <f>SUM(L270-K270)*-1</f>
        <v>355</v>
      </c>
      <c r="M318" s="692">
        <f t="shared" si="22"/>
        <v>93</v>
      </c>
      <c r="N318" s="692">
        <f t="shared" si="22"/>
        <v>391</v>
      </c>
      <c r="O318" s="692">
        <f t="shared" si="22"/>
        <v>93</v>
      </c>
      <c r="P318" s="692">
        <f t="shared" si="22"/>
        <v>91</v>
      </c>
      <c r="Q318" s="692">
        <f t="shared" si="22"/>
        <v>319</v>
      </c>
      <c r="R318" s="692">
        <f t="shared" si="22"/>
        <v>73</v>
      </c>
      <c r="S318" s="692">
        <f t="shared" si="22"/>
        <v>192</v>
      </c>
      <c r="T318" s="692">
        <f t="shared" si="22"/>
        <v>250</v>
      </c>
      <c r="U318" s="692">
        <f t="shared" si="22"/>
        <v>5</v>
      </c>
      <c r="V318" s="692">
        <f>SUM(V270-U270)*-1</f>
        <v>109</v>
      </c>
      <c r="W318" s="692">
        <f t="shared" si="22"/>
        <v>156</v>
      </c>
      <c r="X318" s="692">
        <f>SUM(X270-W270)*-1</f>
        <v>176</v>
      </c>
      <c r="Y318" s="692">
        <f>SUM(Y270-X270)*-1</f>
        <v>3</v>
      </c>
      <c r="Z318" s="692">
        <f>SUM(Z270-Y270)</f>
        <v>335</v>
      </c>
      <c r="AA318" s="692">
        <f>SUM(AA270-Z270)</f>
        <v>254</v>
      </c>
      <c r="AB318" s="692">
        <f>SUM(AB270-AA270)</f>
        <v>250</v>
      </c>
      <c r="AC318" s="692">
        <f>SUM(AC270-AB270)</f>
        <v>271</v>
      </c>
      <c r="AD318" s="692">
        <f>SUM(AD270-AC270)</f>
        <v>249</v>
      </c>
      <c r="AE318" s="692" t="s">
        <v>385</v>
      </c>
      <c r="AF318" s="692" t="s">
        <v>385</v>
      </c>
      <c r="AG318" s="692" t="s">
        <v>385</v>
      </c>
      <c r="AH318" s="692" t="s">
        <v>385</v>
      </c>
      <c r="AI318" s="692" t="s">
        <v>385</v>
      </c>
      <c r="AJ318" s="692" t="s">
        <v>385</v>
      </c>
      <c r="AK318" s="692" t="s">
        <v>385</v>
      </c>
      <c r="AL318" s="692" t="s">
        <v>385</v>
      </c>
      <c r="AM318" s="692" t="s">
        <v>385</v>
      </c>
      <c r="AN318" s="692" t="s">
        <v>385</v>
      </c>
      <c r="AO318" s="692" t="s">
        <v>385</v>
      </c>
      <c r="AP318" s="692" t="s">
        <v>385</v>
      </c>
      <c r="AQ318" s="692" t="s">
        <v>385</v>
      </c>
      <c r="AR318" s="692" t="s">
        <v>385</v>
      </c>
      <c r="AS318" s="692" t="s">
        <v>385</v>
      </c>
      <c r="AT318" s="692" t="s">
        <v>385</v>
      </c>
      <c r="AU318" s="692" t="s">
        <v>385</v>
      </c>
      <c r="AV318" s="692" t="s">
        <v>385</v>
      </c>
      <c r="AW318" s="692" t="s">
        <v>385</v>
      </c>
    </row>
    <row r="319" spans="1:49" s="683" customFormat="1" ht="53.25" x14ac:dyDescent="0.2">
      <c r="A319" s="703" t="s">
        <v>521</v>
      </c>
      <c r="B319" s="692"/>
      <c r="C319" s="692"/>
      <c r="D319" s="692"/>
      <c r="E319" s="692"/>
      <c r="F319" s="692"/>
      <c r="G319" s="692"/>
      <c r="H319" s="692"/>
      <c r="I319" s="694"/>
      <c r="J319" s="694"/>
      <c r="K319" s="694"/>
      <c r="L319" s="695"/>
      <c r="M319" s="695"/>
      <c r="N319" s="694"/>
      <c r="O319" s="694"/>
      <c r="P319" s="694"/>
      <c r="Q319" s="694"/>
      <c r="R319" s="694"/>
      <c r="S319" s="694"/>
      <c r="T319" s="694"/>
      <c r="U319" s="694"/>
      <c r="V319" s="694"/>
      <c r="W319" s="694"/>
      <c r="X319" s="694"/>
      <c r="Y319" s="694"/>
      <c r="Z319" s="694"/>
      <c r="AA319" s="692"/>
      <c r="AB319" s="692"/>
      <c r="AC319" s="692"/>
      <c r="AD319" s="692"/>
      <c r="AE319" s="692"/>
      <c r="AF319" s="692"/>
      <c r="AG319" s="694"/>
      <c r="AH319" s="694"/>
      <c r="AI319" s="694"/>
      <c r="AJ319" s="695"/>
      <c r="AK319" s="695"/>
      <c r="AL319" s="694"/>
      <c r="AM319" s="694"/>
      <c r="AN319" s="694"/>
      <c r="AO319" s="694"/>
      <c r="AP319" s="694"/>
      <c r="AQ319" s="694"/>
      <c r="AR319" s="694"/>
      <c r="AS319" s="694"/>
      <c r="AT319" s="694"/>
      <c r="AU319" s="694"/>
      <c r="AV319" s="694"/>
      <c r="AW319" s="694"/>
    </row>
    <row r="320" spans="1:49" s="683" customFormat="1" x14ac:dyDescent="0.2">
      <c r="A320" s="674" t="s">
        <v>492</v>
      </c>
      <c r="B320" s="692">
        <f t="shared" ref="B320:AW320" si="23">AVERAGE($B$270:$AW$270)</f>
        <v>1970.5172413793102</v>
      </c>
      <c r="C320" s="692">
        <f t="shared" si="23"/>
        <v>1970.5172413793102</v>
      </c>
      <c r="D320" s="692">
        <f t="shared" si="23"/>
        <v>1970.5172413793102</v>
      </c>
      <c r="E320" s="692">
        <f t="shared" si="23"/>
        <v>1970.5172413793102</v>
      </c>
      <c r="F320" s="692">
        <f t="shared" si="23"/>
        <v>1970.5172413793102</v>
      </c>
      <c r="G320" s="692">
        <f t="shared" si="23"/>
        <v>1970.5172413793102</v>
      </c>
      <c r="H320" s="692">
        <f t="shared" si="23"/>
        <v>1970.5172413793102</v>
      </c>
      <c r="I320" s="692">
        <f t="shared" si="23"/>
        <v>1970.5172413793102</v>
      </c>
      <c r="J320" s="692">
        <f t="shared" si="23"/>
        <v>1970.5172413793102</v>
      </c>
      <c r="K320" s="692">
        <f t="shared" si="23"/>
        <v>1970.5172413793102</v>
      </c>
      <c r="L320" s="692">
        <f t="shared" si="23"/>
        <v>1970.5172413793102</v>
      </c>
      <c r="M320" s="692">
        <f t="shared" si="23"/>
        <v>1970.5172413793102</v>
      </c>
      <c r="N320" s="692">
        <f t="shared" si="23"/>
        <v>1970.5172413793102</v>
      </c>
      <c r="O320" s="692">
        <f t="shared" si="23"/>
        <v>1970.5172413793102</v>
      </c>
      <c r="P320" s="692">
        <f t="shared" si="23"/>
        <v>1970.5172413793102</v>
      </c>
      <c r="Q320" s="692">
        <f t="shared" si="23"/>
        <v>1970.5172413793102</v>
      </c>
      <c r="R320" s="692">
        <f t="shared" si="23"/>
        <v>1970.5172413793102</v>
      </c>
      <c r="S320" s="692">
        <f t="shared" si="23"/>
        <v>1970.5172413793102</v>
      </c>
      <c r="T320" s="692">
        <f t="shared" si="23"/>
        <v>1970.5172413793102</v>
      </c>
      <c r="U320" s="692">
        <f t="shared" si="23"/>
        <v>1970.5172413793102</v>
      </c>
      <c r="V320" s="692">
        <f t="shared" si="23"/>
        <v>1970.5172413793102</v>
      </c>
      <c r="W320" s="692">
        <f t="shared" si="23"/>
        <v>1970.5172413793102</v>
      </c>
      <c r="X320" s="692">
        <f t="shared" si="23"/>
        <v>1970.5172413793102</v>
      </c>
      <c r="Y320" s="692">
        <f t="shared" si="23"/>
        <v>1970.5172413793102</v>
      </c>
      <c r="Z320" s="692">
        <f t="shared" si="23"/>
        <v>1970.5172413793102</v>
      </c>
      <c r="AA320" s="692">
        <f t="shared" si="23"/>
        <v>1970.5172413793102</v>
      </c>
      <c r="AB320" s="692">
        <f t="shared" si="23"/>
        <v>1970.5172413793102</v>
      </c>
      <c r="AC320" s="692">
        <f t="shared" si="23"/>
        <v>1970.5172413793102</v>
      </c>
      <c r="AD320" s="692">
        <f t="shared" si="23"/>
        <v>1970.5172413793102</v>
      </c>
      <c r="AE320" s="692">
        <f t="shared" si="23"/>
        <v>1970.5172413793102</v>
      </c>
      <c r="AF320" s="692">
        <f t="shared" si="23"/>
        <v>1970.5172413793102</v>
      </c>
      <c r="AG320" s="692">
        <f t="shared" si="23"/>
        <v>1970.5172413793102</v>
      </c>
      <c r="AH320" s="692">
        <f t="shared" si="23"/>
        <v>1970.5172413793102</v>
      </c>
      <c r="AI320" s="692">
        <f t="shared" si="23"/>
        <v>1970.5172413793102</v>
      </c>
      <c r="AJ320" s="692">
        <f t="shared" si="23"/>
        <v>1970.5172413793102</v>
      </c>
      <c r="AK320" s="692">
        <f t="shared" si="23"/>
        <v>1970.5172413793102</v>
      </c>
      <c r="AL320" s="692">
        <f t="shared" si="23"/>
        <v>1970.5172413793102</v>
      </c>
      <c r="AM320" s="692">
        <f t="shared" si="23"/>
        <v>1970.5172413793102</v>
      </c>
      <c r="AN320" s="692">
        <f t="shared" si="23"/>
        <v>1970.5172413793102</v>
      </c>
      <c r="AO320" s="692">
        <f t="shared" si="23"/>
        <v>1970.5172413793102</v>
      </c>
      <c r="AP320" s="692">
        <f t="shared" si="23"/>
        <v>1970.5172413793102</v>
      </c>
      <c r="AQ320" s="692">
        <f t="shared" si="23"/>
        <v>1970.5172413793102</v>
      </c>
      <c r="AR320" s="692">
        <f t="shared" si="23"/>
        <v>1970.5172413793102</v>
      </c>
      <c r="AS320" s="692">
        <f t="shared" si="23"/>
        <v>1970.5172413793102</v>
      </c>
      <c r="AT320" s="692">
        <f t="shared" si="23"/>
        <v>1970.5172413793102</v>
      </c>
      <c r="AU320" s="692">
        <f t="shared" si="23"/>
        <v>1970.5172413793102</v>
      </c>
      <c r="AV320" s="692">
        <f t="shared" si="23"/>
        <v>1970.5172413793102</v>
      </c>
      <c r="AW320" s="692">
        <f t="shared" si="23"/>
        <v>1970.5172413793102</v>
      </c>
    </row>
    <row r="321" spans="1:49" s="683" customFormat="1" x14ac:dyDescent="0.2">
      <c r="A321" s="702" t="s">
        <v>491</v>
      </c>
      <c r="B321" s="692">
        <f>SUM($C$318:$AW$318)/COUNT($C$318:$AW$318)</f>
        <v>216.07142857142858</v>
      </c>
      <c r="C321" s="692" t="s">
        <v>385</v>
      </c>
      <c r="D321" s="692" t="s">
        <v>385</v>
      </c>
      <c r="E321" s="692" t="s">
        <v>385</v>
      </c>
      <c r="F321" s="692" t="s">
        <v>385</v>
      </c>
      <c r="G321" s="692" t="s">
        <v>385</v>
      </c>
      <c r="H321" s="692" t="s">
        <v>385</v>
      </c>
      <c r="I321" s="692" t="s">
        <v>385</v>
      </c>
      <c r="J321" s="692" t="s">
        <v>385</v>
      </c>
      <c r="K321" s="692" t="s">
        <v>385</v>
      </c>
      <c r="L321" s="692" t="s">
        <v>385</v>
      </c>
      <c r="M321" s="692" t="s">
        <v>385</v>
      </c>
      <c r="N321" s="692" t="s">
        <v>385</v>
      </c>
      <c r="O321" s="692" t="s">
        <v>385</v>
      </c>
      <c r="P321" s="692" t="s">
        <v>385</v>
      </c>
      <c r="Q321" s="692" t="s">
        <v>385</v>
      </c>
      <c r="R321" s="692" t="s">
        <v>385</v>
      </c>
      <c r="S321" s="692" t="s">
        <v>385</v>
      </c>
      <c r="T321" s="692" t="s">
        <v>385</v>
      </c>
      <c r="U321" s="692" t="s">
        <v>385</v>
      </c>
      <c r="V321" s="692" t="s">
        <v>385</v>
      </c>
      <c r="W321" s="692" t="s">
        <v>385</v>
      </c>
      <c r="X321" s="692" t="s">
        <v>385</v>
      </c>
      <c r="Y321" s="692" t="s">
        <v>385</v>
      </c>
      <c r="Z321" s="692" t="s">
        <v>385</v>
      </c>
      <c r="AA321" s="692"/>
      <c r="AB321" s="692"/>
      <c r="AC321" s="692"/>
      <c r="AD321" s="692"/>
      <c r="AE321" s="692"/>
      <c r="AF321" s="692"/>
      <c r="AG321" s="694"/>
      <c r="AH321" s="694"/>
      <c r="AI321" s="694"/>
      <c r="AJ321" s="695"/>
      <c r="AK321" s="695"/>
      <c r="AL321" s="694"/>
      <c r="AM321" s="694"/>
      <c r="AN321" s="694"/>
      <c r="AO321" s="694"/>
      <c r="AP321" s="694"/>
      <c r="AQ321" s="694"/>
      <c r="AR321" s="694"/>
      <c r="AS321" s="694"/>
      <c r="AT321" s="694"/>
      <c r="AU321" s="694"/>
      <c r="AV321" s="694"/>
      <c r="AW321" s="694"/>
    </row>
    <row r="322" spans="1:49" s="683" customFormat="1" ht="25.5" x14ac:dyDescent="0.2">
      <c r="A322" s="702" t="s">
        <v>494</v>
      </c>
      <c r="B322" s="692">
        <f>SUM(B321)/1.128</f>
        <v>191.55268490374877</v>
      </c>
      <c r="C322" s="692"/>
      <c r="D322" s="692"/>
      <c r="E322" s="692"/>
      <c r="F322" s="692"/>
      <c r="G322" s="692"/>
      <c r="H322" s="692"/>
      <c r="I322" s="694"/>
      <c r="J322" s="694"/>
      <c r="K322" s="694"/>
      <c r="L322" s="695"/>
      <c r="M322" s="695"/>
      <c r="N322" s="694"/>
      <c r="O322" s="694"/>
      <c r="P322" s="694"/>
      <c r="Q322" s="694"/>
      <c r="R322" s="694"/>
      <c r="S322" s="694"/>
      <c r="T322" s="694"/>
      <c r="U322" s="694"/>
      <c r="V322" s="694"/>
      <c r="W322" s="694"/>
      <c r="X322" s="694"/>
      <c r="Y322" s="694"/>
      <c r="Z322" s="694"/>
      <c r="AA322" s="692"/>
      <c r="AB322" s="692"/>
      <c r="AC322" s="692"/>
      <c r="AD322" s="692"/>
      <c r="AE322" s="692"/>
      <c r="AF322" s="692"/>
      <c r="AG322" s="694"/>
      <c r="AH322" s="694"/>
      <c r="AI322" s="694"/>
      <c r="AJ322" s="695"/>
      <c r="AK322" s="695"/>
      <c r="AL322" s="694"/>
      <c r="AM322" s="694"/>
      <c r="AN322" s="694"/>
      <c r="AO322" s="694"/>
      <c r="AP322" s="694"/>
      <c r="AQ322" s="694"/>
      <c r="AR322" s="694"/>
      <c r="AS322" s="694"/>
      <c r="AT322" s="694"/>
      <c r="AU322" s="694"/>
      <c r="AV322" s="694"/>
      <c r="AW322" s="694"/>
    </row>
    <row r="323" spans="1:49" s="683" customFormat="1" x14ac:dyDescent="0.2">
      <c r="A323" s="702" t="s">
        <v>497</v>
      </c>
      <c r="B323" s="692">
        <f t="shared" ref="B323:AW323" si="24">$B$320 + (3*$B$322)</f>
        <v>2545.1752960905565</v>
      </c>
      <c r="C323" s="692">
        <f t="shared" si="24"/>
        <v>2545.1752960905565</v>
      </c>
      <c r="D323" s="692">
        <f t="shared" si="24"/>
        <v>2545.1752960905565</v>
      </c>
      <c r="E323" s="692">
        <f t="shared" si="24"/>
        <v>2545.1752960905565</v>
      </c>
      <c r="F323" s="692">
        <f t="shared" si="24"/>
        <v>2545.1752960905565</v>
      </c>
      <c r="G323" s="692">
        <f t="shared" si="24"/>
        <v>2545.1752960905565</v>
      </c>
      <c r="H323" s="692">
        <f t="shared" si="24"/>
        <v>2545.1752960905565</v>
      </c>
      <c r="I323" s="692">
        <f t="shared" si="24"/>
        <v>2545.1752960905565</v>
      </c>
      <c r="J323" s="692">
        <f t="shared" si="24"/>
        <v>2545.1752960905565</v>
      </c>
      <c r="K323" s="692">
        <f t="shared" si="24"/>
        <v>2545.1752960905565</v>
      </c>
      <c r="L323" s="692">
        <f t="shared" si="24"/>
        <v>2545.1752960905565</v>
      </c>
      <c r="M323" s="692">
        <f t="shared" si="24"/>
        <v>2545.1752960905565</v>
      </c>
      <c r="N323" s="692">
        <f t="shared" si="24"/>
        <v>2545.1752960905565</v>
      </c>
      <c r="O323" s="692">
        <f t="shared" si="24"/>
        <v>2545.1752960905565</v>
      </c>
      <c r="P323" s="692">
        <f t="shared" si="24"/>
        <v>2545.1752960905565</v>
      </c>
      <c r="Q323" s="692">
        <f t="shared" si="24"/>
        <v>2545.1752960905565</v>
      </c>
      <c r="R323" s="692">
        <f t="shared" si="24"/>
        <v>2545.1752960905565</v>
      </c>
      <c r="S323" s="692">
        <f t="shared" si="24"/>
        <v>2545.1752960905565</v>
      </c>
      <c r="T323" s="692">
        <f t="shared" si="24"/>
        <v>2545.1752960905565</v>
      </c>
      <c r="U323" s="692">
        <f t="shared" si="24"/>
        <v>2545.1752960905565</v>
      </c>
      <c r="V323" s="692">
        <f t="shared" si="24"/>
        <v>2545.1752960905565</v>
      </c>
      <c r="W323" s="692">
        <f t="shared" si="24"/>
        <v>2545.1752960905565</v>
      </c>
      <c r="X323" s="692">
        <f t="shared" si="24"/>
        <v>2545.1752960905565</v>
      </c>
      <c r="Y323" s="692">
        <f t="shared" si="24"/>
        <v>2545.1752960905565</v>
      </c>
      <c r="Z323" s="692">
        <f t="shared" si="24"/>
        <v>2545.1752960905565</v>
      </c>
      <c r="AA323" s="692">
        <f t="shared" si="24"/>
        <v>2545.1752960905565</v>
      </c>
      <c r="AB323" s="692">
        <f t="shared" si="24"/>
        <v>2545.1752960905565</v>
      </c>
      <c r="AC323" s="692">
        <f t="shared" si="24"/>
        <v>2545.1752960905565</v>
      </c>
      <c r="AD323" s="692">
        <f t="shared" si="24"/>
        <v>2545.1752960905565</v>
      </c>
      <c r="AE323" s="692">
        <f t="shared" si="24"/>
        <v>2545.1752960905565</v>
      </c>
      <c r="AF323" s="692">
        <f t="shared" si="24"/>
        <v>2545.1752960905565</v>
      </c>
      <c r="AG323" s="692">
        <f t="shared" si="24"/>
        <v>2545.1752960905565</v>
      </c>
      <c r="AH323" s="692">
        <f t="shared" si="24"/>
        <v>2545.1752960905565</v>
      </c>
      <c r="AI323" s="692">
        <f t="shared" si="24"/>
        <v>2545.1752960905565</v>
      </c>
      <c r="AJ323" s="692">
        <f t="shared" si="24"/>
        <v>2545.1752960905565</v>
      </c>
      <c r="AK323" s="692">
        <f t="shared" si="24"/>
        <v>2545.1752960905565</v>
      </c>
      <c r="AL323" s="692">
        <f t="shared" si="24"/>
        <v>2545.1752960905565</v>
      </c>
      <c r="AM323" s="692">
        <f t="shared" si="24"/>
        <v>2545.1752960905565</v>
      </c>
      <c r="AN323" s="692">
        <f t="shared" si="24"/>
        <v>2545.1752960905565</v>
      </c>
      <c r="AO323" s="692">
        <f t="shared" si="24"/>
        <v>2545.1752960905565</v>
      </c>
      <c r="AP323" s="692">
        <f t="shared" si="24"/>
        <v>2545.1752960905565</v>
      </c>
      <c r="AQ323" s="692">
        <f t="shared" si="24"/>
        <v>2545.1752960905565</v>
      </c>
      <c r="AR323" s="692">
        <f t="shared" si="24"/>
        <v>2545.1752960905565</v>
      </c>
      <c r="AS323" s="692">
        <f t="shared" si="24"/>
        <v>2545.1752960905565</v>
      </c>
      <c r="AT323" s="692">
        <f t="shared" si="24"/>
        <v>2545.1752960905565</v>
      </c>
      <c r="AU323" s="692">
        <f t="shared" si="24"/>
        <v>2545.1752960905565</v>
      </c>
      <c r="AV323" s="692">
        <f t="shared" si="24"/>
        <v>2545.1752960905565</v>
      </c>
      <c r="AW323" s="692">
        <f t="shared" si="24"/>
        <v>2545.1752960905565</v>
      </c>
    </row>
    <row r="324" spans="1:49" s="683" customFormat="1" x14ac:dyDescent="0.2">
      <c r="A324" s="702" t="s">
        <v>499</v>
      </c>
      <c r="B324" s="692">
        <f t="shared" ref="B324:AW324" si="25">$B$320 - (3*$B$322)</f>
        <v>1395.859186668064</v>
      </c>
      <c r="C324" s="692">
        <f t="shared" si="25"/>
        <v>1395.859186668064</v>
      </c>
      <c r="D324" s="692">
        <f t="shared" si="25"/>
        <v>1395.859186668064</v>
      </c>
      <c r="E324" s="692">
        <f t="shared" si="25"/>
        <v>1395.859186668064</v>
      </c>
      <c r="F324" s="692">
        <f t="shared" si="25"/>
        <v>1395.859186668064</v>
      </c>
      <c r="G324" s="692">
        <f t="shared" si="25"/>
        <v>1395.859186668064</v>
      </c>
      <c r="H324" s="692">
        <f t="shared" si="25"/>
        <v>1395.859186668064</v>
      </c>
      <c r="I324" s="692">
        <f t="shared" si="25"/>
        <v>1395.859186668064</v>
      </c>
      <c r="J324" s="692">
        <f t="shared" si="25"/>
        <v>1395.859186668064</v>
      </c>
      <c r="K324" s="692">
        <f t="shared" si="25"/>
        <v>1395.859186668064</v>
      </c>
      <c r="L324" s="692">
        <f t="shared" si="25"/>
        <v>1395.859186668064</v>
      </c>
      <c r="M324" s="692">
        <f t="shared" si="25"/>
        <v>1395.859186668064</v>
      </c>
      <c r="N324" s="692">
        <f t="shared" si="25"/>
        <v>1395.859186668064</v>
      </c>
      <c r="O324" s="692">
        <f t="shared" si="25"/>
        <v>1395.859186668064</v>
      </c>
      <c r="P324" s="692">
        <f t="shared" si="25"/>
        <v>1395.859186668064</v>
      </c>
      <c r="Q324" s="692">
        <f t="shared" si="25"/>
        <v>1395.859186668064</v>
      </c>
      <c r="R324" s="692">
        <f t="shared" si="25"/>
        <v>1395.859186668064</v>
      </c>
      <c r="S324" s="692">
        <f t="shared" si="25"/>
        <v>1395.859186668064</v>
      </c>
      <c r="T324" s="692">
        <f t="shared" si="25"/>
        <v>1395.859186668064</v>
      </c>
      <c r="U324" s="692">
        <f t="shared" si="25"/>
        <v>1395.859186668064</v>
      </c>
      <c r="V324" s="692">
        <f t="shared" si="25"/>
        <v>1395.859186668064</v>
      </c>
      <c r="W324" s="692">
        <f t="shared" si="25"/>
        <v>1395.859186668064</v>
      </c>
      <c r="X324" s="692">
        <f t="shared" si="25"/>
        <v>1395.859186668064</v>
      </c>
      <c r="Y324" s="692">
        <f t="shared" si="25"/>
        <v>1395.859186668064</v>
      </c>
      <c r="Z324" s="692">
        <f t="shared" si="25"/>
        <v>1395.859186668064</v>
      </c>
      <c r="AA324" s="692">
        <f t="shared" si="25"/>
        <v>1395.859186668064</v>
      </c>
      <c r="AB324" s="692">
        <f t="shared" si="25"/>
        <v>1395.859186668064</v>
      </c>
      <c r="AC324" s="692">
        <f t="shared" si="25"/>
        <v>1395.859186668064</v>
      </c>
      <c r="AD324" s="692">
        <f t="shared" si="25"/>
        <v>1395.859186668064</v>
      </c>
      <c r="AE324" s="692">
        <f t="shared" si="25"/>
        <v>1395.859186668064</v>
      </c>
      <c r="AF324" s="692">
        <f t="shared" si="25"/>
        <v>1395.859186668064</v>
      </c>
      <c r="AG324" s="692">
        <f t="shared" si="25"/>
        <v>1395.859186668064</v>
      </c>
      <c r="AH324" s="692">
        <f t="shared" si="25"/>
        <v>1395.859186668064</v>
      </c>
      <c r="AI324" s="692">
        <f t="shared" si="25"/>
        <v>1395.859186668064</v>
      </c>
      <c r="AJ324" s="692">
        <f t="shared" si="25"/>
        <v>1395.859186668064</v>
      </c>
      <c r="AK324" s="692">
        <f t="shared" si="25"/>
        <v>1395.859186668064</v>
      </c>
      <c r="AL324" s="692">
        <f t="shared" si="25"/>
        <v>1395.859186668064</v>
      </c>
      <c r="AM324" s="692">
        <f t="shared" si="25"/>
        <v>1395.859186668064</v>
      </c>
      <c r="AN324" s="692">
        <f t="shared" si="25"/>
        <v>1395.859186668064</v>
      </c>
      <c r="AO324" s="692">
        <f t="shared" si="25"/>
        <v>1395.859186668064</v>
      </c>
      <c r="AP324" s="692">
        <f t="shared" si="25"/>
        <v>1395.859186668064</v>
      </c>
      <c r="AQ324" s="692">
        <f t="shared" si="25"/>
        <v>1395.859186668064</v>
      </c>
      <c r="AR324" s="692">
        <f t="shared" si="25"/>
        <v>1395.859186668064</v>
      </c>
      <c r="AS324" s="692">
        <f t="shared" si="25"/>
        <v>1395.859186668064</v>
      </c>
      <c r="AT324" s="692">
        <f t="shared" si="25"/>
        <v>1395.859186668064</v>
      </c>
      <c r="AU324" s="692">
        <f t="shared" si="25"/>
        <v>1395.859186668064</v>
      </c>
      <c r="AV324" s="692">
        <f t="shared" si="25"/>
        <v>1395.859186668064</v>
      </c>
      <c r="AW324" s="692">
        <f t="shared" si="25"/>
        <v>1395.859186668064</v>
      </c>
    </row>
    <row r="325" spans="1:49" s="683" customFormat="1" ht="25.5" x14ac:dyDescent="0.2">
      <c r="A325" s="693" t="s">
        <v>513</v>
      </c>
      <c r="B325" s="692"/>
      <c r="C325" s="692"/>
      <c r="D325" s="692"/>
      <c r="E325" s="692"/>
      <c r="F325" s="692"/>
      <c r="G325" s="692"/>
      <c r="H325" s="692"/>
      <c r="I325" s="694"/>
      <c r="J325" s="694"/>
      <c r="K325" s="694"/>
      <c r="L325" s="695"/>
      <c r="M325" s="695"/>
      <c r="N325" s="694"/>
      <c r="O325" s="694"/>
      <c r="P325" s="694"/>
      <c r="Q325" s="694"/>
      <c r="R325" s="694"/>
      <c r="S325" s="694"/>
      <c r="T325" s="694"/>
      <c r="U325" s="694"/>
      <c r="V325" s="694"/>
      <c r="W325" s="694"/>
      <c r="X325" s="694"/>
      <c r="Y325" s="694"/>
      <c r="Z325" s="692"/>
      <c r="AA325" s="692"/>
      <c r="AB325" s="692"/>
      <c r="AC325" s="692"/>
      <c r="AD325" s="692"/>
      <c r="AE325" s="692"/>
      <c r="AF325" s="692"/>
      <c r="AG325" s="694"/>
      <c r="AH325" s="694"/>
      <c r="AI325" s="694"/>
      <c r="AJ325" s="695"/>
      <c r="AK325" s="695"/>
      <c r="AL325" s="694"/>
      <c r="AM325" s="694"/>
      <c r="AN325" s="694"/>
      <c r="AO325" s="694"/>
      <c r="AP325" s="694"/>
      <c r="AQ325" s="694"/>
      <c r="AR325" s="694"/>
      <c r="AS325" s="694"/>
      <c r="AT325" s="694"/>
      <c r="AU325" s="694"/>
      <c r="AV325" s="694"/>
      <c r="AW325" s="694"/>
    </row>
    <row r="326" spans="1:49" s="683" customFormat="1" x14ac:dyDescent="0.2">
      <c r="A326" s="693"/>
      <c r="B326" s="692"/>
      <c r="C326" s="692"/>
      <c r="D326" s="692"/>
      <c r="E326" s="692"/>
      <c r="F326" s="692"/>
      <c r="G326" s="692"/>
      <c r="H326" s="692"/>
      <c r="I326" s="694"/>
      <c r="J326" s="694"/>
      <c r="K326" s="694"/>
      <c r="L326" s="695"/>
      <c r="M326" s="695"/>
      <c r="N326" s="694"/>
      <c r="O326" s="694"/>
      <c r="P326" s="694"/>
      <c r="Q326" s="694"/>
      <c r="R326" s="694"/>
      <c r="S326" s="694"/>
      <c r="T326" s="694"/>
      <c r="U326" s="694"/>
      <c r="V326" s="694"/>
      <c r="W326" s="694"/>
      <c r="X326" s="694"/>
      <c r="Y326" s="694"/>
      <c r="Z326" s="692"/>
      <c r="AA326" s="692"/>
      <c r="AB326" s="692"/>
      <c r="AC326" s="692"/>
      <c r="AD326" s="692"/>
      <c r="AE326" s="692"/>
      <c r="AF326" s="692"/>
      <c r="AG326" s="694"/>
      <c r="AH326" s="694"/>
      <c r="AI326" s="694"/>
      <c r="AJ326" s="695"/>
      <c r="AK326" s="695"/>
      <c r="AL326" s="694"/>
      <c r="AM326" s="694"/>
      <c r="AN326" s="694"/>
      <c r="AO326" s="694"/>
      <c r="AP326" s="694"/>
      <c r="AQ326" s="694"/>
      <c r="AR326" s="694"/>
      <c r="AS326" s="694"/>
      <c r="AT326" s="694"/>
      <c r="AU326" s="694"/>
      <c r="AV326" s="694"/>
      <c r="AW326" s="694"/>
    </row>
    <row r="327" spans="1:49" s="683" customFormat="1" x14ac:dyDescent="0.2">
      <c r="A327" s="674" t="s">
        <v>512</v>
      </c>
      <c r="B327" s="705"/>
      <c r="C327" s="705"/>
      <c r="D327" s="705"/>
      <c r="E327" s="705"/>
      <c r="F327" s="705"/>
      <c r="G327" s="705"/>
      <c r="H327" s="705"/>
      <c r="I327" s="705"/>
      <c r="J327" s="705"/>
      <c r="K327" s="705"/>
      <c r="L327" s="705"/>
      <c r="M327" s="705"/>
      <c r="N327" s="705"/>
      <c r="O327" s="705"/>
      <c r="P327" s="705"/>
      <c r="Q327" s="705"/>
      <c r="R327" s="705"/>
      <c r="S327" s="705"/>
      <c r="T327" s="705"/>
      <c r="U327" s="705"/>
      <c r="V327" s="705"/>
      <c r="W327" s="705"/>
      <c r="X327" s="705"/>
      <c r="Y327" s="705"/>
      <c r="Z327" s="705"/>
      <c r="AA327" s="705"/>
      <c r="AB327" s="705"/>
      <c r="AC327" s="705"/>
      <c r="AD327" s="705"/>
      <c r="AE327" s="705"/>
      <c r="AF327" s="705"/>
      <c r="AG327" s="705"/>
      <c r="AH327" s="705"/>
      <c r="AI327" s="705"/>
      <c r="AJ327" s="705"/>
      <c r="AK327" s="705"/>
      <c r="AL327" s="705"/>
      <c r="AM327" s="705"/>
      <c r="AN327" s="705"/>
      <c r="AO327" s="705"/>
      <c r="AP327" s="705"/>
      <c r="AQ327" s="705"/>
      <c r="AR327" s="705"/>
      <c r="AS327" s="705"/>
      <c r="AT327" s="705"/>
      <c r="AU327" s="705"/>
      <c r="AV327" s="705"/>
      <c r="AW327" s="705"/>
    </row>
    <row r="328" spans="1:49" s="683" customFormat="1" x14ac:dyDescent="0.2">
      <c r="A328" s="706"/>
      <c r="B328" s="697">
        <v>42095</v>
      </c>
      <c r="C328" s="697">
        <v>42125</v>
      </c>
      <c r="D328" s="697">
        <v>42156</v>
      </c>
      <c r="E328" s="697">
        <v>42186</v>
      </c>
      <c r="F328" s="697">
        <v>42217</v>
      </c>
      <c r="G328" s="697">
        <v>42248</v>
      </c>
      <c r="H328" s="697">
        <v>42278</v>
      </c>
      <c r="I328" s="698">
        <v>42309</v>
      </c>
      <c r="J328" s="698">
        <v>42339</v>
      </c>
      <c r="K328" s="698">
        <v>42370</v>
      </c>
      <c r="L328" s="698">
        <v>42401</v>
      </c>
      <c r="M328" s="698">
        <v>42430</v>
      </c>
      <c r="N328" s="698">
        <v>42461</v>
      </c>
      <c r="O328" s="698">
        <v>42491</v>
      </c>
      <c r="P328" s="698">
        <v>42522</v>
      </c>
      <c r="Q328" s="698">
        <v>42552</v>
      </c>
      <c r="R328" s="698">
        <v>42583</v>
      </c>
      <c r="S328" s="698">
        <v>42614</v>
      </c>
      <c r="T328" s="698">
        <v>42644</v>
      </c>
      <c r="U328" s="698">
        <v>42675</v>
      </c>
      <c r="V328" s="698">
        <v>42705</v>
      </c>
      <c r="W328" s="698">
        <v>42736</v>
      </c>
      <c r="X328" s="698">
        <v>42767</v>
      </c>
      <c r="Y328" s="698">
        <v>42795</v>
      </c>
      <c r="Z328" s="698">
        <v>42826</v>
      </c>
      <c r="AA328" s="697">
        <v>42856</v>
      </c>
      <c r="AB328" s="698">
        <v>42887</v>
      </c>
      <c r="AC328" s="697">
        <v>42917</v>
      </c>
      <c r="AD328" s="698">
        <v>42948</v>
      </c>
      <c r="AE328" s="697"/>
      <c r="AF328" s="697"/>
      <c r="AG328" s="698"/>
      <c r="AH328" s="698"/>
      <c r="AI328" s="698"/>
      <c r="AJ328" s="698"/>
      <c r="AK328" s="698"/>
      <c r="AL328" s="698"/>
      <c r="AM328" s="698"/>
      <c r="AN328" s="698"/>
      <c r="AO328" s="698"/>
      <c r="AP328" s="698"/>
      <c r="AQ328" s="698"/>
      <c r="AR328" s="698"/>
      <c r="AS328" s="698"/>
      <c r="AT328" s="698"/>
      <c r="AU328" s="698"/>
      <c r="AV328" s="698"/>
      <c r="AW328" s="698"/>
    </row>
    <row r="329" spans="1:49" s="683" customFormat="1" x14ac:dyDescent="0.2">
      <c r="A329" s="706" t="s">
        <v>400</v>
      </c>
      <c r="B329" s="707">
        <f t="shared" ref="B329:AD329" si="26">B19</f>
        <v>108</v>
      </c>
      <c r="C329" s="707">
        <f t="shared" si="26"/>
        <v>123</v>
      </c>
      <c r="D329" s="707">
        <f t="shared" si="26"/>
        <v>106</v>
      </c>
      <c r="E329" s="707">
        <f t="shared" si="26"/>
        <v>60</v>
      </c>
      <c r="F329" s="707">
        <f t="shared" si="26"/>
        <v>38</v>
      </c>
      <c r="G329" s="707">
        <f t="shared" si="26"/>
        <v>111</v>
      </c>
      <c r="H329" s="707">
        <f t="shared" si="26"/>
        <v>77</v>
      </c>
      <c r="I329" s="707">
        <f t="shared" si="26"/>
        <v>6</v>
      </c>
      <c r="J329" s="707">
        <f t="shared" si="26"/>
        <v>11</v>
      </c>
      <c r="K329" s="707">
        <f t="shared" si="26"/>
        <v>12</v>
      </c>
      <c r="L329" s="707">
        <f t="shared" si="26"/>
        <v>17</v>
      </c>
      <c r="M329" s="707">
        <f t="shared" si="26"/>
        <v>16</v>
      </c>
      <c r="N329" s="707">
        <f t="shared" si="26"/>
        <v>204</v>
      </c>
      <c r="O329" s="707">
        <f t="shared" si="26"/>
        <v>172</v>
      </c>
      <c r="P329" s="707">
        <f t="shared" si="26"/>
        <v>176</v>
      </c>
      <c r="Q329" s="707">
        <f t="shared" si="26"/>
        <v>45</v>
      </c>
      <c r="R329" s="707">
        <f t="shared" si="26"/>
        <v>43</v>
      </c>
      <c r="S329" s="707">
        <f t="shared" si="26"/>
        <v>22</v>
      </c>
      <c r="T329" s="707">
        <f t="shared" si="26"/>
        <v>28</v>
      </c>
      <c r="U329" s="707">
        <f t="shared" si="26"/>
        <v>20</v>
      </c>
      <c r="V329" s="707">
        <f t="shared" si="26"/>
        <v>68</v>
      </c>
      <c r="W329" s="707">
        <f t="shared" si="26"/>
        <v>90</v>
      </c>
      <c r="X329" s="707">
        <f t="shared" si="26"/>
        <v>26</v>
      </c>
      <c r="Y329" s="707">
        <f t="shared" si="26"/>
        <v>29</v>
      </c>
      <c r="Z329" s="707">
        <f t="shared" si="26"/>
        <v>68</v>
      </c>
      <c r="AA329" s="707">
        <f t="shared" si="26"/>
        <v>44</v>
      </c>
      <c r="AB329" s="707">
        <f t="shared" si="26"/>
        <v>45</v>
      </c>
      <c r="AC329" s="707">
        <f t="shared" si="26"/>
        <v>69</v>
      </c>
      <c r="AD329" s="707">
        <f t="shared" si="26"/>
        <v>38</v>
      </c>
      <c r="AE329" s="707"/>
      <c r="AF329" s="707"/>
      <c r="AG329" s="695"/>
      <c r="AH329" s="695"/>
      <c r="AI329" s="695"/>
      <c r="AJ329" s="695"/>
      <c r="AK329" s="695"/>
      <c r="AL329" s="695"/>
      <c r="AM329" s="695"/>
      <c r="AN329" s="695"/>
      <c r="AO329" s="695"/>
      <c r="AP329" s="695"/>
      <c r="AQ329" s="695"/>
      <c r="AR329" s="695"/>
      <c r="AS329" s="695"/>
      <c r="AT329" s="695"/>
      <c r="AU329" s="695"/>
      <c r="AV329" s="695"/>
      <c r="AW329" s="695"/>
    </row>
    <row r="330" spans="1:49" s="683" customFormat="1" x14ac:dyDescent="0.2">
      <c r="A330" s="706" t="s">
        <v>399</v>
      </c>
      <c r="B330" s="707">
        <f t="shared" ref="B330:AD330" si="27">B20</f>
        <v>15</v>
      </c>
      <c r="C330" s="707">
        <f t="shared" si="27"/>
        <v>8</v>
      </c>
      <c r="D330" s="707">
        <f t="shared" si="27"/>
        <v>6</v>
      </c>
      <c r="E330" s="707">
        <f t="shared" si="27"/>
        <v>12</v>
      </c>
      <c r="F330" s="707">
        <f t="shared" si="27"/>
        <v>9</v>
      </c>
      <c r="G330" s="707">
        <f t="shared" si="27"/>
        <v>9</v>
      </c>
      <c r="H330" s="707">
        <f t="shared" si="27"/>
        <v>3</v>
      </c>
      <c r="I330" s="707">
        <f t="shared" si="27"/>
        <v>2</v>
      </c>
      <c r="J330" s="707">
        <f t="shared" si="27"/>
        <v>6</v>
      </c>
      <c r="K330" s="707">
        <f t="shared" si="27"/>
        <v>2</v>
      </c>
      <c r="L330" s="707">
        <f t="shared" si="27"/>
        <v>5</v>
      </c>
      <c r="M330" s="707">
        <f t="shared" si="27"/>
        <v>6</v>
      </c>
      <c r="N330" s="707">
        <f t="shared" si="27"/>
        <v>7</v>
      </c>
      <c r="O330" s="707">
        <f t="shared" si="27"/>
        <v>3</v>
      </c>
      <c r="P330" s="707">
        <f t="shared" si="27"/>
        <v>19</v>
      </c>
      <c r="Q330" s="707">
        <f t="shared" si="27"/>
        <v>5</v>
      </c>
      <c r="R330" s="707">
        <f t="shared" si="27"/>
        <v>7</v>
      </c>
      <c r="S330" s="707">
        <f t="shared" si="27"/>
        <v>4</v>
      </c>
      <c r="T330" s="707">
        <f t="shared" si="27"/>
        <v>8</v>
      </c>
      <c r="U330" s="707">
        <f t="shared" si="27"/>
        <v>4</v>
      </c>
      <c r="V330" s="707">
        <f t="shared" si="27"/>
        <v>3</v>
      </c>
      <c r="W330" s="707">
        <f t="shared" si="27"/>
        <v>10</v>
      </c>
      <c r="X330" s="707">
        <f t="shared" si="27"/>
        <v>7</v>
      </c>
      <c r="Y330" s="707">
        <f t="shared" si="27"/>
        <v>1</v>
      </c>
      <c r="Z330" s="707">
        <f t="shared" si="27"/>
        <v>6</v>
      </c>
      <c r="AA330" s="707">
        <f t="shared" si="27"/>
        <v>3</v>
      </c>
      <c r="AB330" s="707">
        <f t="shared" si="27"/>
        <v>7</v>
      </c>
      <c r="AC330" s="707">
        <f t="shared" si="27"/>
        <v>5</v>
      </c>
      <c r="AD330" s="707">
        <f t="shared" si="27"/>
        <v>5</v>
      </c>
      <c r="AE330" s="707"/>
      <c r="AF330" s="707"/>
      <c r="AG330" s="695"/>
      <c r="AH330" s="695"/>
      <c r="AI330" s="695"/>
      <c r="AJ330" s="695"/>
      <c r="AK330" s="695"/>
      <c r="AL330" s="695"/>
      <c r="AM330" s="695"/>
      <c r="AN330" s="695"/>
      <c r="AO330" s="695"/>
      <c r="AP330" s="695"/>
      <c r="AQ330" s="695"/>
      <c r="AR330" s="695"/>
      <c r="AS330" s="695"/>
      <c r="AT330" s="695"/>
      <c r="AU330" s="695"/>
      <c r="AV330" s="695"/>
      <c r="AW330" s="695"/>
    </row>
    <row r="331" spans="1:49" s="683" customFormat="1" ht="25.5" x14ac:dyDescent="0.2">
      <c r="A331" s="693" t="s">
        <v>758</v>
      </c>
      <c r="B331" s="707">
        <f t="shared" ref="B331:AD331" si="28">B21</f>
        <v>23</v>
      </c>
      <c r="C331" s="707">
        <f t="shared" si="28"/>
        <v>13</v>
      </c>
      <c r="D331" s="707">
        <f t="shared" si="28"/>
        <v>30</v>
      </c>
      <c r="E331" s="707">
        <f t="shared" si="28"/>
        <v>4</v>
      </c>
      <c r="F331" s="707">
        <f t="shared" si="28"/>
        <v>5</v>
      </c>
      <c r="G331" s="707">
        <f t="shared" si="28"/>
        <v>10</v>
      </c>
      <c r="H331" s="707">
        <f t="shared" si="28"/>
        <v>1</v>
      </c>
      <c r="I331" s="707">
        <f t="shared" si="28"/>
        <v>5</v>
      </c>
      <c r="J331" s="707">
        <f t="shared" si="28"/>
        <v>5</v>
      </c>
      <c r="K331" s="707">
        <f t="shared" si="28"/>
        <v>3</v>
      </c>
      <c r="L331" s="707">
        <f t="shared" si="28"/>
        <v>9</v>
      </c>
      <c r="M331" s="707">
        <f t="shared" si="28"/>
        <v>3</v>
      </c>
      <c r="N331" s="707">
        <f t="shared" si="28"/>
        <v>3</v>
      </c>
      <c r="O331" s="707">
        <f t="shared" si="28"/>
        <v>3</v>
      </c>
      <c r="P331" s="707">
        <f t="shared" si="28"/>
        <v>3</v>
      </c>
      <c r="Q331" s="707">
        <f t="shared" si="28"/>
        <v>5</v>
      </c>
      <c r="R331" s="707">
        <f t="shared" si="28"/>
        <v>5</v>
      </c>
      <c r="S331" s="707">
        <f t="shared" si="28"/>
        <v>1</v>
      </c>
      <c r="T331" s="707">
        <f t="shared" si="28"/>
        <v>2</v>
      </c>
      <c r="U331" s="707">
        <f t="shared" si="28"/>
        <v>9</v>
      </c>
      <c r="V331" s="707">
        <f t="shared" si="28"/>
        <v>9</v>
      </c>
      <c r="W331" s="707">
        <f t="shared" si="28"/>
        <v>6</v>
      </c>
      <c r="X331" s="707">
        <f t="shared" si="28"/>
        <v>8</v>
      </c>
      <c r="Y331" s="707">
        <f t="shared" si="28"/>
        <v>3</v>
      </c>
      <c r="Z331" s="707">
        <f t="shared" si="28"/>
        <v>4</v>
      </c>
      <c r="AA331" s="707">
        <f t="shared" si="28"/>
        <v>3</v>
      </c>
      <c r="AB331" s="707">
        <f t="shared" si="28"/>
        <v>0</v>
      </c>
      <c r="AC331" s="707">
        <f t="shared" si="28"/>
        <v>2</v>
      </c>
      <c r="AD331" s="707">
        <f t="shared" si="28"/>
        <v>4</v>
      </c>
      <c r="AE331" s="707"/>
      <c r="AF331" s="707"/>
      <c r="AG331" s="695"/>
      <c r="AH331" s="695"/>
      <c r="AI331" s="695"/>
      <c r="AJ331" s="695"/>
      <c r="AK331" s="695"/>
      <c r="AL331" s="695"/>
      <c r="AM331" s="695"/>
      <c r="AN331" s="695"/>
      <c r="AO331" s="695"/>
      <c r="AP331" s="695"/>
      <c r="AQ331" s="695"/>
      <c r="AR331" s="695"/>
      <c r="AS331" s="695"/>
      <c r="AT331" s="695"/>
      <c r="AU331" s="695"/>
      <c r="AV331" s="695"/>
      <c r="AW331" s="695"/>
    </row>
    <row r="332" spans="1:49" s="683" customFormat="1" x14ac:dyDescent="0.2">
      <c r="A332" s="706" t="s">
        <v>401</v>
      </c>
      <c r="B332" s="707">
        <f t="shared" ref="B332:AD332" si="29">B22</f>
        <v>0</v>
      </c>
      <c r="C332" s="707">
        <f t="shared" si="29"/>
        <v>0</v>
      </c>
      <c r="D332" s="707">
        <f t="shared" si="29"/>
        <v>0</v>
      </c>
      <c r="E332" s="707">
        <f t="shared" si="29"/>
        <v>0</v>
      </c>
      <c r="F332" s="707">
        <f t="shared" si="29"/>
        <v>0</v>
      </c>
      <c r="G332" s="707">
        <f t="shared" si="29"/>
        <v>0</v>
      </c>
      <c r="H332" s="707">
        <f t="shared" si="29"/>
        <v>0</v>
      </c>
      <c r="I332" s="707">
        <f t="shared" si="29"/>
        <v>0</v>
      </c>
      <c r="J332" s="707">
        <f t="shared" si="29"/>
        <v>0</v>
      </c>
      <c r="K332" s="707">
        <f t="shared" si="29"/>
        <v>0</v>
      </c>
      <c r="L332" s="707">
        <f t="shared" si="29"/>
        <v>0</v>
      </c>
      <c r="M332" s="707">
        <f t="shared" si="29"/>
        <v>0</v>
      </c>
      <c r="N332" s="707">
        <f t="shared" si="29"/>
        <v>0</v>
      </c>
      <c r="O332" s="707">
        <f t="shared" si="29"/>
        <v>0</v>
      </c>
      <c r="P332" s="707">
        <f t="shared" si="29"/>
        <v>0</v>
      </c>
      <c r="Q332" s="707">
        <f t="shared" si="29"/>
        <v>0</v>
      </c>
      <c r="R332" s="707">
        <f t="shared" si="29"/>
        <v>0</v>
      </c>
      <c r="S332" s="707">
        <f t="shared" si="29"/>
        <v>0</v>
      </c>
      <c r="T332" s="707">
        <f t="shared" si="29"/>
        <v>0</v>
      </c>
      <c r="U332" s="707">
        <f t="shared" si="29"/>
        <v>0</v>
      </c>
      <c r="V332" s="707">
        <f t="shared" si="29"/>
        <v>0</v>
      </c>
      <c r="W332" s="707">
        <f t="shared" si="29"/>
        <v>0</v>
      </c>
      <c r="X332" s="707">
        <f t="shared" si="29"/>
        <v>0</v>
      </c>
      <c r="Y332" s="707">
        <f t="shared" si="29"/>
        <v>0</v>
      </c>
      <c r="Z332" s="707">
        <f t="shared" si="29"/>
        <v>0</v>
      </c>
      <c r="AA332" s="707">
        <f t="shared" si="29"/>
        <v>0</v>
      </c>
      <c r="AB332" s="707">
        <f t="shared" si="29"/>
        <v>0</v>
      </c>
      <c r="AC332" s="707">
        <f t="shared" si="29"/>
        <v>0</v>
      </c>
      <c r="AD332" s="707">
        <f t="shared" si="29"/>
        <v>0</v>
      </c>
      <c r="AE332" s="707"/>
      <c r="AF332" s="707"/>
      <c r="AG332" s="695"/>
      <c r="AH332" s="695"/>
      <c r="AI332" s="695"/>
      <c r="AJ332" s="695"/>
      <c r="AK332" s="695"/>
      <c r="AL332" s="695"/>
      <c r="AM332" s="695"/>
      <c r="AN332" s="695"/>
      <c r="AO332" s="695"/>
      <c r="AP332" s="695"/>
      <c r="AQ332" s="695"/>
      <c r="AR332" s="695"/>
      <c r="AS332" s="695"/>
      <c r="AT332" s="695"/>
      <c r="AU332" s="695"/>
      <c r="AV332" s="695"/>
      <c r="AW332" s="695"/>
    </row>
    <row r="333" spans="1:49" s="683" customFormat="1" ht="38.25" x14ac:dyDescent="0.2">
      <c r="A333" s="684" t="s">
        <v>759</v>
      </c>
      <c r="B333" s="707">
        <f t="shared" ref="B333:AD333" si="30">B23</f>
        <v>146</v>
      </c>
      <c r="C333" s="707">
        <f t="shared" si="30"/>
        <v>144</v>
      </c>
      <c r="D333" s="707">
        <f t="shared" si="30"/>
        <v>142</v>
      </c>
      <c r="E333" s="707">
        <f t="shared" si="30"/>
        <v>76</v>
      </c>
      <c r="F333" s="707">
        <f t="shared" si="30"/>
        <v>52</v>
      </c>
      <c r="G333" s="707">
        <f t="shared" si="30"/>
        <v>130</v>
      </c>
      <c r="H333" s="707">
        <f t="shared" si="30"/>
        <v>81</v>
      </c>
      <c r="I333" s="707">
        <f t="shared" si="30"/>
        <v>13</v>
      </c>
      <c r="J333" s="707">
        <f t="shared" si="30"/>
        <v>22</v>
      </c>
      <c r="K333" s="707">
        <f t="shared" si="30"/>
        <v>17</v>
      </c>
      <c r="L333" s="707">
        <f t="shared" si="30"/>
        <v>31</v>
      </c>
      <c r="M333" s="707">
        <f t="shared" si="30"/>
        <v>25</v>
      </c>
      <c r="N333" s="707">
        <f t="shared" si="30"/>
        <v>214</v>
      </c>
      <c r="O333" s="707">
        <f t="shared" si="30"/>
        <v>178</v>
      </c>
      <c r="P333" s="707">
        <f t="shared" si="30"/>
        <v>198</v>
      </c>
      <c r="Q333" s="707">
        <f t="shared" si="30"/>
        <v>55</v>
      </c>
      <c r="R333" s="707">
        <f t="shared" si="30"/>
        <v>55</v>
      </c>
      <c r="S333" s="707">
        <f t="shared" si="30"/>
        <v>27</v>
      </c>
      <c r="T333" s="707">
        <f t="shared" si="30"/>
        <v>38</v>
      </c>
      <c r="U333" s="707">
        <f t="shared" si="30"/>
        <v>33</v>
      </c>
      <c r="V333" s="707">
        <f t="shared" si="30"/>
        <v>80</v>
      </c>
      <c r="W333" s="707">
        <f t="shared" si="30"/>
        <v>106</v>
      </c>
      <c r="X333" s="707">
        <f t="shared" si="30"/>
        <v>41</v>
      </c>
      <c r="Y333" s="707">
        <f t="shared" si="30"/>
        <v>33</v>
      </c>
      <c r="Z333" s="707">
        <f t="shared" si="30"/>
        <v>78</v>
      </c>
      <c r="AA333" s="707">
        <f t="shared" si="30"/>
        <v>50</v>
      </c>
      <c r="AB333" s="707">
        <f t="shared" si="30"/>
        <v>52</v>
      </c>
      <c r="AC333" s="707">
        <f t="shared" si="30"/>
        <v>76</v>
      </c>
      <c r="AD333" s="707">
        <f t="shared" si="30"/>
        <v>47</v>
      </c>
      <c r="AE333" s="707"/>
      <c r="AF333" s="707"/>
      <c r="AG333" s="695"/>
      <c r="AH333" s="695"/>
      <c r="AI333" s="695"/>
      <c r="AJ333" s="695"/>
      <c r="AK333" s="695"/>
      <c r="AL333" s="695"/>
      <c r="AM333" s="695"/>
      <c r="AN333" s="695"/>
      <c r="AO333" s="695"/>
      <c r="AP333" s="695"/>
      <c r="AQ333" s="695"/>
      <c r="AR333" s="695"/>
      <c r="AS333" s="695"/>
      <c r="AT333" s="695"/>
      <c r="AU333" s="695"/>
      <c r="AV333" s="695"/>
      <c r="AW333" s="695"/>
    </row>
    <row r="334" spans="1:49" s="683" customFormat="1" x14ac:dyDescent="0.2">
      <c r="A334" s="683" t="s">
        <v>402</v>
      </c>
      <c r="B334" s="705"/>
      <c r="C334" s="705"/>
      <c r="D334" s="705"/>
      <c r="E334" s="705"/>
      <c r="F334" s="705"/>
      <c r="G334" s="705"/>
      <c r="H334" s="705"/>
      <c r="I334" s="705"/>
      <c r="J334" s="705"/>
      <c r="K334" s="705"/>
      <c r="L334" s="705"/>
      <c r="M334" s="705"/>
      <c r="N334" s="705"/>
      <c r="O334" s="705"/>
      <c r="P334" s="705"/>
      <c r="Q334" s="705"/>
      <c r="R334" s="705"/>
      <c r="S334" s="705"/>
      <c r="T334" s="705"/>
      <c r="U334" s="705"/>
      <c r="V334" s="705"/>
      <c r="W334" s="705"/>
      <c r="X334" s="705"/>
      <c r="Y334" s="705"/>
      <c r="Z334" s="705"/>
      <c r="AA334" s="705"/>
      <c r="AB334" s="705"/>
      <c r="AC334" s="705"/>
      <c r="AD334" s="705"/>
      <c r="AE334" s="705"/>
      <c r="AF334" s="705"/>
      <c r="AG334" s="705"/>
      <c r="AH334" s="705"/>
      <c r="AI334" s="705"/>
      <c r="AJ334" s="705"/>
      <c r="AK334" s="705"/>
      <c r="AL334" s="705"/>
      <c r="AM334" s="705"/>
      <c r="AN334" s="705"/>
      <c r="AO334" s="705"/>
      <c r="AP334" s="705"/>
      <c r="AQ334" s="705"/>
      <c r="AR334" s="705"/>
      <c r="AS334" s="705"/>
      <c r="AT334" s="705"/>
      <c r="AU334" s="705"/>
      <c r="AV334" s="705"/>
      <c r="AW334" s="705"/>
    </row>
    <row r="335" spans="1:49" s="683" customFormat="1" ht="15" x14ac:dyDescent="0.2">
      <c r="A335" s="708" t="s">
        <v>400</v>
      </c>
      <c r="B335" s="700" t="s">
        <v>515</v>
      </c>
      <c r="C335" s="692"/>
      <c r="D335" s="705"/>
      <c r="E335" s="705"/>
      <c r="F335" s="705"/>
      <c r="G335" s="705"/>
      <c r="H335" s="705"/>
      <c r="I335" s="705"/>
      <c r="J335" s="705"/>
      <c r="K335" s="705"/>
      <c r="L335" s="705"/>
      <c r="M335" s="705"/>
      <c r="N335" s="705"/>
      <c r="O335" s="705"/>
      <c r="P335" s="705"/>
      <c r="Q335" s="705"/>
      <c r="R335" s="705"/>
      <c r="S335" s="705"/>
      <c r="T335" s="705"/>
      <c r="U335" s="705"/>
      <c r="V335" s="705"/>
      <c r="W335" s="705"/>
      <c r="X335" s="705"/>
      <c r="Y335" s="705"/>
      <c r="Z335" s="705"/>
      <c r="AA335" s="705"/>
      <c r="AB335" s="705"/>
      <c r="AC335" s="705"/>
      <c r="AD335" s="705"/>
      <c r="AE335" s="705"/>
      <c r="AF335" s="705"/>
      <c r="AG335" s="705"/>
      <c r="AH335" s="705"/>
      <c r="AI335" s="705"/>
      <c r="AJ335" s="705"/>
      <c r="AK335" s="705"/>
      <c r="AL335" s="705"/>
      <c r="AM335" s="705"/>
      <c r="AN335" s="705"/>
      <c r="AO335" s="705"/>
      <c r="AP335" s="705"/>
      <c r="AQ335" s="705"/>
      <c r="AR335" s="705"/>
      <c r="AS335" s="705"/>
      <c r="AT335" s="705"/>
      <c r="AU335" s="705"/>
      <c r="AV335" s="705"/>
      <c r="AW335" s="705"/>
    </row>
    <row r="336" spans="1:49" s="683" customFormat="1" x14ac:dyDescent="0.2">
      <c r="A336" s="693" t="s">
        <v>131</v>
      </c>
      <c r="B336" s="705"/>
      <c r="C336" s="705"/>
      <c r="D336" s="705"/>
      <c r="E336" s="705"/>
      <c r="F336" s="705"/>
      <c r="G336" s="705"/>
      <c r="H336" s="705"/>
      <c r="I336" s="705"/>
      <c r="J336" s="705"/>
      <c r="K336" s="705"/>
      <c r="L336" s="705"/>
      <c r="M336" s="705"/>
      <c r="N336" s="705"/>
      <c r="O336" s="705"/>
      <c r="P336" s="705"/>
      <c r="Q336" s="705"/>
      <c r="R336" s="705"/>
      <c r="S336" s="705"/>
      <c r="T336" s="705"/>
      <c r="U336" s="705"/>
      <c r="V336" s="705"/>
      <c r="W336" s="705"/>
      <c r="X336" s="705"/>
      <c r="Y336" s="705"/>
      <c r="Z336" s="705"/>
      <c r="AA336" s="705"/>
      <c r="AB336" s="705"/>
      <c r="AC336" s="705"/>
      <c r="AD336" s="705"/>
      <c r="AE336" s="705"/>
      <c r="AF336" s="705"/>
      <c r="AG336" s="705"/>
      <c r="AH336" s="705"/>
      <c r="AI336" s="705"/>
      <c r="AJ336" s="705"/>
      <c r="AK336" s="705"/>
      <c r="AL336" s="705"/>
      <c r="AM336" s="705"/>
      <c r="AN336" s="705"/>
      <c r="AO336" s="705"/>
      <c r="AP336" s="705"/>
      <c r="AQ336" s="705"/>
      <c r="AR336" s="705"/>
      <c r="AS336" s="705"/>
      <c r="AT336" s="705"/>
      <c r="AU336" s="705"/>
      <c r="AV336" s="705"/>
      <c r="AW336" s="705"/>
    </row>
    <row r="337" spans="1:49" s="683" customFormat="1" x14ac:dyDescent="0.2">
      <c r="A337" s="693" t="s">
        <v>184</v>
      </c>
      <c r="B337" s="705"/>
      <c r="C337" s="705"/>
      <c r="D337" s="705"/>
      <c r="E337" s="705"/>
      <c r="F337" s="705"/>
      <c r="G337" s="705"/>
      <c r="H337" s="705"/>
      <c r="I337" s="705"/>
      <c r="J337" s="705"/>
      <c r="K337" s="705"/>
      <c r="L337" s="705"/>
      <c r="M337" s="705"/>
      <c r="N337" s="705"/>
      <c r="O337" s="705"/>
      <c r="P337" s="705"/>
      <c r="Q337" s="705"/>
      <c r="R337" s="705"/>
      <c r="S337" s="705"/>
      <c r="T337" s="705"/>
      <c r="U337" s="705"/>
      <c r="V337" s="705"/>
      <c r="W337" s="705"/>
      <c r="X337" s="705"/>
      <c r="Y337" s="705"/>
      <c r="Z337" s="705"/>
      <c r="AA337" s="705"/>
      <c r="AB337" s="705"/>
      <c r="AC337" s="705"/>
      <c r="AD337" s="705"/>
      <c r="AE337" s="705"/>
      <c r="AF337" s="705"/>
      <c r="AG337" s="705"/>
      <c r="AH337" s="705"/>
      <c r="AI337" s="705"/>
      <c r="AJ337" s="705"/>
      <c r="AK337" s="705"/>
      <c r="AL337" s="705"/>
      <c r="AM337" s="705"/>
      <c r="AN337" s="705"/>
      <c r="AO337" s="705"/>
      <c r="AP337" s="705"/>
      <c r="AQ337" s="705"/>
      <c r="AR337" s="705"/>
      <c r="AS337" s="705"/>
      <c r="AT337" s="705"/>
      <c r="AU337" s="705"/>
      <c r="AV337" s="705"/>
      <c r="AW337" s="705"/>
    </row>
    <row r="338" spans="1:49" s="683" customFormat="1" x14ac:dyDescent="0.2">
      <c r="A338" s="702" t="s">
        <v>490</v>
      </c>
      <c r="B338" s="705"/>
      <c r="C338" s="705">
        <f>SUM(C329-B329)</f>
        <v>15</v>
      </c>
      <c r="D338" s="705">
        <f>SUM(D329-C329)*-1</f>
        <v>17</v>
      </c>
      <c r="E338" s="705">
        <f>SUM(E329-D329)*-1</f>
        <v>46</v>
      </c>
      <c r="F338" s="705">
        <f>SUM(F329-E329)*-1</f>
        <v>22</v>
      </c>
      <c r="G338" s="705">
        <f t="shared" ref="G338:Y338" si="31">SUM(G329-F329)</f>
        <v>73</v>
      </c>
      <c r="H338" s="705">
        <f>SUM(H329-G329)*-1</f>
        <v>34</v>
      </c>
      <c r="I338" s="705">
        <f>SUM(I329-H329)*-1</f>
        <v>71</v>
      </c>
      <c r="J338" s="705">
        <f t="shared" si="31"/>
        <v>5</v>
      </c>
      <c r="K338" s="705">
        <f t="shared" si="31"/>
        <v>1</v>
      </c>
      <c r="L338" s="705">
        <f t="shared" si="31"/>
        <v>5</v>
      </c>
      <c r="M338" s="705">
        <f>SUM(M329-L329)*-1</f>
        <v>1</v>
      </c>
      <c r="N338" s="705">
        <f t="shared" si="31"/>
        <v>188</v>
      </c>
      <c r="O338" s="705">
        <f>SUM(O329-N329)*-1</f>
        <v>32</v>
      </c>
      <c r="P338" s="705">
        <f t="shared" si="31"/>
        <v>4</v>
      </c>
      <c r="Q338" s="705">
        <f>SUM(Q329-P329)*-1</f>
        <v>131</v>
      </c>
      <c r="R338" s="705">
        <f>SUM(R329-Q329)*-1</f>
        <v>2</v>
      </c>
      <c r="S338" s="705">
        <f>SUM(S329-R329)*-1</f>
        <v>21</v>
      </c>
      <c r="T338" s="705">
        <f t="shared" si="31"/>
        <v>6</v>
      </c>
      <c r="U338" s="705">
        <f>SUM(U329-T329)*-1</f>
        <v>8</v>
      </c>
      <c r="V338" s="705">
        <f t="shared" si="31"/>
        <v>48</v>
      </c>
      <c r="W338" s="705">
        <f t="shared" si="31"/>
        <v>22</v>
      </c>
      <c r="X338" s="705">
        <f>SUM(X329-W329)*-1</f>
        <v>64</v>
      </c>
      <c r="Y338" s="705">
        <f t="shared" si="31"/>
        <v>3</v>
      </c>
      <c r="Z338" s="705">
        <f>SUM(Z329-Y329)</f>
        <v>39</v>
      </c>
      <c r="AA338" s="705">
        <f>SUM(AA329-Z329)*-1</f>
        <v>24</v>
      </c>
      <c r="AB338" s="705">
        <f>SUM(AB329-AA329)</f>
        <v>1</v>
      </c>
      <c r="AC338" s="705">
        <f>SUM(AC329-AB329)</f>
        <v>24</v>
      </c>
      <c r="AD338" s="705">
        <f>SUM(AD329-AC329)*-1</f>
        <v>31</v>
      </c>
      <c r="AE338" s="692" t="s">
        <v>385</v>
      </c>
      <c r="AF338" s="692" t="s">
        <v>385</v>
      </c>
      <c r="AG338" s="692" t="s">
        <v>385</v>
      </c>
      <c r="AH338" s="692" t="s">
        <v>385</v>
      </c>
      <c r="AI338" s="692" t="s">
        <v>385</v>
      </c>
      <c r="AJ338" s="692" t="s">
        <v>385</v>
      </c>
      <c r="AK338" s="692" t="s">
        <v>385</v>
      </c>
      <c r="AL338" s="692" t="s">
        <v>385</v>
      </c>
      <c r="AM338" s="692" t="s">
        <v>385</v>
      </c>
      <c r="AN338" s="692" t="s">
        <v>385</v>
      </c>
      <c r="AO338" s="692" t="s">
        <v>385</v>
      </c>
      <c r="AP338" s="692" t="s">
        <v>385</v>
      </c>
      <c r="AQ338" s="692" t="s">
        <v>385</v>
      </c>
      <c r="AR338" s="692" t="s">
        <v>385</v>
      </c>
      <c r="AS338" s="692" t="s">
        <v>385</v>
      </c>
      <c r="AT338" s="692" t="s">
        <v>385</v>
      </c>
      <c r="AU338" s="692" t="s">
        <v>385</v>
      </c>
      <c r="AV338" s="692" t="s">
        <v>385</v>
      </c>
      <c r="AW338" s="692" t="s">
        <v>385</v>
      </c>
    </row>
    <row r="339" spans="1:49" s="683" customFormat="1" ht="53.25" x14ac:dyDescent="0.2">
      <c r="A339" s="703" t="s">
        <v>521</v>
      </c>
      <c r="B339" s="705"/>
      <c r="C339" s="705"/>
      <c r="D339" s="705"/>
      <c r="E339" s="705"/>
      <c r="F339" s="705"/>
      <c r="G339" s="705"/>
      <c r="H339" s="705"/>
      <c r="I339" s="705"/>
      <c r="J339" s="705"/>
      <c r="K339" s="705"/>
      <c r="L339" s="705"/>
      <c r="M339" s="705"/>
      <c r="N339" s="705"/>
      <c r="O339" s="705"/>
      <c r="P339" s="705"/>
      <c r="Q339" s="705"/>
      <c r="R339" s="705"/>
      <c r="S339" s="705"/>
      <c r="T339" s="705"/>
      <c r="U339" s="705"/>
      <c r="V339" s="705"/>
      <c r="W339" s="705"/>
      <c r="X339" s="705"/>
      <c r="Y339" s="705"/>
      <c r="Z339" s="705"/>
      <c r="AA339" s="705"/>
      <c r="AB339" s="705"/>
      <c r="AC339" s="705"/>
      <c r="AD339" s="705"/>
      <c r="AE339" s="705"/>
      <c r="AF339" s="705"/>
      <c r="AG339" s="705"/>
      <c r="AH339" s="705"/>
      <c r="AI339" s="705"/>
      <c r="AJ339" s="705"/>
      <c r="AK339" s="705"/>
      <c r="AL339" s="705"/>
      <c r="AM339" s="705"/>
      <c r="AN339" s="705"/>
      <c r="AO339" s="705"/>
      <c r="AP339" s="705"/>
      <c r="AQ339" s="705"/>
      <c r="AR339" s="705"/>
      <c r="AS339" s="705"/>
      <c r="AT339" s="705"/>
      <c r="AU339" s="705"/>
      <c r="AV339" s="705"/>
      <c r="AW339" s="705"/>
    </row>
    <row r="340" spans="1:49" s="683" customFormat="1" x14ac:dyDescent="0.2">
      <c r="A340" s="709" t="s">
        <v>492</v>
      </c>
      <c r="B340" s="710">
        <f t="shared" ref="B340:AW340" si="32">AVERAGE($B$329:$AW$329)</f>
        <v>64.551724137931032</v>
      </c>
      <c r="C340" s="710">
        <f t="shared" si="32"/>
        <v>64.551724137931032</v>
      </c>
      <c r="D340" s="710">
        <f t="shared" si="32"/>
        <v>64.551724137931032</v>
      </c>
      <c r="E340" s="710">
        <f t="shared" si="32"/>
        <v>64.551724137931032</v>
      </c>
      <c r="F340" s="710">
        <f t="shared" si="32"/>
        <v>64.551724137931032</v>
      </c>
      <c r="G340" s="710">
        <f t="shared" si="32"/>
        <v>64.551724137931032</v>
      </c>
      <c r="H340" s="710">
        <f t="shared" si="32"/>
        <v>64.551724137931032</v>
      </c>
      <c r="I340" s="710">
        <f t="shared" si="32"/>
        <v>64.551724137931032</v>
      </c>
      <c r="J340" s="710">
        <f t="shared" si="32"/>
        <v>64.551724137931032</v>
      </c>
      <c r="K340" s="710">
        <f t="shared" si="32"/>
        <v>64.551724137931032</v>
      </c>
      <c r="L340" s="710">
        <f t="shared" si="32"/>
        <v>64.551724137931032</v>
      </c>
      <c r="M340" s="710">
        <f t="shared" si="32"/>
        <v>64.551724137931032</v>
      </c>
      <c r="N340" s="710">
        <f t="shared" si="32"/>
        <v>64.551724137931032</v>
      </c>
      <c r="O340" s="710">
        <f t="shared" si="32"/>
        <v>64.551724137931032</v>
      </c>
      <c r="P340" s="710">
        <f t="shared" si="32"/>
        <v>64.551724137931032</v>
      </c>
      <c r="Q340" s="710">
        <f t="shared" si="32"/>
        <v>64.551724137931032</v>
      </c>
      <c r="R340" s="710">
        <f t="shared" si="32"/>
        <v>64.551724137931032</v>
      </c>
      <c r="S340" s="710">
        <f t="shared" si="32"/>
        <v>64.551724137931032</v>
      </c>
      <c r="T340" s="710">
        <f t="shared" si="32"/>
        <v>64.551724137931032</v>
      </c>
      <c r="U340" s="710">
        <f t="shared" si="32"/>
        <v>64.551724137931032</v>
      </c>
      <c r="V340" s="710">
        <f t="shared" si="32"/>
        <v>64.551724137931032</v>
      </c>
      <c r="W340" s="710">
        <f t="shared" si="32"/>
        <v>64.551724137931032</v>
      </c>
      <c r="X340" s="710">
        <f t="shared" si="32"/>
        <v>64.551724137931032</v>
      </c>
      <c r="Y340" s="710">
        <f t="shared" si="32"/>
        <v>64.551724137931032</v>
      </c>
      <c r="Z340" s="710">
        <f t="shared" si="32"/>
        <v>64.551724137931032</v>
      </c>
      <c r="AA340" s="710">
        <f t="shared" si="32"/>
        <v>64.551724137931032</v>
      </c>
      <c r="AB340" s="710">
        <f t="shared" si="32"/>
        <v>64.551724137931032</v>
      </c>
      <c r="AC340" s="710">
        <f t="shared" si="32"/>
        <v>64.551724137931032</v>
      </c>
      <c r="AD340" s="710">
        <f t="shared" si="32"/>
        <v>64.551724137931032</v>
      </c>
      <c r="AE340" s="710">
        <f t="shared" si="32"/>
        <v>64.551724137931032</v>
      </c>
      <c r="AF340" s="710">
        <f t="shared" si="32"/>
        <v>64.551724137931032</v>
      </c>
      <c r="AG340" s="710">
        <f t="shared" si="32"/>
        <v>64.551724137931032</v>
      </c>
      <c r="AH340" s="710">
        <f t="shared" si="32"/>
        <v>64.551724137931032</v>
      </c>
      <c r="AI340" s="710">
        <f t="shared" si="32"/>
        <v>64.551724137931032</v>
      </c>
      <c r="AJ340" s="710">
        <f t="shared" si="32"/>
        <v>64.551724137931032</v>
      </c>
      <c r="AK340" s="710">
        <f t="shared" si="32"/>
        <v>64.551724137931032</v>
      </c>
      <c r="AL340" s="710">
        <f t="shared" si="32"/>
        <v>64.551724137931032</v>
      </c>
      <c r="AM340" s="710">
        <f t="shared" si="32"/>
        <v>64.551724137931032</v>
      </c>
      <c r="AN340" s="710">
        <f t="shared" si="32"/>
        <v>64.551724137931032</v>
      </c>
      <c r="AO340" s="710">
        <f t="shared" si="32"/>
        <v>64.551724137931032</v>
      </c>
      <c r="AP340" s="710">
        <f t="shared" si="32"/>
        <v>64.551724137931032</v>
      </c>
      <c r="AQ340" s="710">
        <f t="shared" si="32"/>
        <v>64.551724137931032</v>
      </c>
      <c r="AR340" s="710">
        <f t="shared" si="32"/>
        <v>64.551724137931032</v>
      </c>
      <c r="AS340" s="710">
        <f t="shared" si="32"/>
        <v>64.551724137931032</v>
      </c>
      <c r="AT340" s="710">
        <f t="shared" si="32"/>
        <v>64.551724137931032</v>
      </c>
      <c r="AU340" s="710">
        <f t="shared" si="32"/>
        <v>64.551724137931032</v>
      </c>
      <c r="AV340" s="710">
        <f t="shared" si="32"/>
        <v>64.551724137931032</v>
      </c>
      <c r="AW340" s="710">
        <f t="shared" si="32"/>
        <v>64.551724137931032</v>
      </c>
    </row>
    <row r="341" spans="1:49" s="683" customFormat="1" x14ac:dyDescent="0.2">
      <c r="A341" s="702" t="s">
        <v>491</v>
      </c>
      <c r="B341" s="710">
        <f>SUM(C338:AW338)/COUNT(C338:AW338)</f>
        <v>33.5</v>
      </c>
      <c r="C341" s="705"/>
      <c r="D341" s="705"/>
      <c r="E341" s="705"/>
      <c r="F341" s="705"/>
      <c r="G341" s="705"/>
      <c r="H341" s="705"/>
      <c r="I341" s="705"/>
      <c r="J341" s="705"/>
      <c r="K341" s="705"/>
      <c r="L341" s="705"/>
      <c r="M341" s="705"/>
      <c r="N341" s="705"/>
      <c r="O341" s="705"/>
      <c r="P341" s="705"/>
      <c r="Q341" s="705"/>
      <c r="R341" s="705"/>
      <c r="S341" s="705"/>
      <c r="T341" s="705"/>
      <c r="U341" s="705"/>
      <c r="V341" s="705"/>
      <c r="W341" s="705"/>
      <c r="X341" s="705"/>
      <c r="Y341" s="705"/>
      <c r="Z341" s="705"/>
      <c r="AA341" s="705"/>
      <c r="AB341" s="705"/>
      <c r="AC341" s="705"/>
      <c r="AD341" s="705"/>
      <c r="AE341" s="705"/>
      <c r="AF341" s="705"/>
      <c r="AG341" s="705"/>
      <c r="AH341" s="705"/>
      <c r="AI341" s="705"/>
      <c r="AJ341" s="705"/>
      <c r="AK341" s="705"/>
      <c r="AL341" s="705"/>
      <c r="AM341" s="705"/>
      <c r="AN341" s="705"/>
      <c r="AO341" s="705"/>
      <c r="AP341" s="705"/>
      <c r="AQ341" s="705"/>
      <c r="AR341" s="705"/>
      <c r="AS341" s="705"/>
      <c r="AT341" s="705"/>
      <c r="AU341" s="705"/>
      <c r="AV341" s="705"/>
      <c r="AW341" s="705"/>
    </row>
    <row r="342" spans="1:49" s="683" customFormat="1" ht="25.5" x14ac:dyDescent="0.2">
      <c r="A342" s="702" t="s">
        <v>494</v>
      </c>
      <c r="B342" s="710">
        <f>SUM(B341/1.128)</f>
        <v>29.698581560283692</v>
      </c>
      <c r="C342" s="705"/>
      <c r="D342" s="705"/>
      <c r="E342" s="705"/>
      <c r="F342" s="705"/>
      <c r="G342" s="705"/>
      <c r="H342" s="705"/>
      <c r="I342" s="705"/>
      <c r="J342" s="705"/>
      <c r="K342" s="705"/>
      <c r="L342" s="705"/>
      <c r="M342" s="705"/>
      <c r="N342" s="705"/>
      <c r="O342" s="705"/>
      <c r="P342" s="705"/>
      <c r="Q342" s="705"/>
      <c r="R342" s="705"/>
      <c r="S342" s="705"/>
      <c r="T342" s="705"/>
      <c r="U342" s="705"/>
      <c r="V342" s="705"/>
      <c r="W342" s="705"/>
      <c r="X342" s="705"/>
      <c r="Y342" s="705"/>
      <c r="Z342" s="705"/>
      <c r="AA342" s="705"/>
      <c r="AB342" s="705"/>
      <c r="AC342" s="705"/>
      <c r="AD342" s="705"/>
      <c r="AE342" s="705"/>
      <c r="AF342" s="705"/>
      <c r="AG342" s="705"/>
      <c r="AH342" s="705"/>
      <c r="AI342" s="705"/>
      <c r="AJ342" s="705"/>
      <c r="AK342" s="705"/>
      <c r="AL342" s="705"/>
      <c r="AM342" s="705"/>
      <c r="AN342" s="705"/>
      <c r="AO342" s="705"/>
      <c r="AP342" s="705"/>
      <c r="AQ342" s="705"/>
      <c r="AR342" s="705"/>
      <c r="AS342" s="705"/>
      <c r="AT342" s="705"/>
      <c r="AU342" s="705"/>
      <c r="AV342" s="705"/>
      <c r="AW342" s="705"/>
    </row>
    <row r="343" spans="1:49" s="683" customFormat="1" x14ac:dyDescent="0.2">
      <c r="A343" s="702" t="s">
        <v>497</v>
      </c>
      <c r="B343" s="710">
        <f t="shared" ref="B343:AW343" si="33">$B$340 + (3*$B$342)</f>
        <v>153.6474688187821</v>
      </c>
      <c r="C343" s="710">
        <f t="shared" si="33"/>
        <v>153.6474688187821</v>
      </c>
      <c r="D343" s="710">
        <f t="shared" si="33"/>
        <v>153.6474688187821</v>
      </c>
      <c r="E343" s="710">
        <f t="shared" si="33"/>
        <v>153.6474688187821</v>
      </c>
      <c r="F343" s="710">
        <f t="shared" si="33"/>
        <v>153.6474688187821</v>
      </c>
      <c r="G343" s="710">
        <f t="shared" si="33"/>
        <v>153.6474688187821</v>
      </c>
      <c r="H343" s="710">
        <f t="shared" si="33"/>
        <v>153.6474688187821</v>
      </c>
      <c r="I343" s="710">
        <f t="shared" si="33"/>
        <v>153.6474688187821</v>
      </c>
      <c r="J343" s="710">
        <f t="shared" si="33"/>
        <v>153.6474688187821</v>
      </c>
      <c r="K343" s="710">
        <f t="shared" si="33"/>
        <v>153.6474688187821</v>
      </c>
      <c r="L343" s="710">
        <f t="shared" si="33"/>
        <v>153.6474688187821</v>
      </c>
      <c r="M343" s="710">
        <f t="shared" si="33"/>
        <v>153.6474688187821</v>
      </c>
      <c r="N343" s="710">
        <f t="shared" si="33"/>
        <v>153.6474688187821</v>
      </c>
      <c r="O343" s="710">
        <f t="shared" si="33"/>
        <v>153.6474688187821</v>
      </c>
      <c r="P343" s="710">
        <f t="shared" si="33"/>
        <v>153.6474688187821</v>
      </c>
      <c r="Q343" s="710">
        <f t="shared" si="33"/>
        <v>153.6474688187821</v>
      </c>
      <c r="R343" s="710">
        <f t="shared" si="33"/>
        <v>153.6474688187821</v>
      </c>
      <c r="S343" s="710">
        <f t="shared" si="33"/>
        <v>153.6474688187821</v>
      </c>
      <c r="T343" s="710">
        <f t="shared" si="33"/>
        <v>153.6474688187821</v>
      </c>
      <c r="U343" s="710">
        <f t="shared" si="33"/>
        <v>153.6474688187821</v>
      </c>
      <c r="V343" s="710">
        <f t="shared" si="33"/>
        <v>153.6474688187821</v>
      </c>
      <c r="W343" s="710">
        <f t="shared" si="33"/>
        <v>153.6474688187821</v>
      </c>
      <c r="X343" s="710">
        <f t="shared" si="33"/>
        <v>153.6474688187821</v>
      </c>
      <c r="Y343" s="710">
        <f t="shared" si="33"/>
        <v>153.6474688187821</v>
      </c>
      <c r="Z343" s="710">
        <f t="shared" si="33"/>
        <v>153.6474688187821</v>
      </c>
      <c r="AA343" s="710">
        <f t="shared" si="33"/>
        <v>153.6474688187821</v>
      </c>
      <c r="AB343" s="710">
        <f t="shared" si="33"/>
        <v>153.6474688187821</v>
      </c>
      <c r="AC343" s="710">
        <f t="shared" si="33"/>
        <v>153.6474688187821</v>
      </c>
      <c r="AD343" s="710">
        <f t="shared" si="33"/>
        <v>153.6474688187821</v>
      </c>
      <c r="AE343" s="710">
        <f t="shared" si="33"/>
        <v>153.6474688187821</v>
      </c>
      <c r="AF343" s="710">
        <f t="shared" si="33"/>
        <v>153.6474688187821</v>
      </c>
      <c r="AG343" s="710">
        <f t="shared" si="33"/>
        <v>153.6474688187821</v>
      </c>
      <c r="AH343" s="710">
        <f t="shared" si="33"/>
        <v>153.6474688187821</v>
      </c>
      <c r="AI343" s="710">
        <f t="shared" si="33"/>
        <v>153.6474688187821</v>
      </c>
      <c r="AJ343" s="710">
        <f t="shared" si="33"/>
        <v>153.6474688187821</v>
      </c>
      <c r="AK343" s="710">
        <f t="shared" si="33"/>
        <v>153.6474688187821</v>
      </c>
      <c r="AL343" s="710">
        <f t="shared" si="33"/>
        <v>153.6474688187821</v>
      </c>
      <c r="AM343" s="710">
        <f t="shared" si="33"/>
        <v>153.6474688187821</v>
      </c>
      <c r="AN343" s="710">
        <f t="shared" si="33"/>
        <v>153.6474688187821</v>
      </c>
      <c r="AO343" s="710">
        <f t="shared" si="33"/>
        <v>153.6474688187821</v>
      </c>
      <c r="AP343" s="710">
        <f t="shared" si="33"/>
        <v>153.6474688187821</v>
      </c>
      <c r="AQ343" s="710">
        <f t="shared" si="33"/>
        <v>153.6474688187821</v>
      </c>
      <c r="AR343" s="710">
        <f t="shared" si="33"/>
        <v>153.6474688187821</v>
      </c>
      <c r="AS343" s="710">
        <f t="shared" si="33"/>
        <v>153.6474688187821</v>
      </c>
      <c r="AT343" s="710">
        <f t="shared" si="33"/>
        <v>153.6474688187821</v>
      </c>
      <c r="AU343" s="710">
        <f t="shared" si="33"/>
        <v>153.6474688187821</v>
      </c>
      <c r="AV343" s="710">
        <f t="shared" si="33"/>
        <v>153.6474688187821</v>
      </c>
      <c r="AW343" s="710">
        <f t="shared" si="33"/>
        <v>153.6474688187821</v>
      </c>
    </row>
    <row r="344" spans="1:49" s="683" customFormat="1" x14ac:dyDescent="0.2">
      <c r="A344" s="702" t="s">
        <v>499</v>
      </c>
      <c r="B344" s="710">
        <f t="shared" ref="B344:AW344" si="34">$B$340 - (3*$B$342)</f>
        <v>-24.544020542920052</v>
      </c>
      <c r="C344" s="710">
        <f t="shared" si="34"/>
        <v>-24.544020542920052</v>
      </c>
      <c r="D344" s="710">
        <f t="shared" si="34"/>
        <v>-24.544020542920052</v>
      </c>
      <c r="E344" s="710">
        <f t="shared" si="34"/>
        <v>-24.544020542920052</v>
      </c>
      <c r="F344" s="710">
        <f t="shared" si="34"/>
        <v>-24.544020542920052</v>
      </c>
      <c r="G344" s="710">
        <f t="shared" si="34"/>
        <v>-24.544020542920052</v>
      </c>
      <c r="H344" s="710">
        <f t="shared" si="34"/>
        <v>-24.544020542920052</v>
      </c>
      <c r="I344" s="710">
        <f t="shared" si="34"/>
        <v>-24.544020542920052</v>
      </c>
      <c r="J344" s="710">
        <f t="shared" si="34"/>
        <v>-24.544020542920052</v>
      </c>
      <c r="K344" s="710">
        <f t="shared" si="34"/>
        <v>-24.544020542920052</v>
      </c>
      <c r="L344" s="710">
        <f t="shared" si="34"/>
        <v>-24.544020542920052</v>
      </c>
      <c r="M344" s="710">
        <f t="shared" si="34"/>
        <v>-24.544020542920052</v>
      </c>
      <c r="N344" s="710">
        <f t="shared" si="34"/>
        <v>-24.544020542920052</v>
      </c>
      <c r="O344" s="710">
        <f t="shared" si="34"/>
        <v>-24.544020542920052</v>
      </c>
      <c r="P344" s="710">
        <f t="shared" si="34"/>
        <v>-24.544020542920052</v>
      </c>
      <c r="Q344" s="710">
        <f t="shared" si="34"/>
        <v>-24.544020542920052</v>
      </c>
      <c r="R344" s="710">
        <f t="shared" si="34"/>
        <v>-24.544020542920052</v>
      </c>
      <c r="S344" s="710">
        <f t="shared" si="34"/>
        <v>-24.544020542920052</v>
      </c>
      <c r="T344" s="710">
        <f t="shared" si="34"/>
        <v>-24.544020542920052</v>
      </c>
      <c r="U344" s="710">
        <f t="shared" si="34"/>
        <v>-24.544020542920052</v>
      </c>
      <c r="V344" s="710">
        <f t="shared" si="34"/>
        <v>-24.544020542920052</v>
      </c>
      <c r="W344" s="710">
        <f t="shared" si="34"/>
        <v>-24.544020542920052</v>
      </c>
      <c r="X344" s="710">
        <f t="shared" si="34"/>
        <v>-24.544020542920052</v>
      </c>
      <c r="Y344" s="710">
        <f t="shared" si="34"/>
        <v>-24.544020542920052</v>
      </c>
      <c r="Z344" s="710">
        <f t="shared" si="34"/>
        <v>-24.544020542920052</v>
      </c>
      <c r="AA344" s="710">
        <f t="shared" si="34"/>
        <v>-24.544020542920052</v>
      </c>
      <c r="AB344" s="710">
        <f t="shared" si="34"/>
        <v>-24.544020542920052</v>
      </c>
      <c r="AC344" s="710">
        <f t="shared" si="34"/>
        <v>-24.544020542920052</v>
      </c>
      <c r="AD344" s="710">
        <f t="shared" si="34"/>
        <v>-24.544020542920052</v>
      </c>
      <c r="AE344" s="710">
        <f t="shared" si="34"/>
        <v>-24.544020542920052</v>
      </c>
      <c r="AF344" s="710">
        <f t="shared" si="34"/>
        <v>-24.544020542920052</v>
      </c>
      <c r="AG344" s="710">
        <f t="shared" si="34"/>
        <v>-24.544020542920052</v>
      </c>
      <c r="AH344" s="710">
        <f t="shared" si="34"/>
        <v>-24.544020542920052</v>
      </c>
      <c r="AI344" s="710">
        <f t="shared" si="34"/>
        <v>-24.544020542920052</v>
      </c>
      <c r="AJ344" s="710">
        <f t="shared" si="34"/>
        <v>-24.544020542920052</v>
      </c>
      <c r="AK344" s="710">
        <f t="shared" si="34"/>
        <v>-24.544020542920052</v>
      </c>
      <c r="AL344" s="710">
        <f t="shared" si="34"/>
        <v>-24.544020542920052</v>
      </c>
      <c r="AM344" s="710">
        <f t="shared" si="34"/>
        <v>-24.544020542920052</v>
      </c>
      <c r="AN344" s="710">
        <f t="shared" si="34"/>
        <v>-24.544020542920052</v>
      </c>
      <c r="AO344" s="710">
        <f t="shared" si="34"/>
        <v>-24.544020542920052</v>
      </c>
      <c r="AP344" s="710">
        <f t="shared" si="34"/>
        <v>-24.544020542920052</v>
      </c>
      <c r="AQ344" s="710">
        <f t="shared" si="34"/>
        <v>-24.544020542920052</v>
      </c>
      <c r="AR344" s="710">
        <f t="shared" si="34"/>
        <v>-24.544020542920052</v>
      </c>
      <c r="AS344" s="710">
        <f t="shared" si="34"/>
        <v>-24.544020542920052</v>
      </c>
      <c r="AT344" s="710">
        <f t="shared" si="34"/>
        <v>-24.544020542920052</v>
      </c>
      <c r="AU344" s="710">
        <f t="shared" si="34"/>
        <v>-24.544020542920052</v>
      </c>
      <c r="AV344" s="710">
        <f t="shared" si="34"/>
        <v>-24.544020542920052</v>
      </c>
      <c r="AW344" s="710">
        <f t="shared" si="34"/>
        <v>-24.544020542920052</v>
      </c>
    </row>
    <row r="345" spans="1:49" s="683" customFormat="1" ht="25.5" x14ac:dyDescent="0.2">
      <c r="A345" s="693" t="s">
        <v>513</v>
      </c>
      <c r="B345" s="705"/>
      <c r="C345" s="705"/>
      <c r="D345" s="705"/>
      <c r="E345" s="705"/>
      <c r="F345" s="705"/>
      <c r="G345" s="705"/>
      <c r="H345" s="705"/>
      <c r="I345" s="705"/>
      <c r="J345" s="705"/>
      <c r="K345" s="705"/>
      <c r="L345" s="705"/>
      <c r="M345" s="705"/>
      <c r="N345" s="705"/>
      <c r="O345" s="705"/>
      <c r="P345" s="705"/>
      <c r="Q345" s="705"/>
      <c r="R345" s="705"/>
      <c r="S345" s="705"/>
      <c r="T345" s="705"/>
      <c r="U345" s="705"/>
      <c r="V345" s="705"/>
      <c r="W345" s="705"/>
      <c r="X345" s="705"/>
      <c r="Y345" s="705"/>
      <c r="Z345" s="705"/>
      <c r="AA345" s="705"/>
      <c r="AB345" s="705"/>
      <c r="AC345" s="705"/>
      <c r="AD345" s="705"/>
      <c r="AE345" s="705"/>
      <c r="AF345" s="705"/>
      <c r="AG345" s="705"/>
      <c r="AH345" s="705"/>
      <c r="AI345" s="705"/>
      <c r="AJ345" s="705"/>
      <c r="AK345" s="705"/>
      <c r="AL345" s="705"/>
      <c r="AM345" s="705"/>
      <c r="AN345" s="705"/>
      <c r="AO345" s="705"/>
      <c r="AP345" s="705"/>
      <c r="AQ345" s="705"/>
      <c r="AR345" s="705"/>
      <c r="AS345" s="705"/>
      <c r="AT345" s="705"/>
      <c r="AU345" s="705"/>
      <c r="AV345" s="705"/>
      <c r="AW345" s="705"/>
    </row>
    <row r="346" spans="1:49" s="683" customFormat="1" ht="15" x14ac:dyDescent="0.2">
      <c r="A346" s="708" t="s">
        <v>399</v>
      </c>
      <c r="B346" s="700" t="s">
        <v>515</v>
      </c>
      <c r="C346" s="692"/>
      <c r="D346" s="705"/>
      <c r="E346" s="705"/>
      <c r="F346" s="705"/>
      <c r="G346" s="705"/>
      <c r="H346" s="705"/>
      <c r="I346" s="705"/>
      <c r="J346" s="705"/>
      <c r="K346" s="705"/>
      <c r="L346" s="705"/>
      <c r="M346" s="705"/>
      <c r="N346" s="705"/>
      <c r="O346" s="705"/>
      <c r="P346" s="705"/>
      <c r="Q346" s="705"/>
      <c r="R346" s="705"/>
      <c r="S346" s="705"/>
      <c r="T346" s="705"/>
      <c r="U346" s="705"/>
      <c r="V346" s="705"/>
      <c r="W346" s="705"/>
      <c r="X346" s="705"/>
      <c r="Y346" s="705"/>
      <c r="Z346" s="705"/>
      <c r="AA346" s="705"/>
      <c r="AB346" s="705"/>
      <c r="AC346" s="705"/>
      <c r="AD346" s="705"/>
      <c r="AE346" s="705"/>
      <c r="AF346" s="705"/>
      <c r="AG346" s="705"/>
      <c r="AH346" s="705"/>
      <c r="AI346" s="705"/>
      <c r="AJ346" s="705"/>
      <c r="AK346" s="705"/>
      <c r="AL346" s="705"/>
      <c r="AM346" s="705"/>
      <c r="AN346" s="705"/>
      <c r="AO346" s="705"/>
      <c r="AP346" s="705"/>
      <c r="AQ346" s="705"/>
      <c r="AR346" s="705"/>
      <c r="AS346" s="705"/>
      <c r="AT346" s="705"/>
      <c r="AU346" s="705"/>
      <c r="AV346" s="705"/>
      <c r="AW346" s="705"/>
    </row>
    <row r="347" spans="1:49" s="683" customFormat="1" x14ac:dyDescent="0.2">
      <c r="A347" s="693" t="s">
        <v>131</v>
      </c>
      <c r="B347" s="705"/>
      <c r="C347" s="705"/>
      <c r="D347" s="705"/>
      <c r="E347" s="705"/>
      <c r="F347" s="705"/>
      <c r="G347" s="705"/>
      <c r="H347" s="705"/>
      <c r="I347" s="705"/>
      <c r="J347" s="705"/>
      <c r="K347" s="705"/>
      <c r="L347" s="705"/>
      <c r="M347" s="705"/>
      <c r="N347" s="705"/>
      <c r="O347" s="705"/>
      <c r="P347" s="705"/>
      <c r="Q347" s="705"/>
      <c r="R347" s="705"/>
      <c r="S347" s="705"/>
      <c r="T347" s="705"/>
      <c r="U347" s="705"/>
      <c r="V347" s="705"/>
      <c r="W347" s="705"/>
      <c r="X347" s="705"/>
      <c r="Y347" s="705"/>
      <c r="Z347" s="705"/>
      <c r="AA347" s="705"/>
      <c r="AB347" s="705"/>
      <c r="AC347" s="705"/>
      <c r="AD347" s="705"/>
      <c r="AE347" s="705"/>
      <c r="AF347" s="705"/>
      <c r="AG347" s="705"/>
      <c r="AH347" s="705"/>
      <c r="AI347" s="705"/>
      <c r="AJ347" s="705"/>
      <c r="AK347" s="705"/>
      <c r="AL347" s="705"/>
      <c r="AM347" s="705"/>
      <c r="AN347" s="705"/>
      <c r="AO347" s="705"/>
      <c r="AP347" s="705"/>
      <c r="AQ347" s="705"/>
      <c r="AR347" s="705"/>
      <c r="AS347" s="705"/>
      <c r="AT347" s="705"/>
      <c r="AU347" s="705"/>
      <c r="AV347" s="705"/>
      <c r="AW347" s="705"/>
    </row>
    <row r="348" spans="1:49" s="683" customFormat="1" x14ac:dyDescent="0.2">
      <c r="A348" s="693" t="s">
        <v>184</v>
      </c>
      <c r="B348" s="705"/>
      <c r="C348" s="705"/>
      <c r="D348" s="705"/>
      <c r="E348" s="705"/>
      <c r="F348" s="705"/>
      <c r="G348" s="705"/>
      <c r="H348" s="705"/>
      <c r="I348" s="705"/>
      <c r="J348" s="705"/>
      <c r="K348" s="705"/>
      <c r="L348" s="705"/>
      <c r="M348" s="705"/>
      <c r="N348" s="705"/>
      <c r="O348" s="705"/>
      <c r="P348" s="705"/>
      <c r="Q348" s="705"/>
      <c r="R348" s="705"/>
      <c r="S348" s="705"/>
      <c r="T348" s="705"/>
      <c r="U348" s="705"/>
      <c r="V348" s="705"/>
      <c r="W348" s="705"/>
      <c r="X348" s="705"/>
      <c r="Y348" s="705"/>
      <c r="Z348" s="705"/>
      <c r="AA348" s="705"/>
      <c r="AB348" s="705"/>
      <c r="AC348" s="705"/>
      <c r="AD348" s="705"/>
      <c r="AE348" s="705"/>
      <c r="AF348" s="705"/>
      <c r="AG348" s="705"/>
      <c r="AH348" s="705"/>
      <c r="AI348" s="705"/>
      <c r="AJ348" s="705"/>
      <c r="AK348" s="705"/>
      <c r="AL348" s="705"/>
      <c r="AM348" s="705"/>
      <c r="AN348" s="705"/>
      <c r="AO348" s="705"/>
      <c r="AP348" s="705"/>
      <c r="AQ348" s="705"/>
      <c r="AR348" s="705"/>
      <c r="AS348" s="705"/>
      <c r="AT348" s="705"/>
      <c r="AU348" s="705"/>
      <c r="AV348" s="705"/>
      <c r="AW348" s="705"/>
    </row>
    <row r="349" spans="1:49" s="683" customFormat="1" x14ac:dyDescent="0.2">
      <c r="A349" s="702" t="s">
        <v>490</v>
      </c>
      <c r="B349" s="705"/>
      <c r="C349" s="710">
        <f>SUM(C330-B330)*-1</f>
        <v>7</v>
      </c>
      <c r="D349" s="710">
        <f>SUM(D330-C330)*-1</f>
        <v>2</v>
      </c>
      <c r="E349" s="710">
        <f t="shared" ref="E349:W349" si="35">SUM(E330-D330)</f>
        <v>6</v>
      </c>
      <c r="F349" s="710">
        <f>SUM(F330-E330)*-1</f>
        <v>3</v>
      </c>
      <c r="G349" s="710">
        <f t="shared" si="35"/>
        <v>0</v>
      </c>
      <c r="H349" s="710">
        <f>SUM(H330-G330)*-1</f>
        <v>6</v>
      </c>
      <c r="I349" s="710">
        <f>SUM(I330-H330)*-1</f>
        <v>1</v>
      </c>
      <c r="J349" s="710">
        <f t="shared" si="35"/>
        <v>4</v>
      </c>
      <c r="K349" s="710">
        <f>SUM(K330-J330)*-1</f>
        <v>4</v>
      </c>
      <c r="L349" s="710">
        <f t="shared" si="35"/>
        <v>3</v>
      </c>
      <c r="M349" s="710">
        <f t="shared" si="35"/>
        <v>1</v>
      </c>
      <c r="N349" s="710">
        <f t="shared" si="35"/>
        <v>1</v>
      </c>
      <c r="O349" s="710">
        <f>SUM(O330-N330)*-1</f>
        <v>4</v>
      </c>
      <c r="P349" s="710">
        <f t="shared" si="35"/>
        <v>16</v>
      </c>
      <c r="Q349" s="710">
        <f>SUM(Q330-P330)*-1</f>
        <v>14</v>
      </c>
      <c r="R349" s="710">
        <f t="shared" si="35"/>
        <v>2</v>
      </c>
      <c r="S349" s="710">
        <f>SUM(S330-R330)*-1</f>
        <v>3</v>
      </c>
      <c r="T349" s="710">
        <f t="shared" si="35"/>
        <v>4</v>
      </c>
      <c r="U349" s="710">
        <f>SUM(U330-T330)*-1</f>
        <v>4</v>
      </c>
      <c r="V349" s="710">
        <f>SUM(V330-U330)*-1</f>
        <v>1</v>
      </c>
      <c r="W349" s="710">
        <f t="shared" si="35"/>
        <v>7</v>
      </c>
      <c r="X349" s="710">
        <f>SUM(X330-W330)*-1</f>
        <v>3</v>
      </c>
      <c r="Y349" s="710">
        <f>SUM(Y330-X330)*-1</f>
        <v>6</v>
      </c>
      <c r="Z349" s="710">
        <f>SUM(Z330-Y330)</f>
        <v>5</v>
      </c>
      <c r="AA349" s="710">
        <f>SUM(AA330-Z330)*-1</f>
        <v>3</v>
      </c>
      <c r="AB349" s="710">
        <f>SUM(AB330-AA330)</f>
        <v>4</v>
      </c>
      <c r="AC349" s="710">
        <f>SUM(AC330-AB330)*-1</f>
        <v>2</v>
      </c>
      <c r="AD349" s="710">
        <f>SUM(AD330-AC330)*-1</f>
        <v>0</v>
      </c>
      <c r="AE349" s="692" t="s">
        <v>385</v>
      </c>
      <c r="AF349" s="692" t="s">
        <v>385</v>
      </c>
      <c r="AG349" s="692" t="s">
        <v>385</v>
      </c>
      <c r="AH349" s="692" t="s">
        <v>385</v>
      </c>
      <c r="AI349" s="692" t="s">
        <v>385</v>
      </c>
      <c r="AJ349" s="692" t="s">
        <v>385</v>
      </c>
      <c r="AK349" s="692" t="s">
        <v>385</v>
      </c>
      <c r="AL349" s="692" t="s">
        <v>385</v>
      </c>
      <c r="AM349" s="692" t="s">
        <v>385</v>
      </c>
      <c r="AN349" s="692" t="s">
        <v>385</v>
      </c>
      <c r="AO349" s="692" t="s">
        <v>385</v>
      </c>
      <c r="AP349" s="692" t="s">
        <v>385</v>
      </c>
      <c r="AQ349" s="692" t="s">
        <v>385</v>
      </c>
      <c r="AR349" s="692" t="s">
        <v>385</v>
      </c>
      <c r="AS349" s="692" t="s">
        <v>385</v>
      </c>
      <c r="AT349" s="692" t="s">
        <v>385</v>
      </c>
      <c r="AU349" s="692" t="s">
        <v>385</v>
      </c>
      <c r="AV349" s="692" t="s">
        <v>385</v>
      </c>
      <c r="AW349" s="692" t="s">
        <v>385</v>
      </c>
    </row>
    <row r="350" spans="1:49" s="683" customFormat="1" ht="53.25" x14ac:dyDescent="0.2">
      <c r="A350" s="703" t="s">
        <v>521</v>
      </c>
      <c r="B350" s="705"/>
      <c r="C350" s="705"/>
      <c r="D350" s="705"/>
      <c r="E350" s="705"/>
      <c r="F350" s="705"/>
      <c r="G350" s="705"/>
      <c r="H350" s="705"/>
      <c r="I350" s="705"/>
      <c r="J350" s="705"/>
      <c r="K350" s="705"/>
      <c r="L350" s="705"/>
      <c r="M350" s="705"/>
      <c r="N350" s="705"/>
      <c r="O350" s="705"/>
      <c r="P350" s="705"/>
      <c r="Q350" s="705"/>
      <c r="R350" s="705"/>
      <c r="S350" s="705"/>
      <c r="T350" s="705"/>
      <c r="U350" s="705"/>
      <c r="V350" s="705"/>
      <c r="W350" s="705"/>
      <c r="X350" s="705"/>
      <c r="Y350" s="705"/>
      <c r="Z350" s="705"/>
      <c r="AA350" s="705"/>
      <c r="AB350" s="705"/>
      <c r="AC350" s="705"/>
      <c r="AD350" s="705"/>
      <c r="AE350" s="705"/>
      <c r="AF350" s="705"/>
      <c r="AG350" s="705"/>
      <c r="AH350" s="705"/>
      <c r="AI350" s="705"/>
      <c r="AJ350" s="705"/>
      <c r="AK350" s="705"/>
      <c r="AL350" s="705"/>
      <c r="AM350" s="705"/>
      <c r="AN350" s="705"/>
      <c r="AO350" s="705"/>
      <c r="AP350" s="705"/>
      <c r="AQ350" s="705"/>
      <c r="AR350" s="705"/>
      <c r="AS350" s="705"/>
      <c r="AT350" s="705"/>
      <c r="AU350" s="705"/>
      <c r="AV350" s="705"/>
      <c r="AW350" s="705"/>
    </row>
    <row r="351" spans="1:49" s="683" customFormat="1" x14ac:dyDescent="0.2">
      <c r="A351" s="674" t="s">
        <v>492</v>
      </c>
      <c r="B351" s="710">
        <f t="shared" ref="B351:AW351" si="36">AVERAGE($B$330:$AW$330)</f>
        <v>6.4482758620689653</v>
      </c>
      <c r="C351" s="710">
        <f t="shared" si="36"/>
        <v>6.4482758620689653</v>
      </c>
      <c r="D351" s="710">
        <f t="shared" si="36"/>
        <v>6.4482758620689653</v>
      </c>
      <c r="E351" s="710">
        <f t="shared" si="36"/>
        <v>6.4482758620689653</v>
      </c>
      <c r="F351" s="710">
        <f t="shared" si="36"/>
        <v>6.4482758620689653</v>
      </c>
      <c r="G351" s="710">
        <f t="shared" si="36"/>
        <v>6.4482758620689653</v>
      </c>
      <c r="H351" s="710">
        <f t="shared" si="36"/>
        <v>6.4482758620689653</v>
      </c>
      <c r="I351" s="710">
        <f t="shared" si="36"/>
        <v>6.4482758620689653</v>
      </c>
      <c r="J351" s="710">
        <f t="shared" si="36"/>
        <v>6.4482758620689653</v>
      </c>
      <c r="K351" s="710">
        <f t="shared" si="36"/>
        <v>6.4482758620689653</v>
      </c>
      <c r="L351" s="710">
        <f t="shared" si="36"/>
        <v>6.4482758620689653</v>
      </c>
      <c r="M351" s="710">
        <f t="shared" si="36"/>
        <v>6.4482758620689653</v>
      </c>
      <c r="N351" s="710">
        <f t="shared" si="36"/>
        <v>6.4482758620689653</v>
      </c>
      <c r="O351" s="710">
        <f t="shared" si="36"/>
        <v>6.4482758620689653</v>
      </c>
      <c r="P351" s="710">
        <f t="shared" si="36"/>
        <v>6.4482758620689653</v>
      </c>
      <c r="Q351" s="710">
        <f t="shared" si="36"/>
        <v>6.4482758620689653</v>
      </c>
      <c r="R351" s="710">
        <f t="shared" si="36"/>
        <v>6.4482758620689653</v>
      </c>
      <c r="S351" s="710">
        <f t="shared" si="36"/>
        <v>6.4482758620689653</v>
      </c>
      <c r="T351" s="710">
        <f t="shared" si="36"/>
        <v>6.4482758620689653</v>
      </c>
      <c r="U351" s="710">
        <f t="shared" si="36"/>
        <v>6.4482758620689653</v>
      </c>
      <c r="V351" s="710">
        <f t="shared" si="36"/>
        <v>6.4482758620689653</v>
      </c>
      <c r="W351" s="710">
        <f t="shared" si="36"/>
        <v>6.4482758620689653</v>
      </c>
      <c r="X351" s="710">
        <f t="shared" si="36"/>
        <v>6.4482758620689653</v>
      </c>
      <c r="Y351" s="710">
        <f t="shared" si="36"/>
        <v>6.4482758620689653</v>
      </c>
      <c r="Z351" s="710">
        <f t="shared" si="36"/>
        <v>6.4482758620689653</v>
      </c>
      <c r="AA351" s="710">
        <f t="shared" si="36"/>
        <v>6.4482758620689653</v>
      </c>
      <c r="AB351" s="710">
        <f t="shared" si="36"/>
        <v>6.4482758620689653</v>
      </c>
      <c r="AC351" s="710">
        <f t="shared" si="36"/>
        <v>6.4482758620689653</v>
      </c>
      <c r="AD351" s="710">
        <f t="shared" si="36"/>
        <v>6.4482758620689653</v>
      </c>
      <c r="AE351" s="710">
        <f t="shared" si="36"/>
        <v>6.4482758620689653</v>
      </c>
      <c r="AF351" s="710">
        <f t="shared" si="36"/>
        <v>6.4482758620689653</v>
      </c>
      <c r="AG351" s="710">
        <f t="shared" si="36"/>
        <v>6.4482758620689653</v>
      </c>
      <c r="AH351" s="710">
        <f t="shared" si="36"/>
        <v>6.4482758620689653</v>
      </c>
      <c r="AI351" s="710">
        <f t="shared" si="36"/>
        <v>6.4482758620689653</v>
      </c>
      <c r="AJ351" s="710">
        <f t="shared" si="36"/>
        <v>6.4482758620689653</v>
      </c>
      <c r="AK351" s="710">
        <f t="shared" si="36"/>
        <v>6.4482758620689653</v>
      </c>
      <c r="AL351" s="710">
        <f t="shared" si="36"/>
        <v>6.4482758620689653</v>
      </c>
      <c r="AM351" s="710">
        <f t="shared" si="36"/>
        <v>6.4482758620689653</v>
      </c>
      <c r="AN351" s="710">
        <f t="shared" si="36"/>
        <v>6.4482758620689653</v>
      </c>
      <c r="AO351" s="710">
        <f t="shared" si="36"/>
        <v>6.4482758620689653</v>
      </c>
      <c r="AP351" s="710">
        <f t="shared" si="36"/>
        <v>6.4482758620689653</v>
      </c>
      <c r="AQ351" s="710">
        <f t="shared" si="36"/>
        <v>6.4482758620689653</v>
      </c>
      <c r="AR351" s="710">
        <f t="shared" si="36"/>
        <v>6.4482758620689653</v>
      </c>
      <c r="AS351" s="710">
        <f t="shared" si="36"/>
        <v>6.4482758620689653</v>
      </c>
      <c r="AT351" s="710">
        <f t="shared" si="36"/>
        <v>6.4482758620689653</v>
      </c>
      <c r="AU351" s="710">
        <f t="shared" si="36"/>
        <v>6.4482758620689653</v>
      </c>
      <c r="AV351" s="710">
        <f t="shared" si="36"/>
        <v>6.4482758620689653</v>
      </c>
      <c r="AW351" s="710">
        <f t="shared" si="36"/>
        <v>6.4482758620689653</v>
      </c>
    </row>
    <row r="352" spans="1:49" s="683" customFormat="1" x14ac:dyDescent="0.2">
      <c r="A352" s="702" t="s">
        <v>491</v>
      </c>
      <c r="B352" s="710">
        <f>SUM(C349:AW349)/COUNT(C349:AW349)</f>
        <v>4.1428571428571432</v>
      </c>
      <c r="C352" s="705"/>
      <c r="D352" s="705"/>
      <c r="E352" s="705"/>
      <c r="F352" s="705"/>
      <c r="G352" s="705"/>
      <c r="H352" s="705"/>
      <c r="I352" s="705"/>
      <c r="J352" s="705"/>
      <c r="K352" s="705"/>
      <c r="L352" s="705"/>
      <c r="M352" s="705"/>
      <c r="N352" s="705"/>
      <c r="O352" s="705"/>
      <c r="P352" s="705"/>
      <c r="Q352" s="705"/>
      <c r="R352" s="705"/>
      <c r="S352" s="705"/>
      <c r="T352" s="705"/>
      <c r="U352" s="705"/>
      <c r="V352" s="705"/>
      <c r="W352" s="705"/>
      <c r="X352" s="705"/>
      <c r="Y352" s="705"/>
      <c r="Z352" s="705"/>
      <c r="AA352" s="705"/>
      <c r="AB352" s="705"/>
      <c r="AC352" s="705"/>
      <c r="AD352" s="705"/>
      <c r="AE352" s="705"/>
      <c r="AF352" s="705"/>
      <c r="AG352" s="705"/>
      <c r="AH352" s="705"/>
      <c r="AI352" s="705"/>
      <c r="AJ352" s="705"/>
      <c r="AK352" s="705"/>
      <c r="AL352" s="705"/>
      <c r="AM352" s="705"/>
      <c r="AN352" s="705"/>
      <c r="AO352" s="705"/>
      <c r="AP352" s="705"/>
      <c r="AQ352" s="705"/>
      <c r="AR352" s="705"/>
      <c r="AS352" s="705"/>
      <c r="AT352" s="705"/>
      <c r="AU352" s="705"/>
      <c r="AV352" s="705"/>
      <c r="AW352" s="705"/>
    </row>
    <row r="353" spans="1:49" s="683" customFormat="1" ht="25.5" x14ac:dyDescent="0.2">
      <c r="A353" s="702" t="s">
        <v>494</v>
      </c>
      <c r="B353" s="710">
        <f>SUM(B352)/1.128</f>
        <v>3.6727456940222907</v>
      </c>
      <c r="C353" s="705"/>
      <c r="D353" s="705"/>
      <c r="E353" s="705"/>
      <c r="F353" s="705"/>
      <c r="G353" s="705"/>
      <c r="H353" s="705"/>
      <c r="I353" s="705"/>
      <c r="J353" s="705"/>
      <c r="K353" s="705"/>
      <c r="L353" s="705"/>
      <c r="M353" s="705"/>
      <c r="N353" s="705"/>
      <c r="O353" s="705"/>
      <c r="P353" s="705"/>
      <c r="Q353" s="705"/>
      <c r="R353" s="705"/>
      <c r="S353" s="705"/>
      <c r="T353" s="705"/>
      <c r="U353" s="705"/>
      <c r="V353" s="705"/>
      <c r="W353" s="705"/>
      <c r="X353" s="705"/>
      <c r="Y353" s="705"/>
      <c r="Z353" s="705"/>
      <c r="AA353" s="705"/>
      <c r="AB353" s="705"/>
      <c r="AC353" s="705"/>
      <c r="AD353" s="705"/>
      <c r="AE353" s="705"/>
      <c r="AF353" s="705"/>
      <c r="AG353" s="705"/>
      <c r="AH353" s="705"/>
      <c r="AI353" s="705"/>
      <c r="AJ353" s="705"/>
      <c r="AK353" s="705"/>
      <c r="AL353" s="705"/>
      <c r="AM353" s="705"/>
      <c r="AN353" s="705"/>
      <c r="AO353" s="705"/>
      <c r="AP353" s="705"/>
      <c r="AQ353" s="705"/>
      <c r="AR353" s="705"/>
      <c r="AS353" s="705"/>
      <c r="AT353" s="705"/>
      <c r="AU353" s="705"/>
      <c r="AV353" s="705"/>
      <c r="AW353" s="705"/>
    </row>
    <row r="354" spans="1:49" s="683" customFormat="1" x14ac:dyDescent="0.2">
      <c r="A354" s="702" t="s">
        <v>497</v>
      </c>
      <c r="B354" s="710">
        <f t="shared" ref="B354:AW354" si="37">$B$351+ (3*$B$353)</f>
        <v>17.466512944135836</v>
      </c>
      <c r="C354" s="710">
        <f t="shared" si="37"/>
        <v>17.466512944135836</v>
      </c>
      <c r="D354" s="710">
        <f t="shared" si="37"/>
        <v>17.466512944135836</v>
      </c>
      <c r="E354" s="710">
        <f t="shared" si="37"/>
        <v>17.466512944135836</v>
      </c>
      <c r="F354" s="710">
        <f t="shared" si="37"/>
        <v>17.466512944135836</v>
      </c>
      <c r="G354" s="710">
        <f t="shared" si="37"/>
        <v>17.466512944135836</v>
      </c>
      <c r="H354" s="710">
        <f t="shared" si="37"/>
        <v>17.466512944135836</v>
      </c>
      <c r="I354" s="710">
        <f t="shared" si="37"/>
        <v>17.466512944135836</v>
      </c>
      <c r="J354" s="710">
        <f t="shared" si="37"/>
        <v>17.466512944135836</v>
      </c>
      <c r="K354" s="710">
        <f t="shared" si="37"/>
        <v>17.466512944135836</v>
      </c>
      <c r="L354" s="710">
        <f t="shared" si="37"/>
        <v>17.466512944135836</v>
      </c>
      <c r="M354" s="710">
        <f t="shared" si="37"/>
        <v>17.466512944135836</v>
      </c>
      <c r="N354" s="710">
        <f t="shared" si="37"/>
        <v>17.466512944135836</v>
      </c>
      <c r="O354" s="710">
        <f t="shared" si="37"/>
        <v>17.466512944135836</v>
      </c>
      <c r="P354" s="710">
        <f t="shared" si="37"/>
        <v>17.466512944135836</v>
      </c>
      <c r="Q354" s="710">
        <f t="shared" si="37"/>
        <v>17.466512944135836</v>
      </c>
      <c r="R354" s="710">
        <f t="shared" si="37"/>
        <v>17.466512944135836</v>
      </c>
      <c r="S354" s="710">
        <f t="shared" si="37"/>
        <v>17.466512944135836</v>
      </c>
      <c r="T354" s="710">
        <f t="shared" si="37"/>
        <v>17.466512944135836</v>
      </c>
      <c r="U354" s="710">
        <f t="shared" si="37"/>
        <v>17.466512944135836</v>
      </c>
      <c r="V354" s="710">
        <f t="shared" si="37"/>
        <v>17.466512944135836</v>
      </c>
      <c r="W354" s="710">
        <f t="shared" si="37"/>
        <v>17.466512944135836</v>
      </c>
      <c r="X354" s="710">
        <f t="shared" si="37"/>
        <v>17.466512944135836</v>
      </c>
      <c r="Y354" s="710">
        <f t="shared" si="37"/>
        <v>17.466512944135836</v>
      </c>
      <c r="Z354" s="710">
        <f t="shared" si="37"/>
        <v>17.466512944135836</v>
      </c>
      <c r="AA354" s="710">
        <f t="shared" si="37"/>
        <v>17.466512944135836</v>
      </c>
      <c r="AB354" s="710">
        <f t="shared" si="37"/>
        <v>17.466512944135836</v>
      </c>
      <c r="AC354" s="710">
        <f t="shared" si="37"/>
        <v>17.466512944135836</v>
      </c>
      <c r="AD354" s="710">
        <f t="shared" si="37"/>
        <v>17.466512944135836</v>
      </c>
      <c r="AE354" s="710">
        <f t="shared" si="37"/>
        <v>17.466512944135836</v>
      </c>
      <c r="AF354" s="710">
        <f t="shared" si="37"/>
        <v>17.466512944135836</v>
      </c>
      <c r="AG354" s="710">
        <f t="shared" si="37"/>
        <v>17.466512944135836</v>
      </c>
      <c r="AH354" s="710">
        <f t="shared" si="37"/>
        <v>17.466512944135836</v>
      </c>
      <c r="AI354" s="710">
        <f t="shared" si="37"/>
        <v>17.466512944135836</v>
      </c>
      <c r="AJ354" s="710">
        <f t="shared" si="37"/>
        <v>17.466512944135836</v>
      </c>
      <c r="AK354" s="710">
        <f t="shared" si="37"/>
        <v>17.466512944135836</v>
      </c>
      <c r="AL354" s="710">
        <f t="shared" si="37"/>
        <v>17.466512944135836</v>
      </c>
      <c r="AM354" s="710">
        <f t="shared" si="37"/>
        <v>17.466512944135836</v>
      </c>
      <c r="AN354" s="710">
        <f t="shared" si="37"/>
        <v>17.466512944135836</v>
      </c>
      <c r="AO354" s="710">
        <f t="shared" si="37"/>
        <v>17.466512944135836</v>
      </c>
      <c r="AP354" s="710">
        <f t="shared" si="37"/>
        <v>17.466512944135836</v>
      </c>
      <c r="AQ354" s="710">
        <f t="shared" si="37"/>
        <v>17.466512944135836</v>
      </c>
      <c r="AR354" s="710">
        <f t="shared" si="37"/>
        <v>17.466512944135836</v>
      </c>
      <c r="AS354" s="710">
        <f t="shared" si="37"/>
        <v>17.466512944135836</v>
      </c>
      <c r="AT354" s="710">
        <f t="shared" si="37"/>
        <v>17.466512944135836</v>
      </c>
      <c r="AU354" s="710">
        <f t="shared" si="37"/>
        <v>17.466512944135836</v>
      </c>
      <c r="AV354" s="710">
        <f t="shared" si="37"/>
        <v>17.466512944135836</v>
      </c>
      <c r="AW354" s="710">
        <f t="shared" si="37"/>
        <v>17.466512944135836</v>
      </c>
    </row>
    <row r="355" spans="1:49" s="683" customFormat="1" x14ac:dyDescent="0.2">
      <c r="A355" s="702" t="s">
        <v>499</v>
      </c>
      <c r="B355" s="710">
        <f t="shared" ref="B355:AW355" si="38">$B$351- (3*$B$353)</f>
        <v>-4.5699612199979063</v>
      </c>
      <c r="C355" s="710">
        <f t="shared" si="38"/>
        <v>-4.5699612199979063</v>
      </c>
      <c r="D355" s="710">
        <f t="shared" si="38"/>
        <v>-4.5699612199979063</v>
      </c>
      <c r="E355" s="710">
        <f t="shared" si="38"/>
        <v>-4.5699612199979063</v>
      </c>
      <c r="F355" s="710">
        <f t="shared" si="38"/>
        <v>-4.5699612199979063</v>
      </c>
      <c r="G355" s="710">
        <f t="shared" si="38"/>
        <v>-4.5699612199979063</v>
      </c>
      <c r="H355" s="710">
        <f t="shared" si="38"/>
        <v>-4.5699612199979063</v>
      </c>
      <c r="I355" s="710">
        <f t="shared" si="38"/>
        <v>-4.5699612199979063</v>
      </c>
      <c r="J355" s="710">
        <f t="shared" si="38"/>
        <v>-4.5699612199979063</v>
      </c>
      <c r="K355" s="710">
        <f t="shared" si="38"/>
        <v>-4.5699612199979063</v>
      </c>
      <c r="L355" s="710">
        <f t="shared" si="38"/>
        <v>-4.5699612199979063</v>
      </c>
      <c r="M355" s="710">
        <f t="shared" si="38"/>
        <v>-4.5699612199979063</v>
      </c>
      <c r="N355" s="710">
        <f t="shared" si="38"/>
        <v>-4.5699612199979063</v>
      </c>
      <c r="O355" s="710">
        <f t="shared" si="38"/>
        <v>-4.5699612199979063</v>
      </c>
      <c r="P355" s="710">
        <f t="shared" si="38"/>
        <v>-4.5699612199979063</v>
      </c>
      <c r="Q355" s="710">
        <f t="shared" si="38"/>
        <v>-4.5699612199979063</v>
      </c>
      <c r="R355" s="710">
        <f t="shared" si="38"/>
        <v>-4.5699612199979063</v>
      </c>
      <c r="S355" s="710">
        <f t="shared" si="38"/>
        <v>-4.5699612199979063</v>
      </c>
      <c r="T355" s="710">
        <f t="shared" si="38"/>
        <v>-4.5699612199979063</v>
      </c>
      <c r="U355" s="710">
        <f t="shared" si="38"/>
        <v>-4.5699612199979063</v>
      </c>
      <c r="V355" s="710">
        <f t="shared" si="38"/>
        <v>-4.5699612199979063</v>
      </c>
      <c r="W355" s="710">
        <f t="shared" si="38"/>
        <v>-4.5699612199979063</v>
      </c>
      <c r="X355" s="710">
        <f t="shared" si="38"/>
        <v>-4.5699612199979063</v>
      </c>
      <c r="Y355" s="710">
        <f t="shared" si="38"/>
        <v>-4.5699612199979063</v>
      </c>
      <c r="Z355" s="710">
        <f t="shared" si="38"/>
        <v>-4.5699612199979063</v>
      </c>
      <c r="AA355" s="710">
        <f t="shared" si="38"/>
        <v>-4.5699612199979063</v>
      </c>
      <c r="AB355" s="710">
        <f t="shared" si="38"/>
        <v>-4.5699612199979063</v>
      </c>
      <c r="AC355" s="710">
        <f t="shared" si="38"/>
        <v>-4.5699612199979063</v>
      </c>
      <c r="AD355" s="710">
        <f t="shared" si="38"/>
        <v>-4.5699612199979063</v>
      </c>
      <c r="AE355" s="710">
        <f t="shared" si="38"/>
        <v>-4.5699612199979063</v>
      </c>
      <c r="AF355" s="710">
        <f t="shared" si="38"/>
        <v>-4.5699612199979063</v>
      </c>
      <c r="AG355" s="710">
        <f t="shared" si="38"/>
        <v>-4.5699612199979063</v>
      </c>
      <c r="AH355" s="710">
        <f t="shared" si="38"/>
        <v>-4.5699612199979063</v>
      </c>
      <c r="AI355" s="710">
        <f t="shared" si="38"/>
        <v>-4.5699612199979063</v>
      </c>
      <c r="AJ355" s="710">
        <f t="shared" si="38"/>
        <v>-4.5699612199979063</v>
      </c>
      <c r="AK355" s="710">
        <f t="shared" si="38"/>
        <v>-4.5699612199979063</v>
      </c>
      <c r="AL355" s="710">
        <f t="shared" si="38"/>
        <v>-4.5699612199979063</v>
      </c>
      <c r="AM355" s="710">
        <f t="shared" si="38"/>
        <v>-4.5699612199979063</v>
      </c>
      <c r="AN355" s="710">
        <f t="shared" si="38"/>
        <v>-4.5699612199979063</v>
      </c>
      <c r="AO355" s="710">
        <f t="shared" si="38"/>
        <v>-4.5699612199979063</v>
      </c>
      <c r="AP355" s="710">
        <f t="shared" si="38"/>
        <v>-4.5699612199979063</v>
      </c>
      <c r="AQ355" s="710">
        <f t="shared" si="38"/>
        <v>-4.5699612199979063</v>
      </c>
      <c r="AR355" s="710">
        <f t="shared" si="38"/>
        <v>-4.5699612199979063</v>
      </c>
      <c r="AS355" s="710">
        <f t="shared" si="38"/>
        <v>-4.5699612199979063</v>
      </c>
      <c r="AT355" s="710">
        <f t="shared" si="38"/>
        <v>-4.5699612199979063</v>
      </c>
      <c r="AU355" s="710">
        <f t="shared" si="38"/>
        <v>-4.5699612199979063</v>
      </c>
      <c r="AV355" s="710">
        <f t="shared" si="38"/>
        <v>-4.5699612199979063</v>
      </c>
      <c r="AW355" s="710">
        <f t="shared" si="38"/>
        <v>-4.5699612199979063</v>
      </c>
    </row>
    <row r="356" spans="1:49" s="683" customFormat="1" ht="25.5" x14ac:dyDescent="0.2">
      <c r="A356" s="693" t="s">
        <v>513</v>
      </c>
      <c r="B356" s="705"/>
      <c r="C356" s="705"/>
      <c r="D356" s="705"/>
      <c r="E356" s="705"/>
      <c r="F356" s="705"/>
      <c r="G356" s="705"/>
      <c r="H356" s="705"/>
      <c r="I356" s="705"/>
      <c r="J356" s="705"/>
      <c r="K356" s="705"/>
      <c r="L356" s="705"/>
      <c r="M356" s="705"/>
      <c r="N356" s="705"/>
      <c r="O356" s="705"/>
      <c r="P356" s="705"/>
      <c r="Q356" s="705"/>
      <c r="R356" s="705"/>
      <c r="S356" s="705"/>
      <c r="T356" s="705"/>
      <c r="U356" s="705"/>
      <c r="V356" s="705"/>
      <c r="W356" s="705"/>
      <c r="X356" s="705"/>
      <c r="Y356" s="705"/>
      <c r="Z356" s="705"/>
      <c r="AA356" s="705"/>
      <c r="AB356" s="705"/>
      <c r="AC356" s="705"/>
      <c r="AD356" s="705"/>
      <c r="AE356" s="705"/>
      <c r="AF356" s="705"/>
      <c r="AG356" s="705"/>
      <c r="AH356" s="705"/>
      <c r="AI356" s="705"/>
      <c r="AJ356" s="705"/>
      <c r="AK356" s="705"/>
      <c r="AL356" s="705"/>
      <c r="AM356" s="705"/>
      <c r="AN356" s="705"/>
      <c r="AO356" s="705"/>
      <c r="AP356" s="705"/>
      <c r="AQ356" s="705"/>
      <c r="AR356" s="705"/>
      <c r="AS356" s="705"/>
      <c r="AT356" s="705"/>
      <c r="AU356" s="705"/>
      <c r="AV356" s="705"/>
      <c r="AW356" s="705"/>
    </row>
    <row r="357" spans="1:49" s="683" customFormat="1" ht="30" x14ac:dyDescent="0.2">
      <c r="A357" s="699" t="s">
        <v>266</v>
      </c>
      <c r="B357" s="700" t="s">
        <v>515</v>
      </c>
      <c r="C357" s="692"/>
      <c r="D357" s="705"/>
      <c r="E357" s="705"/>
      <c r="F357" s="705"/>
      <c r="G357" s="705"/>
      <c r="H357" s="705"/>
      <c r="I357" s="705"/>
      <c r="J357" s="705"/>
      <c r="K357" s="705"/>
      <c r="L357" s="705"/>
      <c r="M357" s="705"/>
      <c r="N357" s="705"/>
      <c r="O357" s="705"/>
      <c r="P357" s="705"/>
      <c r="Q357" s="705"/>
      <c r="R357" s="705"/>
      <c r="S357" s="705"/>
      <c r="T357" s="705"/>
      <c r="U357" s="705"/>
      <c r="V357" s="705"/>
      <c r="W357" s="705"/>
      <c r="X357" s="705"/>
      <c r="Y357" s="705"/>
      <c r="Z357" s="705"/>
      <c r="AA357" s="705"/>
      <c r="AB357" s="705"/>
      <c r="AC357" s="705"/>
      <c r="AD357" s="705"/>
      <c r="AE357" s="705"/>
      <c r="AF357" s="705"/>
      <c r="AG357" s="705"/>
      <c r="AH357" s="705"/>
      <c r="AI357" s="705"/>
      <c r="AJ357" s="705"/>
      <c r="AK357" s="705"/>
      <c r="AL357" s="705"/>
      <c r="AM357" s="705"/>
      <c r="AN357" s="705"/>
      <c r="AO357" s="705"/>
      <c r="AP357" s="705"/>
      <c r="AQ357" s="705"/>
      <c r="AR357" s="705"/>
      <c r="AS357" s="705"/>
      <c r="AT357" s="705"/>
      <c r="AU357" s="705"/>
      <c r="AV357" s="705"/>
      <c r="AW357" s="705"/>
    </row>
    <row r="358" spans="1:49" s="683" customFormat="1" x14ac:dyDescent="0.2">
      <c r="A358" s="693" t="s">
        <v>131</v>
      </c>
      <c r="B358" s="705"/>
      <c r="C358" s="705"/>
      <c r="D358" s="705"/>
      <c r="E358" s="705"/>
      <c r="F358" s="705"/>
      <c r="G358" s="705"/>
      <c r="H358" s="705"/>
      <c r="I358" s="705"/>
      <c r="J358" s="705"/>
      <c r="K358" s="705"/>
      <c r="L358" s="705"/>
      <c r="M358" s="705"/>
      <c r="N358" s="705"/>
      <c r="O358" s="705"/>
      <c r="P358" s="705"/>
      <c r="Q358" s="705"/>
      <c r="R358" s="705"/>
      <c r="S358" s="705"/>
      <c r="T358" s="705"/>
      <c r="U358" s="705"/>
      <c r="V358" s="705"/>
      <c r="W358" s="705"/>
      <c r="X358" s="705"/>
      <c r="Y358" s="705"/>
      <c r="Z358" s="705"/>
      <c r="AA358" s="705"/>
      <c r="AB358" s="705"/>
      <c r="AC358" s="705"/>
      <c r="AD358" s="705"/>
      <c r="AE358" s="705"/>
      <c r="AF358" s="705"/>
      <c r="AG358" s="705"/>
      <c r="AH358" s="705"/>
      <c r="AI358" s="705"/>
      <c r="AJ358" s="705"/>
      <c r="AK358" s="705"/>
      <c r="AL358" s="705"/>
      <c r="AM358" s="705"/>
      <c r="AN358" s="705"/>
      <c r="AO358" s="705"/>
      <c r="AP358" s="705"/>
      <c r="AQ358" s="705"/>
      <c r="AR358" s="705"/>
      <c r="AS358" s="705"/>
      <c r="AT358" s="705"/>
      <c r="AU358" s="705"/>
      <c r="AV358" s="705"/>
      <c r="AW358" s="705"/>
    </row>
    <row r="359" spans="1:49" s="683" customFormat="1" x14ac:dyDescent="0.2">
      <c r="A359" s="693" t="s">
        <v>184</v>
      </c>
      <c r="B359" s="705"/>
      <c r="C359" s="705"/>
      <c r="D359" s="705"/>
      <c r="E359" s="705"/>
      <c r="F359" s="705"/>
      <c r="G359" s="705"/>
      <c r="H359" s="705"/>
      <c r="I359" s="705"/>
      <c r="J359" s="705"/>
      <c r="K359" s="705"/>
      <c r="L359" s="705"/>
      <c r="M359" s="705"/>
      <c r="N359" s="705"/>
      <c r="O359" s="705"/>
      <c r="P359" s="705"/>
      <c r="Q359" s="705"/>
      <c r="R359" s="705"/>
      <c r="S359" s="705"/>
      <c r="T359" s="705"/>
      <c r="U359" s="705"/>
      <c r="V359" s="705"/>
      <c r="W359" s="705"/>
      <c r="X359" s="705"/>
      <c r="Y359" s="705"/>
      <c r="Z359" s="705"/>
      <c r="AA359" s="705"/>
      <c r="AB359" s="705"/>
      <c r="AC359" s="705"/>
      <c r="AD359" s="705"/>
      <c r="AE359" s="705"/>
      <c r="AF359" s="705"/>
      <c r="AG359" s="705"/>
      <c r="AH359" s="705"/>
      <c r="AI359" s="705"/>
      <c r="AJ359" s="705"/>
      <c r="AK359" s="705"/>
      <c r="AL359" s="705"/>
      <c r="AM359" s="705"/>
      <c r="AN359" s="705"/>
      <c r="AO359" s="705"/>
      <c r="AP359" s="705"/>
      <c r="AQ359" s="705"/>
      <c r="AR359" s="705"/>
      <c r="AS359" s="705"/>
      <c r="AT359" s="705"/>
      <c r="AU359" s="705"/>
      <c r="AV359" s="705"/>
      <c r="AW359" s="705"/>
    </row>
    <row r="360" spans="1:49" s="683" customFormat="1" x14ac:dyDescent="0.2">
      <c r="A360" s="702" t="s">
        <v>490</v>
      </c>
      <c r="B360" s="705"/>
      <c r="C360" s="705">
        <f>SUM(C331-B331)*-1</f>
        <v>10</v>
      </c>
      <c r="D360" s="705">
        <f t="shared" ref="D360:V360" si="39">SUM(D331-C331)</f>
        <v>17</v>
      </c>
      <c r="E360" s="705">
        <f>SUM(E331-D331)*-1</f>
        <v>26</v>
      </c>
      <c r="F360" s="705">
        <f t="shared" si="39"/>
        <v>1</v>
      </c>
      <c r="G360" s="705">
        <f t="shared" si="39"/>
        <v>5</v>
      </c>
      <c r="H360" s="705">
        <f>SUM(H331-G331)*-1</f>
        <v>9</v>
      </c>
      <c r="I360" s="705">
        <f t="shared" si="39"/>
        <v>4</v>
      </c>
      <c r="J360" s="705">
        <f t="shared" si="39"/>
        <v>0</v>
      </c>
      <c r="K360" s="705">
        <f>SUM(K331-J331)*-1</f>
        <v>2</v>
      </c>
      <c r="L360" s="705">
        <f t="shared" si="39"/>
        <v>6</v>
      </c>
      <c r="M360" s="705">
        <f>SUM(M331-L331)*-1</f>
        <v>6</v>
      </c>
      <c r="N360" s="705">
        <f t="shared" si="39"/>
        <v>0</v>
      </c>
      <c r="O360" s="705">
        <f t="shared" si="39"/>
        <v>0</v>
      </c>
      <c r="P360" s="705">
        <f t="shared" si="39"/>
        <v>0</v>
      </c>
      <c r="Q360" s="705">
        <f t="shared" si="39"/>
        <v>2</v>
      </c>
      <c r="R360" s="705">
        <f t="shared" si="39"/>
        <v>0</v>
      </c>
      <c r="S360" s="705">
        <f>SUM(S331-R331)*-1</f>
        <v>4</v>
      </c>
      <c r="T360" s="705">
        <f t="shared" si="39"/>
        <v>1</v>
      </c>
      <c r="U360" s="705">
        <f t="shared" si="39"/>
        <v>7</v>
      </c>
      <c r="V360" s="705">
        <f t="shared" si="39"/>
        <v>0</v>
      </c>
      <c r="W360" s="705">
        <f>SUM(W331-V331)*-1</f>
        <v>3</v>
      </c>
      <c r="X360" s="705">
        <f t="shared" ref="X360" si="40">SUM(X331-W331)</f>
        <v>2</v>
      </c>
      <c r="Y360" s="705">
        <f>SUM(Y331-X331)*-1</f>
        <v>5</v>
      </c>
      <c r="Z360" s="705">
        <f t="shared" ref="Z360" si="41">SUM(Z331-Y331)</f>
        <v>1</v>
      </c>
      <c r="AA360" s="705">
        <f>SUM(AA331-Z331)*-1</f>
        <v>1</v>
      </c>
      <c r="AB360" s="705">
        <f>SUM(AB331-AA331)*-1</f>
        <v>3</v>
      </c>
      <c r="AC360" s="705">
        <f>SUM(AC331-AB331)</f>
        <v>2</v>
      </c>
      <c r="AD360" s="705">
        <f>SUM(AD331-AC331)</f>
        <v>2</v>
      </c>
      <c r="AE360" s="692" t="s">
        <v>385</v>
      </c>
      <c r="AF360" s="692" t="s">
        <v>385</v>
      </c>
      <c r="AG360" s="692" t="s">
        <v>385</v>
      </c>
      <c r="AH360" s="692" t="s">
        <v>385</v>
      </c>
      <c r="AI360" s="692" t="s">
        <v>385</v>
      </c>
      <c r="AJ360" s="692" t="s">
        <v>385</v>
      </c>
      <c r="AK360" s="692" t="s">
        <v>385</v>
      </c>
      <c r="AL360" s="692" t="s">
        <v>385</v>
      </c>
      <c r="AM360" s="692" t="s">
        <v>385</v>
      </c>
      <c r="AN360" s="692" t="s">
        <v>385</v>
      </c>
      <c r="AO360" s="692" t="s">
        <v>385</v>
      </c>
      <c r="AP360" s="692" t="s">
        <v>385</v>
      </c>
      <c r="AQ360" s="692" t="s">
        <v>385</v>
      </c>
      <c r="AR360" s="692" t="s">
        <v>385</v>
      </c>
      <c r="AS360" s="692" t="s">
        <v>385</v>
      </c>
      <c r="AT360" s="692" t="s">
        <v>385</v>
      </c>
      <c r="AU360" s="692" t="s">
        <v>385</v>
      </c>
      <c r="AV360" s="692" t="s">
        <v>385</v>
      </c>
      <c r="AW360" s="692" t="s">
        <v>385</v>
      </c>
    </row>
    <row r="361" spans="1:49" s="683" customFormat="1" ht="53.25" x14ac:dyDescent="0.2">
      <c r="A361" s="703" t="s">
        <v>521</v>
      </c>
      <c r="B361" s="705"/>
      <c r="C361" s="705"/>
      <c r="D361" s="705"/>
      <c r="E361" s="705"/>
      <c r="F361" s="705"/>
      <c r="G361" s="705"/>
      <c r="H361" s="705"/>
      <c r="I361" s="705"/>
      <c r="J361" s="705"/>
      <c r="K361" s="705"/>
      <c r="L361" s="705"/>
      <c r="M361" s="705"/>
      <c r="N361" s="705"/>
      <c r="O361" s="705"/>
      <c r="P361" s="705"/>
      <c r="Q361" s="705"/>
      <c r="R361" s="705"/>
      <c r="S361" s="705"/>
      <c r="T361" s="705"/>
      <c r="U361" s="705"/>
      <c r="V361" s="705"/>
      <c r="W361" s="705"/>
      <c r="X361" s="705"/>
      <c r="Y361" s="705"/>
      <c r="Z361" s="705"/>
      <c r="AA361" s="705"/>
      <c r="AB361" s="705"/>
      <c r="AC361" s="705"/>
      <c r="AD361" s="705"/>
      <c r="AE361" s="705"/>
      <c r="AF361" s="705"/>
      <c r="AG361" s="705"/>
      <c r="AH361" s="705"/>
      <c r="AI361" s="705"/>
      <c r="AJ361" s="705"/>
      <c r="AK361" s="705"/>
      <c r="AL361" s="705"/>
      <c r="AM361" s="705"/>
      <c r="AN361" s="705"/>
      <c r="AO361" s="705"/>
      <c r="AP361" s="705"/>
      <c r="AQ361" s="705"/>
      <c r="AR361" s="705"/>
      <c r="AS361" s="705"/>
      <c r="AT361" s="705"/>
      <c r="AU361" s="705"/>
      <c r="AV361" s="705"/>
      <c r="AW361" s="705"/>
    </row>
    <row r="362" spans="1:49" s="683" customFormat="1" x14ac:dyDescent="0.2">
      <c r="A362" s="709" t="s">
        <v>492</v>
      </c>
      <c r="B362" s="710">
        <f t="shared" ref="B362:AW362" si="42">AVERAGE($B$331:$AW$331)</f>
        <v>6.2413793103448274</v>
      </c>
      <c r="C362" s="710">
        <f t="shared" si="42"/>
        <v>6.2413793103448274</v>
      </c>
      <c r="D362" s="710">
        <f t="shared" si="42"/>
        <v>6.2413793103448274</v>
      </c>
      <c r="E362" s="710">
        <f t="shared" si="42"/>
        <v>6.2413793103448274</v>
      </c>
      <c r="F362" s="710">
        <f t="shared" si="42"/>
        <v>6.2413793103448274</v>
      </c>
      <c r="G362" s="710">
        <f t="shared" si="42"/>
        <v>6.2413793103448274</v>
      </c>
      <c r="H362" s="710">
        <f t="shared" si="42"/>
        <v>6.2413793103448274</v>
      </c>
      <c r="I362" s="710">
        <f t="shared" si="42"/>
        <v>6.2413793103448274</v>
      </c>
      <c r="J362" s="710">
        <f t="shared" si="42"/>
        <v>6.2413793103448274</v>
      </c>
      <c r="K362" s="710">
        <f t="shared" si="42"/>
        <v>6.2413793103448274</v>
      </c>
      <c r="L362" s="710">
        <f t="shared" si="42"/>
        <v>6.2413793103448274</v>
      </c>
      <c r="M362" s="710">
        <f t="shared" si="42"/>
        <v>6.2413793103448274</v>
      </c>
      <c r="N362" s="710">
        <f t="shared" si="42"/>
        <v>6.2413793103448274</v>
      </c>
      <c r="O362" s="710">
        <f t="shared" si="42"/>
        <v>6.2413793103448274</v>
      </c>
      <c r="P362" s="710">
        <f t="shared" si="42"/>
        <v>6.2413793103448274</v>
      </c>
      <c r="Q362" s="710">
        <f t="shared" si="42"/>
        <v>6.2413793103448274</v>
      </c>
      <c r="R362" s="710">
        <f t="shared" si="42"/>
        <v>6.2413793103448274</v>
      </c>
      <c r="S362" s="710">
        <f t="shared" si="42"/>
        <v>6.2413793103448274</v>
      </c>
      <c r="T362" s="710">
        <f t="shared" si="42"/>
        <v>6.2413793103448274</v>
      </c>
      <c r="U362" s="710">
        <f t="shared" si="42"/>
        <v>6.2413793103448274</v>
      </c>
      <c r="V362" s="710">
        <f t="shared" si="42"/>
        <v>6.2413793103448274</v>
      </c>
      <c r="W362" s="710">
        <f t="shared" si="42"/>
        <v>6.2413793103448274</v>
      </c>
      <c r="X362" s="710">
        <f t="shared" si="42"/>
        <v>6.2413793103448274</v>
      </c>
      <c r="Y362" s="710">
        <f t="shared" si="42"/>
        <v>6.2413793103448274</v>
      </c>
      <c r="Z362" s="710">
        <f t="shared" si="42"/>
        <v>6.2413793103448274</v>
      </c>
      <c r="AA362" s="710">
        <f t="shared" si="42"/>
        <v>6.2413793103448274</v>
      </c>
      <c r="AB362" s="710">
        <f t="shared" si="42"/>
        <v>6.2413793103448274</v>
      </c>
      <c r="AC362" s="710">
        <f t="shared" si="42"/>
        <v>6.2413793103448274</v>
      </c>
      <c r="AD362" s="710">
        <f t="shared" si="42"/>
        <v>6.2413793103448274</v>
      </c>
      <c r="AE362" s="710">
        <f t="shared" si="42"/>
        <v>6.2413793103448274</v>
      </c>
      <c r="AF362" s="710">
        <f t="shared" si="42"/>
        <v>6.2413793103448274</v>
      </c>
      <c r="AG362" s="710">
        <f t="shared" si="42"/>
        <v>6.2413793103448274</v>
      </c>
      <c r="AH362" s="710">
        <f t="shared" si="42"/>
        <v>6.2413793103448274</v>
      </c>
      <c r="AI362" s="710">
        <f t="shared" si="42"/>
        <v>6.2413793103448274</v>
      </c>
      <c r="AJ362" s="710">
        <f t="shared" si="42"/>
        <v>6.2413793103448274</v>
      </c>
      <c r="AK362" s="710">
        <f t="shared" si="42"/>
        <v>6.2413793103448274</v>
      </c>
      <c r="AL362" s="710">
        <f t="shared" si="42"/>
        <v>6.2413793103448274</v>
      </c>
      <c r="AM362" s="710">
        <f t="shared" si="42"/>
        <v>6.2413793103448274</v>
      </c>
      <c r="AN362" s="710">
        <f t="shared" si="42"/>
        <v>6.2413793103448274</v>
      </c>
      <c r="AO362" s="710">
        <f t="shared" si="42"/>
        <v>6.2413793103448274</v>
      </c>
      <c r="AP362" s="710">
        <f t="shared" si="42"/>
        <v>6.2413793103448274</v>
      </c>
      <c r="AQ362" s="710">
        <f t="shared" si="42"/>
        <v>6.2413793103448274</v>
      </c>
      <c r="AR362" s="710">
        <f t="shared" si="42"/>
        <v>6.2413793103448274</v>
      </c>
      <c r="AS362" s="710">
        <f t="shared" si="42"/>
        <v>6.2413793103448274</v>
      </c>
      <c r="AT362" s="710">
        <f t="shared" si="42"/>
        <v>6.2413793103448274</v>
      </c>
      <c r="AU362" s="710">
        <f t="shared" si="42"/>
        <v>6.2413793103448274</v>
      </c>
      <c r="AV362" s="710">
        <f t="shared" si="42"/>
        <v>6.2413793103448274</v>
      </c>
      <c r="AW362" s="710">
        <f t="shared" si="42"/>
        <v>6.2413793103448274</v>
      </c>
    </row>
    <row r="363" spans="1:49" s="683" customFormat="1" x14ac:dyDescent="0.2">
      <c r="A363" s="702" t="s">
        <v>491</v>
      </c>
      <c r="B363" s="710">
        <f>SUM(C360:AW360)/COUNT(C360:AW360)</f>
        <v>4.25</v>
      </c>
      <c r="C363" s="705"/>
      <c r="D363" s="705"/>
      <c r="E363" s="705"/>
      <c r="F363" s="705"/>
      <c r="G363" s="705"/>
      <c r="H363" s="705"/>
      <c r="I363" s="705"/>
      <c r="J363" s="705"/>
      <c r="K363" s="705"/>
      <c r="L363" s="705"/>
      <c r="M363" s="705"/>
      <c r="N363" s="705"/>
      <c r="O363" s="705"/>
      <c r="P363" s="705"/>
      <c r="Q363" s="705"/>
      <c r="R363" s="705"/>
      <c r="S363" s="705"/>
      <c r="T363" s="705"/>
      <c r="U363" s="705"/>
      <c r="V363" s="705"/>
      <c r="W363" s="705"/>
      <c r="X363" s="705"/>
      <c r="Y363" s="705"/>
      <c r="Z363" s="705"/>
      <c r="AA363" s="705"/>
      <c r="AB363" s="705"/>
      <c r="AC363" s="705"/>
      <c r="AD363" s="705"/>
      <c r="AE363" s="705"/>
      <c r="AF363" s="705"/>
      <c r="AG363" s="705"/>
      <c r="AH363" s="705"/>
      <c r="AI363" s="705"/>
      <c r="AJ363" s="705"/>
      <c r="AK363" s="705"/>
      <c r="AL363" s="705"/>
      <c r="AM363" s="705"/>
      <c r="AN363" s="705"/>
      <c r="AO363" s="705"/>
      <c r="AP363" s="705"/>
      <c r="AQ363" s="705"/>
      <c r="AR363" s="705"/>
      <c r="AS363" s="705"/>
      <c r="AT363" s="705"/>
      <c r="AU363" s="705"/>
      <c r="AV363" s="705"/>
      <c r="AW363" s="705"/>
    </row>
    <row r="364" spans="1:49" s="683" customFormat="1" ht="25.5" x14ac:dyDescent="0.2">
      <c r="A364" s="702" t="s">
        <v>494</v>
      </c>
      <c r="B364" s="710">
        <f>SUM(B363)/1.128</f>
        <v>3.7677304964539009</v>
      </c>
      <c r="C364" s="705"/>
      <c r="D364" s="705"/>
      <c r="E364" s="705"/>
      <c r="F364" s="705"/>
      <c r="G364" s="705"/>
      <c r="H364" s="705"/>
      <c r="I364" s="705"/>
      <c r="J364" s="705"/>
      <c r="K364" s="705"/>
      <c r="L364" s="705"/>
      <c r="M364" s="705"/>
      <c r="N364" s="705"/>
      <c r="O364" s="705"/>
      <c r="P364" s="705"/>
      <c r="Q364" s="705"/>
      <c r="R364" s="705"/>
      <c r="S364" s="705"/>
      <c r="T364" s="705"/>
      <c r="U364" s="705"/>
      <c r="V364" s="705"/>
      <c r="W364" s="705"/>
      <c r="X364" s="705"/>
      <c r="Y364" s="705"/>
      <c r="Z364" s="705"/>
      <c r="AA364" s="705"/>
      <c r="AB364" s="705"/>
      <c r="AC364" s="705"/>
      <c r="AD364" s="705"/>
      <c r="AE364" s="705"/>
      <c r="AF364" s="705"/>
      <c r="AG364" s="705"/>
      <c r="AH364" s="705"/>
      <c r="AI364" s="705"/>
      <c r="AJ364" s="705"/>
      <c r="AK364" s="705"/>
      <c r="AL364" s="705"/>
      <c r="AM364" s="705"/>
      <c r="AN364" s="705"/>
      <c r="AO364" s="705"/>
      <c r="AP364" s="705"/>
      <c r="AQ364" s="705"/>
      <c r="AR364" s="705"/>
      <c r="AS364" s="705"/>
      <c r="AT364" s="705"/>
      <c r="AU364" s="705"/>
      <c r="AV364" s="705"/>
      <c r="AW364" s="705"/>
    </row>
    <row r="365" spans="1:49" s="683" customFormat="1" x14ac:dyDescent="0.2">
      <c r="A365" s="711" t="s">
        <v>497</v>
      </c>
      <c r="B365" s="710">
        <f t="shared" ref="B365:AW365" si="43">$B$362+(3*$B$364)</f>
        <v>17.544570799706531</v>
      </c>
      <c r="C365" s="710">
        <f t="shared" si="43"/>
        <v>17.544570799706531</v>
      </c>
      <c r="D365" s="710">
        <f t="shared" si="43"/>
        <v>17.544570799706531</v>
      </c>
      <c r="E365" s="710">
        <f t="shared" si="43"/>
        <v>17.544570799706531</v>
      </c>
      <c r="F365" s="710">
        <f t="shared" si="43"/>
        <v>17.544570799706531</v>
      </c>
      <c r="G365" s="710">
        <f t="shared" si="43"/>
        <v>17.544570799706531</v>
      </c>
      <c r="H365" s="710">
        <f t="shared" si="43"/>
        <v>17.544570799706531</v>
      </c>
      <c r="I365" s="710">
        <f t="shared" si="43"/>
        <v>17.544570799706531</v>
      </c>
      <c r="J365" s="710">
        <f t="shared" si="43"/>
        <v>17.544570799706531</v>
      </c>
      <c r="K365" s="710">
        <f t="shared" si="43"/>
        <v>17.544570799706531</v>
      </c>
      <c r="L365" s="710">
        <f t="shared" si="43"/>
        <v>17.544570799706531</v>
      </c>
      <c r="M365" s="710">
        <f t="shared" si="43"/>
        <v>17.544570799706531</v>
      </c>
      <c r="N365" s="710">
        <f t="shared" si="43"/>
        <v>17.544570799706531</v>
      </c>
      <c r="O365" s="710">
        <f t="shared" si="43"/>
        <v>17.544570799706531</v>
      </c>
      <c r="P365" s="710">
        <f t="shared" si="43"/>
        <v>17.544570799706531</v>
      </c>
      <c r="Q365" s="710">
        <f t="shared" si="43"/>
        <v>17.544570799706531</v>
      </c>
      <c r="R365" s="710">
        <f t="shared" si="43"/>
        <v>17.544570799706531</v>
      </c>
      <c r="S365" s="710">
        <f t="shared" si="43"/>
        <v>17.544570799706531</v>
      </c>
      <c r="T365" s="710">
        <f t="shared" si="43"/>
        <v>17.544570799706531</v>
      </c>
      <c r="U365" s="710">
        <f t="shared" si="43"/>
        <v>17.544570799706531</v>
      </c>
      <c r="V365" s="710">
        <f t="shared" si="43"/>
        <v>17.544570799706531</v>
      </c>
      <c r="W365" s="710">
        <f t="shared" si="43"/>
        <v>17.544570799706531</v>
      </c>
      <c r="X365" s="710">
        <f t="shared" si="43"/>
        <v>17.544570799706531</v>
      </c>
      <c r="Y365" s="710">
        <f t="shared" si="43"/>
        <v>17.544570799706531</v>
      </c>
      <c r="Z365" s="710">
        <f t="shared" si="43"/>
        <v>17.544570799706531</v>
      </c>
      <c r="AA365" s="710">
        <f t="shared" si="43"/>
        <v>17.544570799706531</v>
      </c>
      <c r="AB365" s="710">
        <f t="shared" si="43"/>
        <v>17.544570799706531</v>
      </c>
      <c r="AC365" s="710">
        <f t="shared" si="43"/>
        <v>17.544570799706531</v>
      </c>
      <c r="AD365" s="710">
        <f t="shared" si="43"/>
        <v>17.544570799706531</v>
      </c>
      <c r="AE365" s="710">
        <f t="shared" si="43"/>
        <v>17.544570799706531</v>
      </c>
      <c r="AF365" s="710">
        <f t="shared" si="43"/>
        <v>17.544570799706531</v>
      </c>
      <c r="AG365" s="710">
        <f t="shared" si="43"/>
        <v>17.544570799706531</v>
      </c>
      <c r="AH365" s="710">
        <f t="shared" si="43"/>
        <v>17.544570799706531</v>
      </c>
      <c r="AI365" s="710">
        <f t="shared" si="43"/>
        <v>17.544570799706531</v>
      </c>
      <c r="AJ365" s="710">
        <f t="shared" si="43"/>
        <v>17.544570799706531</v>
      </c>
      <c r="AK365" s="710">
        <f t="shared" si="43"/>
        <v>17.544570799706531</v>
      </c>
      <c r="AL365" s="710">
        <f t="shared" si="43"/>
        <v>17.544570799706531</v>
      </c>
      <c r="AM365" s="710">
        <f t="shared" si="43"/>
        <v>17.544570799706531</v>
      </c>
      <c r="AN365" s="710">
        <f t="shared" si="43"/>
        <v>17.544570799706531</v>
      </c>
      <c r="AO365" s="710">
        <f t="shared" si="43"/>
        <v>17.544570799706531</v>
      </c>
      <c r="AP365" s="710">
        <f t="shared" si="43"/>
        <v>17.544570799706531</v>
      </c>
      <c r="AQ365" s="710">
        <f t="shared" si="43"/>
        <v>17.544570799706531</v>
      </c>
      <c r="AR365" s="710">
        <f t="shared" si="43"/>
        <v>17.544570799706531</v>
      </c>
      <c r="AS365" s="710">
        <f t="shared" si="43"/>
        <v>17.544570799706531</v>
      </c>
      <c r="AT365" s="710">
        <f t="shared" si="43"/>
        <v>17.544570799706531</v>
      </c>
      <c r="AU365" s="710">
        <f t="shared" si="43"/>
        <v>17.544570799706531</v>
      </c>
      <c r="AV365" s="710">
        <f t="shared" si="43"/>
        <v>17.544570799706531</v>
      </c>
      <c r="AW365" s="710">
        <f t="shared" si="43"/>
        <v>17.544570799706531</v>
      </c>
    </row>
    <row r="366" spans="1:49" s="683" customFormat="1" x14ac:dyDescent="0.2">
      <c r="A366" s="711" t="s">
        <v>499</v>
      </c>
      <c r="B366" s="710">
        <f t="shared" ref="B366:AW366" si="44">$B$362-(3*$B$364)</f>
        <v>-5.0618121790168757</v>
      </c>
      <c r="C366" s="710">
        <f t="shared" si="44"/>
        <v>-5.0618121790168757</v>
      </c>
      <c r="D366" s="710">
        <f t="shared" si="44"/>
        <v>-5.0618121790168757</v>
      </c>
      <c r="E366" s="710">
        <f t="shared" si="44"/>
        <v>-5.0618121790168757</v>
      </c>
      <c r="F366" s="710">
        <f t="shared" si="44"/>
        <v>-5.0618121790168757</v>
      </c>
      <c r="G366" s="710">
        <f t="shared" si="44"/>
        <v>-5.0618121790168757</v>
      </c>
      <c r="H366" s="710">
        <f t="shared" si="44"/>
        <v>-5.0618121790168757</v>
      </c>
      <c r="I366" s="710">
        <f t="shared" si="44"/>
        <v>-5.0618121790168757</v>
      </c>
      <c r="J366" s="710">
        <f t="shared" si="44"/>
        <v>-5.0618121790168757</v>
      </c>
      <c r="K366" s="710">
        <f t="shared" si="44"/>
        <v>-5.0618121790168757</v>
      </c>
      <c r="L366" s="710">
        <f t="shared" si="44"/>
        <v>-5.0618121790168757</v>
      </c>
      <c r="M366" s="710">
        <f t="shared" si="44"/>
        <v>-5.0618121790168757</v>
      </c>
      <c r="N366" s="710">
        <f t="shared" si="44"/>
        <v>-5.0618121790168757</v>
      </c>
      <c r="O366" s="710">
        <f t="shared" si="44"/>
        <v>-5.0618121790168757</v>
      </c>
      <c r="P366" s="710">
        <f t="shared" si="44"/>
        <v>-5.0618121790168757</v>
      </c>
      <c r="Q366" s="710">
        <f t="shared" si="44"/>
        <v>-5.0618121790168757</v>
      </c>
      <c r="R366" s="710">
        <f t="shared" si="44"/>
        <v>-5.0618121790168757</v>
      </c>
      <c r="S366" s="710">
        <f t="shared" si="44"/>
        <v>-5.0618121790168757</v>
      </c>
      <c r="T366" s="710">
        <f t="shared" si="44"/>
        <v>-5.0618121790168757</v>
      </c>
      <c r="U366" s="710">
        <f t="shared" si="44"/>
        <v>-5.0618121790168757</v>
      </c>
      <c r="V366" s="710">
        <f t="shared" si="44"/>
        <v>-5.0618121790168757</v>
      </c>
      <c r="W366" s="710">
        <f t="shared" si="44"/>
        <v>-5.0618121790168757</v>
      </c>
      <c r="X366" s="710">
        <f t="shared" si="44"/>
        <v>-5.0618121790168757</v>
      </c>
      <c r="Y366" s="710">
        <f t="shared" si="44"/>
        <v>-5.0618121790168757</v>
      </c>
      <c r="Z366" s="710">
        <f t="shared" si="44"/>
        <v>-5.0618121790168757</v>
      </c>
      <c r="AA366" s="710">
        <f t="shared" si="44"/>
        <v>-5.0618121790168757</v>
      </c>
      <c r="AB366" s="710">
        <f t="shared" si="44"/>
        <v>-5.0618121790168757</v>
      </c>
      <c r="AC366" s="710">
        <f t="shared" si="44"/>
        <v>-5.0618121790168757</v>
      </c>
      <c r="AD366" s="710">
        <f t="shared" si="44"/>
        <v>-5.0618121790168757</v>
      </c>
      <c r="AE366" s="710">
        <f t="shared" si="44"/>
        <v>-5.0618121790168757</v>
      </c>
      <c r="AF366" s="710">
        <f t="shared" si="44"/>
        <v>-5.0618121790168757</v>
      </c>
      <c r="AG366" s="710">
        <f t="shared" si="44"/>
        <v>-5.0618121790168757</v>
      </c>
      <c r="AH366" s="710">
        <f t="shared" si="44"/>
        <v>-5.0618121790168757</v>
      </c>
      <c r="AI366" s="710">
        <f t="shared" si="44"/>
        <v>-5.0618121790168757</v>
      </c>
      <c r="AJ366" s="710">
        <f t="shared" si="44"/>
        <v>-5.0618121790168757</v>
      </c>
      <c r="AK366" s="710">
        <f t="shared" si="44"/>
        <v>-5.0618121790168757</v>
      </c>
      <c r="AL366" s="710">
        <f t="shared" si="44"/>
        <v>-5.0618121790168757</v>
      </c>
      <c r="AM366" s="710">
        <f t="shared" si="44"/>
        <v>-5.0618121790168757</v>
      </c>
      <c r="AN366" s="710">
        <f t="shared" si="44"/>
        <v>-5.0618121790168757</v>
      </c>
      <c r="AO366" s="710">
        <f t="shared" si="44"/>
        <v>-5.0618121790168757</v>
      </c>
      <c r="AP366" s="710">
        <f t="shared" si="44"/>
        <v>-5.0618121790168757</v>
      </c>
      <c r="AQ366" s="710">
        <f t="shared" si="44"/>
        <v>-5.0618121790168757</v>
      </c>
      <c r="AR366" s="710">
        <f t="shared" si="44"/>
        <v>-5.0618121790168757</v>
      </c>
      <c r="AS366" s="710">
        <f t="shared" si="44"/>
        <v>-5.0618121790168757</v>
      </c>
      <c r="AT366" s="710">
        <f t="shared" si="44"/>
        <v>-5.0618121790168757</v>
      </c>
      <c r="AU366" s="710">
        <f t="shared" si="44"/>
        <v>-5.0618121790168757</v>
      </c>
      <c r="AV366" s="710">
        <f t="shared" si="44"/>
        <v>-5.0618121790168757</v>
      </c>
      <c r="AW366" s="710">
        <f t="shared" si="44"/>
        <v>-5.0618121790168757</v>
      </c>
    </row>
    <row r="367" spans="1:49" s="683" customFormat="1" ht="25.5" x14ac:dyDescent="0.2">
      <c r="A367" s="693" t="s">
        <v>513</v>
      </c>
      <c r="B367" s="705"/>
      <c r="C367" s="705"/>
      <c r="D367" s="705"/>
      <c r="E367" s="705"/>
      <c r="F367" s="705"/>
      <c r="G367" s="705"/>
      <c r="H367" s="705"/>
      <c r="I367" s="705"/>
      <c r="J367" s="705"/>
      <c r="K367" s="705"/>
      <c r="L367" s="705"/>
      <c r="M367" s="705"/>
      <c r="N367" s="705"/>
      <c r="O367" s="705"/>
      <c r="P367" s="705"/>
      <c r="Q367" s="705"/>
      <c r="R367" s="705"/>
      <c r="S367" s="705"/>
      <c r="T367" s="705"/>
      <c r="U367" s="705"/>
      <c r="V367" s="705"/>
      <c r="W367" s="705"/>
      <c r="X367" s="705"/>
      <c r="Y367" s="705"/>
      <c r="Z367" s="705"/>
      <c r="AA367" s="705"/>
      <c r="AB367" s="705"/>
      <c r="AC367" s="705"/>
      <c r="AD367" s="705"/>
      <c r="AE367" s="705"/>
      <c r="AF367" s="705"/>
      <c r="AG367" s="705"/>
      <c r="AH367" s="705"/>
      <c r="AI367" s="705"/>
      <c r="AJ367" s="705"/>
      <c r="AK367" s="705"/>
      <c r="AL367" s="705"/>
      <c r="AM367" s="705"/>
      <c r="AN367" s="705"/>
      <c r="AO367" s="705"/>
      <c r="AP367" s="705"/>
      <c r="AQ367" s="705"/>
      <c r="AR367" s="705"/>
      <c r="AS367" s="705"/>
      <c r="AT367" s="705"/>
      <c r="AU367" s="705"/>
      <c r="AV367" s="705"/>
      <c r="AW367" s="705"/>
    </row>
    <row r="368" spans="1:49" s="683" customFormat="1" ht="15" x14ac:dyDescent="0.2">
      <c r="A368" s="708" t="s">
        <v>401</v>
      </c>
      <c r="B368" s="700" t="s">
        <v>515</v>
      </c>
      <c r="C368" s="692"/>
      <c r="D368" s="705"/>
      <c r="E368" s="705"/>
      <c r="F368" s="705"/>
      <c r="G368" s="705"/>
      <c r="H368" s="705"/>
      <c r="I368" s="705"/>
      <c r="J368" s="705"/>
      <c r="K368" s="705"/>
      <c r="L368" s="705"/>
      <c r="M368" s="705"/>
      <c r="N368" s="705"/>
      <c r="O368" s="705"/>
      <c r="P368" s="705"/>
      <c r="Q368" s="705"/>
      <c r="R368" s="705"/>
      <c r="S368" s="705"/>
      <c r="T368" s="705"/>
      <c r="U368" s="705"/>
      <c r="V368" s="705"/>
      <c r="W368" s="705"/>
      <c r="X368" s="705"/>
      <c r="Y368" s="705"/>
      <c r="Z368" s="705"/>
      <c r="AA368" s="705"/>
      <c r="AB368" s="705"/>
      <c r="AC368" s="705"/>
      <c r="AD368" s="705"/>
      <c r="AE368" s="705"/>
      <c r="AF368" s="705"/>
      <c r="AG368" s="705"/>
      <c r="AH368" s="705"/>
      <c r="AI368" s="705"/>
      <c r="AJ368" s="705"/>
      <c r="AK368" s="705"/>
      <c r="AL368" s="705"/>
      <c r="AM368" s="705"/>
      <c r="AN368" s="705"/>
      <c r="AO368" s="705"/>
      <c r="AP368" s="705"/>
      <c r="AQ368" s="705"/>
      <c r="AR368" s="705"/>
      <c r="AS368" s="705"/>
      <c r="AT368" s="705"/>
      <c r="AU368" s="705"/>
      <c r="AV368" s="705"/>
      <c r="AW368" s="705"/>
    </row>
    <row r="369" spans="1:49" s="683" customFormat="1" x14ac:dyDescent="0.2">
      <c r="A369" s="693" t="s">
        <v>131</v>
      </c>
      <c r="B369" s="705"/>
      <c r="C369" s="705"/>
      <c r="D369" s="705"/>
      <c r="E369" s="705"/>
      <c r="F369" s="705"/>
      <c r="G369" s="705"/>
      <c r="H369" s="705"/>
      <c r="I369" s="705"/>
      <c r="J369" s="705"/>
      <c r="K369" s="705"/>
      <c r="L369" s="705"/>
      <c r="M369" s="705"/>
      <c r="N369" s="705"/>
      <c r="O369" s="705"/>
      <c r="P369" s="705"/>
      <c r="Q369" s="705"/>
      <c r="R369" s="705"/>
      <c r="S369" s="705"/>
      <c r="T369" s="705"/>
      <c r="U369" s="705"/>
      <c r="V369" s="705"/>
      <c r="W369" s="705"/>
      <c r="X369" s="705"/>
      <c r="Y369" s="705"/>
      <c r="Z369" s="705"/>
      <c r="AA369" s="705"/>
      <c r="AB369" s="705"/>
      <c r="AC369" s="705"/>
      <c r="AD369" s="705"/>
      <c r="AE369" s="705"/>
      <c r="AF369" s="705"/>
      <c r="AG369" s="705"/>
      <c r="AH369" s="705"/>
      <c r="AI369" s="705"/>
      <c r="AJ369" s="705"/>
      <c r="AK369" s="705"/>
      <c r="AL369" s="705"/>
      <c r="AM369" s="705"/>
      <c r="AN369" s="705"/>
      <c r="AO369" s="705"/>
      <c r="AP369" s="705"/>
      <c r="AQ369" s="705"/>
      <c r="AR369" s="705"/>
      <c r="AS369" s="705"/>
      <c r="AT369" s="705"/>
      <c r="AU369" s="705"/>
      <c r="AV369" s="705"/>
      <c r="AW369" s="705"/>
    </row>
    <row r="370" spans="1:49" s="683" customFormat="1" x14ac:dyDescent="0.2">
      <c r="A370" s="693" t="s">
        <v>184</v>
      </c>
      <c r="B370" s="705"/>
      <c r="C370" s="705"/>
      <c r="D370" s="705"/>
      <c r="E370" s="705"/>
      <c r="F370" s="705"/>
      <c r="G370" s="705"/>
      <c r="H370" s="705"/>
      <c r="I370" s="705"/>
      <c r="J370" s="705"/>
      <c r="K370" s="705"/>
      <c r="L370" s="705"/>
      <c r="M370" s="705"/>
      <c r="N370" s="705"/>
      <c r="O370" s="705"/>
      <c r="P370" s="705"/>
      <c r="Q370" s="705"/>
      <c r="R370" s="705"/>
      <c r="S370" s="705"/>
      <c r="T370" s="705"/>
      <c r="U370" s="705"/>
      <c r="V370" s="705"/>
      <c r="W370" s="705"/>
      <c r="X370" s="705"/>
      <c r="Y370" s="705"/>
      <c r="Z370" s="705"/>
      <c r="AA370" s="705"/>
      <c r="AB370" s="705"/>
      <c r="AC370" s="705"/>
      <c r="AD370" s="705"/>
      <c r="AE370" s="705"/>
      <c r="AF370" s="705"/>
      <c r="AG370" s="705"/>
      <c r="AH370" s="705"/>
      <c r="AI370" s="705"/>
      <c r="AJ370" s="705"/>
      <c r="AK370" s="705"/>
      <c r="AL370" s="705"/>
      <c r="AM370" s="705"/>
      <c r="AN370" s="705"/>
      <c r="AO370" s="705"/>
      <c r="AP370" s="705"/>
      <c r="AQ370" s="705"/>
      <c r="AR370" s="705"/>
      <c r="AS370" s="705"/>
      <c r="AT370" s="705"/>
      <c r="AU370" s="705"/>
      <c r="AV370" s="705"/>
      <c r="AW370" s="705"/>
    </row>
    <row r="371" spans="1:49" s="683" customFormat="1" x14ac:dyDescent="0.2">
      <c r="A371" s="702" t="s">
        <v>490</v>
      </c>
      <c r="B371" s="705"/>
      <c r="C371" s="705">
        <f>SUM(C332-B332)</f>
        <v>0</v>
      </c>
      <c r="D371" s="705">
        <f t="shared" ref="D371:AD371" si="45">SUM(D332-C332)</f>
        <v>0</v>
      </c>
      <c r="E371" s="705">
        <f t="shared" si="45"/>
        <v>0</v>
      </c>
      <c r="F371" s="705">
        <f t="shared" si="45"/>
        <v>0</v>
      </c>
      <c r="G371" s="705">
        <f t="shared" si="45"/>
        <v>0</v>
      </c>
      <c r="H371" s="705">
        <f t="shared" si="45"/>
        <v>0</v>
      </c>
      <c r="I371" s="705">
        <f t="shared" si="45"/>
        <v>0</v>
      </c>
      <c r="J371" s="705">
        <f t="shared" si="45"/>
        <v>0</v>
      </c>
      <c r="K371" s="705">
        <f t="shared" si="45"/>
        <v>0</v>
      </c>
      <c r="L371" s="705">
        <f t="shared" si="45"/>
        <v>0</v>
      </c>
      <c r="M371" s="705">
        <f t="shared" si="45"/>
        <v>0</v>
      </c>
      <c r="N371" s="705">
        <f t="shared" si="45"/>
        <v>0</v>
      </c>
      <c r="O371" s="705">
        <f t="shared" si="45"/>
        <v>0</v>
      </c>
      <c r="P371" s="705">
        <f t="shared" si="45"/>
        <v>0</v>
      </c>
      <c r="Q371" s="705">
        <f t="shared" si="45"/>
        <v>0</v>
      </c>
      <c r="R371" s="705">
        <f t="shared" si="45"/>
        <v>0</v>
      </c>
      <c r="S371" s="705">
        <f t="shared" si="45"/>
        <v>0</v>
      </c>
      <c r="T371" s="705">
        <f t="shared" si="45"/>
        <v>0</v>
      </c>
      <c r="U371" s="705">
        <f t="shared" si="45"/>
        <v>0</v>
      </c>
      <c r="V371" s="705">
        <f t="shared" si="45"/>
        <v>0</v>
      </c>
      <c r="W371" s="705">
        <f t="shared" si="45"/>
        <v>0</v>
      </c>
      <c r="X371" s="705">
        <f t="shared" si="45"/>
        <v>0</v>
      </c>
      <c r="Y371" s="705">
        <f t="shared" si="45"/>
        <v>0</v>
      </c>
      <c r="Z371" s="705">
        <f t="shared" si="45"/>
        <v>0</v>
      </c>
      <c r="AA371" s="705">
        <f t="shared" si="45"/>
        <v>0</v>
      </c>
      <c r="AB371" s="705">
        <f t="shared" si="45"/>
        <v>0</v>
      </c>
      <c r="AC371" s="705">
        <f t="shared" si="45"/>
        <v>0</v>
      </c>
      <c r="AD371" s="705">
        <f t="shared" si="45"/>
        <v>0</v>
      </c>
      <c r="AE371" s="692" t="s">
        <v>385</v>
      </c>
      <c r="AF371" s="692" t="s">
        <v>385</v>
      </c>
      <c r="AG371" s="692" t="s">
        <v>385</v>
      </c>
      <c r="AH371" s="692" t="s">
        <v>385</v>
      </c>
      <c r="AI371" s="692" t="s">
        <v>385</v>
      </c>
      <c r="AJ371" s="692" t="s">
        <v>385</v>
      </c>
      <c r="AK371" s="692" t="s">
        <v>385</v>
      </c>
      <c r="AL371" s="692" t="s">
        <v>385</v>
      </c>
      <c r="AM371" s="692" t="s">
        <v>385</v>
      </c>
      <c r="AN371" s="692" t="s">
        <v>385</v>
      </c>
      <c r="AO371" s="692" t="s">
        <v>385</v>
      </c>
      <c r="AP371" s="692" t="s">
        <v>385</v>
      </c>
      <c r="AQ371" s="692" t="s">
        <v>385</v>
      </c>
      <c r="AR371" s="692" t="s">
        <v>385</v>
      </c>
      <c r="AS371" s="692" t="s">
        <v>385</v>
      </c>
      <c r="AT371" s="692" t="s">
        <v>385</v>
      </c>
      <c r="AU371" s="692" t="s">
        <v>385</v>
      </c>
      <c r="AV371" s="692" t="s">
        <v>385</v>
      </c>
      <c r="AW371" s="692" t="s">
        <v>385</v>
      </c>
    </row>
    <row r="372" spans="1:49" s="683" customFormat="1" ht="53.25" x14ac:dyDescent="0.2">
      <c r="A372" s="703" t="s">
        <v>521</v>
      </c>
      <c r="B372" s="705"/>
      <c r="C372" s="705"/>
      <c r="D372" s="705"/>
      <c r="E372" s="705"/>
      <c r="F372" s="705"/>
      <c r="G372" s="705"/>
      <c r="H372" s="705"/>
      <c r="I372" s="705"/>
      <c r="J372" s="705"/>
      <c r="K372" s="705"/>
      <c r="L372" s="705"/>
      <c r="M372" s="705"/>
      <c r="N372" s="705"/>
      <c r="O372" s="705"/>
      <c r="P372" s="705"/>
      <c r="Q372" s="705"/>
      <c r="R372" s="705"/>
      <c r="S372" s="705"/>
      <c r="T372" s="705"/>
      <c r="U372" s="705"/>
      <c r="V372" s="705"/>
      <c r="W372" s="705"/>
      <c r="X372" s="705"/>
      <c r="Y372" s="705"/>
      <c r="Z372" s="705"/>
      <c r="AA372" s="705"/>
      <c r="AB372" s="705"/>
      <c r="AC372" s="705"/>
      <c r="AD372" s="705"/>
      <c r="AE372" s="705"/>
      <c r="AF372" s="705"/>
      <c r="AG372" s="705"/>
      <c r="AH372" s="705"/>
      <c r="AI372" s="705"/>
      <c r="AJ372" s="705"/>
      <c r="AK372" s="705"/>
      <c r="AL372" s="705"/>
      <c r="AM372" s="705"/>
      <c r="AN372" s="705"/>
      <c r="AO372" s="705"/>
      <c r="AP372" s="705"/>
      <c r="AQ372" s="705"/>
      <c r="AR372" s="705"/>
      <c r="AS372" s="705"/>
      <c r="AT372" s="705"/>
      <c r="AU372" s="705"/>
      <c r="AV372" s="705"/>
      <c r="AW372" s="705"/>
    </row>
    <row r="373" spans="1:49" s="683" customFormat="1" x14ac:dyDescent="0.2">
      <c r="A373" s="674" t="s">
        <v>492</v>
      </c>
      <c r="B373" s="705">
        <f t="shared" ref="B373:AW373" si="46">AVERAGE($B$332:$AW$332)</f>
        <v>0</v>
      </c>
      <c r="C373" s="705">
        <f t="shared" si="46"/>
        <v>0</v>
      </c>
      <c r="D373" s="705">
        <f t="shared" si="46"/>
        <v>0</v>
      </c>
      <c r="E373" s="705">
        <f t="shared" si="46"/>
        <v>0</v>
      </c>
      <c r="F373" s="705">
        <f t="shared" si="46"/>
        <v>0</v>
      </c>
      <c r="G373" s="705">
        <f t="shared" si="46"/>
        <v>0</v>
      </c>
      <c r="H373" s="705">
        <f t="shared" si="46"/>
        <v>0</v>
      </c>
      <c r="I373" s="705">
        <f t="shared" si="46"/>
        <v>0</v>
      </c>
      <c r="J373" s="705">
        <f t="shared" si="46"/>
        <v>0</v>
      </c>
      <c r="K373" s="705">
        <f t="shared" si="46"/>
        <v>0</v>
      </c>
      <c r="L373" s="705">
        <f t="shared" si="46"/>
        <v>0</v>
      </c>
      <c r="M373" s="705">
        <f t="shared" si="46"/>
        <v>0</v>
      </c>
      <c r="N373" s="705">
        <f t="shared" si="46"/>
        <v>0</v>
      </c>
      <c r="O373" s="705">
        <f t="shared" si="46"/>
        <v>0</v>
      </c>
      <c r="P373" s="705">
        <f t="shared" si="46"/>
        <v>0</v>
      </c>
      <c r="Q373" s="705">
        <f t="shared" si="46"/>
        <v>0</v>
      </c>
      <c r="R373" s="705">
        <f t="shared" si="46"/>
        <v>0</v>
      </c>
      <c r="S373" s="705">
        <f t="shared" si="46"/>
        <v>0</v>
      </c>
      <c r="T373" s="705">
        <f t="shared" si="46"/>
        <v>0</v>
      </c>
      <c r="U373" s="705">
        <f t="shared" si="46"/>
        <v>0</v>
      </c>
      <c r="V373" s="705">
        <f t="shared" si="46"/>
        <v>0</v>
      </c>
      <c r="W373" s="705">
        <f t="shared" si="46"/>
        <v>0</v>
      </c>
      <c r="X373" s="705">
        <f t="shared" si="46"/>
        <v>0</v>
      </c>
      <c r="Y373" s="705">
        <f t="shared" si="46"/>
        <v>0</v>
      </c>
      <c r="Z373" s="705">
        <f t="shared" si="46"/>
        <v>0</v>
      </c>
      <c r="AA373" s="705">
        <f t="shared" si="46"/>
        <v>0</v>
      </c>
      <c r="AB373" s="705">
        <f t="shared" si="46"/>
        <v>0</v>
      </c>
      <c r="AC373" s="705">
        <f t="shared" si="46"/>
        <v>0</v>
      </c>
      <c r="AD373" s="705">
        <f t="shared" si="46"/>
        <v>0</v>
      </c>
      <c r="AE373" s="705">
        <f t="shared" si="46"/>
        <v>0</v>
      </c>
      <c r="AF373" s="705">
        <f t="shared" si="46"/>
        <v>0</v>
      </c>
      <c r="AG373" s="705">
        <f t="shared" si="46"/>
        <v>0</v>
      </c>
      <c r="AH373" s="705">
        <f t="shared" si="46"/>
        <v>0</v>
      </c>
      <c r="AI373" s="705">
        <f t="shared" si="46"/>
        <v>0</v>
      </c>
      <c r="AJ373" s="705">
        <f t="shared" si="46"/>
        <v>0</v>
      </c>
      <c r="AK373" s="705">
        <f t="shared" si="46"/>
        <v>0</v>
      </c>
      <c r="AL373" s="705">
        <f t="shared" si="46"/>
        <v>0</v>
      </c>
      <c r="AM373" s="705">
        <f t="shared" si="46"/>
        <v>0</v>
      </c>
      <c r="AN373" s="705">
        <f t="shared" si="46"/>
        <v>0</v>
      </c>
      <c r="AO373" s="705">
        <f t="shared" si="46"/>
        <v>0</v>
      </c>
      <c r="AP373" s="705">
        <f t="shared" si="46"/>
        <v>0</v>
      </c>
      <c r="AQ373" s="705">
        <f t="shared" si="46"/>
        <v>0</v>
      </c>
      <c r="AR373" s="705">
        <f t="shared" si="46"/>
        <v>0</v>
      </c>
      <c r="AS373" s="705">
        <f t="shared" si="46"/>
        <v>0</v>
      </c>
      <c r="AT373" s="705">
        <f t="shared" si="46"/>
        <v>0</v>
      </c>
      <c r="AU373" s="705">
        <f t="shared" si="46"/>
        <v>0</v>
      </c>
      <c r="AV373" s="705">
        <f t="shared" si="46"/>
        <v>0</v>
      </c>
      <c r="AW373" s="705">
        <f t="shared" si="46"/>
        <v>0</v>
      </c>
    </row>
    <row r="374" spans="1:49" s="683" customFormat="1" x14ac:dyDescent="0.2">
      <c r="A374" s="702" t="s">
        <v>491</v>
      </c>
      <c r="B374" s="705">
        <f>SUM(C371:AW371)/COUNT(C371:AW371)</f>
        <v>0</v>
      </c>
      <c r="C374" s="705"/>
      <c r="D374" s="705"/>
      <c r="E374" s="705"/>
      <c r="F374" s="705"/>
      <c r="G374" s="705"/>
      <c r="H374" s="705"/>
      <c r="I374" s="705"/>
      <c r="J374" s="705"/>
      <c r="K374" s="705"/>
      <c r="L374" s="705"/>
      <c r="M374" s="705"/>
      <c r="N374" s="705"/>
      <c r="O374" s="705"/>
      <c r="P374" s="705"/>
      <c r="Q374" s="705"/>
      <c r="R374" s="705"/>
      <c r="S374" s="705"/>
      <c r="T374" s="705"/>
      <c r="U374" s="705"/>
      <c r="V374" s="705"/>
      <c r="W374" s="705"/>
      <c r="X374" s="705"/>
      <c r="Y374" s="705"/>
      <c r="Z374" s="705"/>
      <c r="AA374" s="705"/>
      <c r="AB374" s="705"/>
      <c r="AC374" s="705"/>
      <c r="AD374" s="705"/>
      <c r="AE374" s="705"/>
      <c r="AF374" s="705"/>
      <c r="AG374" s="705"/>
      <c r="AH374" s="705"/>
      <c r="AI374" s="705"/>
      <c r="AJ374" s="705"/>
      <c r="AK374" s="705"/>
      <c r="AL374" s="705"/>
      <c r="AM374" s="705"/>
      <c r="AN374" s="705"/>
      <c r="AO374" s="705"/>
      <c r="AP374" s="705"/>
      <c r="AQ374" s="705"/>
      <c r="AR374" s="705"/>
      <c r="AS374" s="705"/>
      <c r="AT374" s="705"/>
      <c r="AU374" s="705"/>
      <c r="AV374" s="705"/>
      <c r="AW374" s="705"/>
    </row>
    <row r="375" spans="1:49" s="683" customFormat="1" ht="25.5" x14ac:dyDescent="0.2">
      <c r="A375" s="702" t="s">
        <v>494</v>
      </c>
      <c r="B375" s="705">
        <f>B374/1.128</f>
        <v>0</v>
      </c>
      <c r="C375" s="705"/>
      <c r="D375" s="705"/>
      <c r="E375" s="705"/>
      <c r="F375" s="705"/>
      <c r="G375" s="705"/>
      <c r="H375" s="705"/>
      <c r="I375" s="705"/>
      <c r="J375" s="705"/>
      <c r="K375" s="705"/>
      <c r="L375" s="705"/>
      <c r="M375" s="705"/>
      <c r="N375" s="705"/>
      <c r="O375" s="705"/>
      <c r="P375" s="705"/>
      <c r="Q375" s="705"/>
      <c r="R375" s="705"/>
      <c r="S375" s="705"/>
      <c r="T375" s="705"/>
      <c r="U375" s="705"/>
      <c r="V375" s="705"/>
      <c r="W375" s="705"/>
      <c r="X375" s="705"/>
      <c r="Y375" s="705"/>
      <c r="Z375" s="705"/>
      <c r="AA375" s="705"/>
      <c r="AB375" s="705"/>
      <c r="AC375" s="705"/>
      <c r="AD375" s="705"/>
      <c r="AE375" s="705"/>
      <c r="AF375" s="705"/>
      <c r="AG375" s="705"/>
      <c r="AH375" s="705"/>
      <c r="AI375" s="705"/>
      <c r="AJ375" s="705"/>
      <c r="AK375" s="705"/>
      <c r="AL375" s="705"/>
      <c r="AM375" s="705"/>
      <c r="AN375" s="705"/>
      <c r="AO375" s="705"/>
      <c r="AP375" s="705"/>
      <c r="AQ375" s="705"/>
      <c r="AR375" s="705"/>
      <c r="AS375" s="705"/>
      <c r="AT375" s="705"/>
      <c r="AU375" s="705"/>
      <c r="AV375" s="705"/>
      <c r="AW375" s="705"/>
    </row>
    <row r="376" spans="1:49" s="683" customFormat="1" x14ac:dyDescent="0.2">
      <c r="A376" s="702" t="s">
        <v>497</v>
      </c>
      <c r="B376" s="705"/>
      <c r="C376" s="705"/>
      <c r="D376" s="705"/>
      <c r="E376" s="705"/>
      <c r="F376" s="705"/>
      <c r="G376" s="705"/>
      <c r="H376" s="705"/>
      <c r="I376" s="705"/>
      <c r="J376" s="705"/>
      <c r="K376" s="705"/>
      <c r="L376" s="705"/>
      <c r="M376" s="705"/>
      <c r="N376" s="705"/>
      <c r="O376" s="705"/>
      <c r="P376" s="705"/>
      <c r="Q376" s="705"/>
      <c r="R376" s="705"/>
      <c r="S376" s="705"/>
      <c r="T376" s="705"/>
      <c r="U376" s="705"/>
      <c r="V376" s="705"/>
      <c r="W376" s="705"/>
      <c r="X376" s="705"/>
      <c r="Y376" s="705"/>
      <c r="Z376" s="705"/>
      <c r="AA376" s="705"/>
      <c r="AB376" s="705"/>
      <c r="AC376" s="705"/>
      <c r="AD376" s="705"/>
      <c r="AE376" s="705"/>
      <c r="AF376" s="705"/>
      <c r="AG376" s="705"/>
      <c r="AH376" s="705"/>
      <c r="AI376" s="705"/>
      <c r="AJ376" s="705"/>
      <c r="AK376" s="705"/>
      <c r="AL376" s="705"/>
      <c r="AM376" s="705"/>
      <c r="AN376" s="705"/>
      <c r="AO376" s="705"/>
      <c r="AP376" s="705"/>
      <c r="AQ376" s="705"/>
      <c r="AR376" s="705"/>
      <c r="AS376" s="705"/>
      <c r="AT376" s="705"/>
      <c r="AU376" s="705"/>
      <c r="AV376" s="705"/>
      <c r="AW376" s="705"/>
    </row>
    <row r="377" spans="1:49" s="683" customFormat="1" x14ac:dyDescent="0.2">
      <c r="A377" s="702" t="s">
        <v>499</v>
      </c>
      <c r="B377" s="705"/>
      <c r="C377" s="705"/>
      <c r="D377" s="705"/>
      <c r="E377" s="705"/>
      <c r="F377" s="705"/>
      <c r="G377" s="705"/>
      <c r="H377" s="705"/>
      <c r="I377" s="705"/>
      <c r="J377" s="705"/>
      <c r="K377" s="705"/>
      <c r="L377" s="705"/>
      <c r="M377" s="705"/>
      <c r="N377" s="705"/>
      <c r="O377" s="705"/>
      <c r="P377" s="705"/>
      <c r="Q377" s="705"/>
      <c r="R377" s="705"/>
      <c r="S377" s="705"/>
      <c r="T377" s="705"/>
      <c r="U377" s="705"/>
      <c r="V377" s="705"/>
      <c r="W377" s="705"/>
      <c r="X377" s="705"/>
      <c r="Y377" s="705"/>
      <c r="Z377" s="705"/>
      <c r="AA377" s="705"/>
      <c r="AB377" s="705"/>
      <c r="AC377" s="705"/>
      <c r="AD377" s="705"/>
      <c r="AE377" s="705"/>
      <c r="AF377" s="705"/>
      <c r="AG377" s="705"/>
      <c r="AH377" s="705"/>
      <c r="AI377" s="705"/>
      <c r="AJ377" s="705"/>
      <c r="AK377" s="705"/>
      <c r="AL377" s="705"/>
      <c r="AM377" s="705"/>
      <c r="AN377" s="705"/>
      <c r="AO377" s="705"/>
      <c r="AP377" s="705"/>
      <c r="AQ377" s="705"/>
      <c r="AR377" s="705"/>
      <c r="AS377" s="705"/>
      <c r="AT377" s="705"/>
      <c r="AU377" s="705"/>
      <c r="AV377" s="705"/>
      <c r="AW377" s="705"/>
    </row>
    <row r="378" spans="1:49" s="683" customFormat="1" ht="25.5" x14ac:dyDescent="0.2">
      <c r="A378" s="693" t="s">
        <v>513</v>
      </c>
      <c r="B378" s="705"/>
      <c r="C378" s="705"/>
      <c r="D378" s="705"/>
      <c r="E378" s="705"/>
      <c r="F378" s="705"/>
      <c r="G378" s="705"/>
      <c r="H378" s="705"/>
      <c r="I378" s="705"/>
      <c r="J378" s="705"/>
      <c r="K378" s="705"/>
      <c r="L378" s="705"/>
      <c r="M378" s="705"/>
      <c r="N378" s="705"/>
      <c r="O378" s="705"/>
      <c r="P378" s="705"/>
      <c r="Q378" s="705"/>
      <c r="R378" s="705"/>
      <c r="S378" s="705"/>
      <c r="T378" s="705"/>
      <c r="U378" s="705"/>
      <c r="V378" s="705"/>
      <c r="W378" s="705"/>
      <c r="X378" s="705"/>
      <c r="Y378" s="705"/>
      <c r="Z378" s="705"/>
      <c r="AA378" s="705"/>
      <c r="AB378" s="705"/>
      <c r="AC378" s="705"/>
      <c r="AD378" s="705"/>
      <c r="AE378" s="705"/>
      <c r="AF378" s="705"/>
      <c r="AG378" s="705"/>
      <c r="AH378" s="705"/>
      <c r="AI378" s="705"/>
      <c r="AJ378" s="705"/>
      <c r="AK378" s="705"/>
      <c r="AL378" s="705"/>
      <c r="AM378" s="705"/>
      <c r="AN378" s="705"/>
      <c r="AO378" s="705"/>
      <c r="AP378" s="705"/>
      <c r="AQ378" s="705"/>
      <c r="AR378" s="705"/>
      <c r="AS378" s="705"/>
      <c r="AT378" s="705"/>
      <c r="AU378" s="705"/>
      <c r="AV378" s="705"/>
      <c r="AW378" s="705"/>
    </row>
    <row r="379" spans="1:49" s="683" customFormat="1" ht="45" x14ac:dyDescent="0.25">
      <c r="A379" s="712" t="s">
        <v>267</v>
      </c>
      <c r="B379" s="700" t="s">
        <v>515</v>
      </c>
      <c r="C379" s="692"/>
      <c r="D379" s="705"/>
      <c r="E379" s="705"/>
      <c r="F379" s="705"/>
      <c r="G379" s="705"/>
      <c r="H379" s="705"/>
      <c r="I379" s="705"/>
      <c r="J379" s="705"/>
      <c r="K379" s="705"/>
      <c r="L379" s="705"/>
      <c r="M379" s="705"/>
      <c r="N379" s="705"/>
      <c r="O379" s="705"/>
      <c r="P379" s="705"/>
      <c r="Q379" s="705"/>
      <c r="R379" s="705"/>
      <c r="S379" s="705"/>
      <c r="T379" s="705"/>
      <c r="U379" s="705"/>
      <c r="V379" s="705"/>
      <c r="W379" s="705"/>
      <c r="X379" s="705"/>
      <c r="Y379" s="705"/>
      <c r="Z379" s="705"/>
      <c r="AA379" s="705"/>
      <c r="AB379" s="705"/>
      <c r="AC379" s="705"/>
      <c r="AD379" s="705"/>
      <c r="AE379" s="705"/>
      <c r="AF379" s="705"/>
      <c r="AG379" s="705"/>
      <c r="AH379" s="705"/>
      <c r="AI379" s="705"/>
      <c r="AJ379" s="705"/>
      <c r="AK379" s="705"/>
      <c r="AL379" s="705"/>
      <c r="AM379" s="705"/>
      <c r="AN379" s="705"/>
      <c r="AO379" s="705"/>
      <c r="AP379" s="705"/>
      <c r="AQ379" s="705"/>
      <c r="AR379" s="705"/>
      <c r="AS379" s="705"/>
      <c r="AT379" s="705"/>
      <c r="AU379" s="705"/>
      <c r="AV379" s="705"/>
      <c r="AW379" s="705"/>
    </row>
    <row r="380" spans="1:49" s="683" customFormat="1" x14ac:dyDescent="0.2">
      <c r="A380" s="693" t="s">
        <v>131</v>
      </c>
      <c r="B380" s="705"/>
      <c r="C380" s="705"/>
      <c r="D380" s="705"/>
      <c r="E380" s="705"/>
      <c r="F380" s="705"/>
      <c r="G380" s="705"/>
      <c r="H380" s="705"/>
      <c r="I380" s="705"/>
      <c r="J380" s="705"/>
      <c r="K380" s="705"/>
      <c r="L380" s="705"/>
      <c r="M380" s="705"/>
      <c r="N380" s="705"/>
      <c r="O380" s="705"/>
      <c r="P380" s="705"/>
      <c r="Q380" s="705"/>
      <c r="R380" s="705"/>
      <c r="S380" s="705"/>
      <c r="T380" s="705"/>
      <c r="U380" s="705"/>
      <c r="V380" s="705"/>
      <c r="W380" s="705"/>
      <c r="X380" s="705"/>
      <c r="Y380" s="705"/>
      <c r="Z380" s="705"/>
      <c r="AA380" s="705"/>
      <c r="AB380" s="705"/>
      <c r="AC380" s="705"/>
      <c r="AD380" s="705"/>
      <c r="AE380" s="705"/>
      <c r="AF380" s="705"/>
      <c r="AG380" s="705"/>
      <c r="AH380" s="705"/>
      <c r="AI380" s="705"/>
      <c r="AJ380" s="705"/>
      <c r="AK380" s="705"/>
      <c r="AL380" s="705"/>
      <c r="AM380" s="705"/>
      <c r="AN380" s="705"/>
      <c r="AO380" s="705"/>
      <c r="AP380" s="705"/>
      <c r="AQ380" s="705"/>
      <c r="AR380" s="705"/>
      <c r="AS380" s="705"/>
      <c r="AT380" s="705"/>
      <c r="AU380" s="705"/>
      <c r="AV380" s="705"/>
      <c r="AW380" s="705"/>
    </row>
    <row r="381" spans="1:49" s="683" customFormat="1" x14ac:dyDescent="0.2">
      <c r="A381" s="693" t="s">
        <v>184</v>
      </c>
      <c r="B381" s="705"/>
      <c r="C381" s="705"/>
      <c r="D381" s="705"/>
      <c r="E381" s="705"/>
      <c r="F381" s="705"/>
      <c r="G381" s="705"/>
      <c r="H381" s="705"/>
      <c r="I381" s="705"/>
      <c r="J381" s="705"/>
      <c r="K381" s="705"/>
      <c r="L381" s="705"/>
      <c r="M381" s="705"/>
      <c r="N381" s="705"/>
      <c r="O381" s="705"/>
      <c r="P381" s="705"/>
      <c r="Q381" s="705"/>
      <c r="R381" s="705"/>
      <c r="S381" s="705"/>
      <c r="T381" s="705"/>
      <c r="U381" s="705"/>
      <c r="V381" s="705"/>
      <c r="W381" s="705"/>
      <c r="X381" s="705"/>
      <c r="Y381" s="705"/>
      <c r="Z381" s="705"/>
      <c r="AA381" s="705"/>
      <c r="AB381" s="705"/>
      <c r="AC381" s="705"/>
      <c r="AD381" s="705"/>
      <c r="AE381" s="705"/>
      <c r="AF381" s="705"/>
      <c r="AG381" s="705"/>
      <c r="AH381" s="705"/>
      <c r="AI381" s="705"/>
      <c r="AJ381" s="705"/>
      <c r="AK381" s="705"/>
      <c r="AL381" s="705"/>
      <c r="AM381" s="705"/>
      <c r="AN381" s="705"/>
      <c r="AO381" s="705"/>
      <c r="AP381" s="705"/>
      <c r="AQ381" s="705"/>
      <c r="AR381" s="705"/>
      <c r="AS381" s="705"/>
      <c r="AT381" s="705"/>
      <c r="AU381" s="705"/>
      <c r="AV381" s="705"/>
      <c r="AW381" s="705"/>
    </row>
    <row r="382" spans="1:49" s="683" customFormat="1" x14ac:dyDescent="0.2">
      <c r="A382" s="702" t="s">
        <v>490</v>
      </c>
      <c r="B382" s="705"/>
      <c r="C382" s="705">
        <f>SUM(C333-B333)*-1</f>
        <v>2</v>
      </c>
      <c r="D382" s="705">
        <f>SUM(D333-C333)*-1</f>
        <v>2</v>
      </c>
      <c r="E382" s="705">
        <f>SUM(E333-D333)*-1</f>
        <v>66</v>
      </c>
      <c r="F382" s="705">
        <f>SUM(F333-E333)*-1</f>
        <v>24</v>
      </c>
      <c r="G382" s="705">
        <f t="shared" ref="G382:W382" si="47">SUM(G333-F333)</f>
        <v>78</v>
      </c>
      <c r="H382" s="705">
        <f>SUM(H333-G333)*-1</f>
        <v>49</v>
      </c>
      <c r="I382" s="705">
        <f>SUM(I333-H333)*-1</f>
        <v>68</v>
      </c>
      <c r="J382" s="705">
        <f t="shared" ref="J382" si="48">SUM(J333-I333)</f>
        <v>9</v>
      </c>
      <c r="K382" s="705">
        <f>SUM(K333-J333)*-1</f>
        <v>5</v>
      </c>
      <c r="L382" s="705">
        <f t="shared" ref="L382" si="49">SUM(L333-K333)</f>
        <v>14</v>
      </c>
      <c r="M382" s="705">
        <f>SUM(M333-L333)*-1</f>
        <v>6</v>
      </c>
      <c r="N382" s="705">
        <f t="shared" ref="N382" si="50">SUM(N333-M333)</f>
        <v>189</v>
      </c>
      <c r="O382" s="705">
        <f>SUM(O333-N333)*-1</f>
        <v>36</v>
      </c>
      <c r="P382" s="705">
        <f t="shared" ref="P382" si="51">SUM(P333-O333)</f>
        <v>20</v>
      </c>
      <c r="Q382" s="705">
        <f>SUM(Q333-P333)*-1</f>
        <v>143</v>
      </c>
      <c r="R382" s="705">
        <f t="shared" ref="R382" si="52">SUM(R333-Q333)</f>
        <v>0</v>
      </c>
      <c r="S382" s="705">
        <f>SUM(S333-R333)*-1</f>
        <v>28</v>
      </c>
      <c r="T382" s="705">
        <f t="shared" ref="T382" si="53">SUM(T333-S333)</f>
        <v>11</v>
      </c>
      <c r="U382" s="705">
        <f>SUM(U333-T333)*-1</f>
        <v>5</v>
      </c>
      <c r="V382" s="705">
        <f t="shared" si="47"/>
        <v>47</v>
      </c>
      <c r="W382" s="705">
        <f t="shared" si="47"/>
        <v>26</v>
      </c>
      <c r="X382" s="705">
        <f>SUM(X333-W333)*-1</f>
        <v>65</v>
      </c>
      <c r="Y382" s="705">
        <f>SUM(Y333-X333)*-1</f>
        <v>8</v>
      </c>
      <c r="Z382" s="705">
        <f>SUM(Z333-Y333)</f>
        <v>45</v>
      </c>
      <c r="AA382" s="705">
        <f>SUM(AA333-Z333)*-1</f>
        <v>28</v>
      </c>
      <c r="AB382" s="705">
        <f>SUM(AB333-AA333)</f>
        <v>2</v>
      </c>
      <c r="AC382" s="705">
        <f>SUM(AC333-AB333)</f>
        <v>24</v>
      </c>
      <c r="AD382" s="705">
        <f>SUM(AD333-AC333)*-1</f>
        <v>29</v>
      </c>
      <c r="AE382" s="692" t="s">
        <v>385</v>
      </c>
      <c r="AF382" s="692" t="s">
        <v>385</v>
      </c>
      <c r="AG382" s="692" t="s">
        <v>385</v>
      </c>
      <c r="AH382" s="692" t="s">
        <v>385</v>
      </c>
      <c r="AI382" s="692" t="s">
        <v>385</v>
      </c>
      <c r="AJ382" s="692" t="s">
        <v>385</v>
      </c>
      <c r="AK382" s="692" t="s">
        <v>385</v>
      </c>
      <c r="AL382" s="692" t="s">
        <v>385</v>
      </c>
      <c r="AM382" s="692" t="s">
        <v>385</v>
      </c>
      <c r="AN382" s="692" t="s">
        <v>385</v>
      </c>
      <c r="AO382" s="692" t="s">
        <v>385</v>
      </c>
      <c r="AP382" s="692" t="s">
        <v>385</v>
      </c>
      <c r="AQ382" s="692" t="s">
        <v>385</v>
      </c>
      <c r="AR382" s="692" t="s">
        <v>385</v>
      </c>
      <c r="AS382" s="692" t="s">
        <v>385</v>
      </c>
      <c r="AT382" s="692" t="s">
        <v>385</v>
      </c>
      <c r="AU382" s="692" t="s">
        <v>385</v>
      </c>
      <c r="AV382" s="692" t="s">
        <v>385</v>
      </c>
      <c r="AW382" s="692" t="s">
        <v>385</v>
      </c>
    </row>
    <row r="383" spans="1:49" s="683" customFormat="1" ht="53.25" x14ac:dyDescent="0.2">
      <c r="A383" s="703" t="s">
        <v>521</v>
      </c>
      <c r="B383" s="705"/>
      <c r="C383" s="705"/>
      <c r="D383" s="705"/>
      <c r="E383" s="705"/>
      <c r="F383" s="705"/>
      <c r="G383" s="705"/>
      <c r="H383" s="705"/>
      <c r="I383" s="705"/>
      <c r="J383" s="705"/>
      <c r="K383" s="705"/>
      <c r="L383" s="705"/>
      <c r="M383" s="705"/>
      <c r="N383" s="705"/>
      <c r="O383" s="705"/>
      <c r="P383" s="705"/>
      <c r="Q383" s="705"/>
      <c r="R383" s="705"/>
      <c r="S383" s="705"/>
      <c r="T383" s="705"/>
      <c r="U383" s="705"/>
      <c r="V383" s="705"/>
      <c r="W383" s="705"/>
      <c r="X383" s="705"/>
      <c r="Y383" s="705"/>
      <c r="Z383" s="705"/>
      <c r="AA383" s="705"/>
      <c r="AB383" s="705"/>
      <c r="AC383" s="705"/>
      <c r="AD383" s="705"/>
      <c r="AE383" s="705"/>
      <c r="AF383" s="705"/>
      <c r="AG383" s="705"/>
      <c r="AH383" s="705"/>
      <c r="AI383" s="705"/>
      <c r="AJ383" s="705"/>
      <c r="AK383" s="705"/>
      <c r="AL383" s="705"/>
      <c r="AM383" s="705"/>
      <c r="AN383" s="705"/>
      <c r="AO383" s="705"/>
      <c r="AP383" s="705"/>
      <c r="AQ383" s="705"/>
      <c r="AR383" s="705"/>
      <c r="AS383" s="705"/>
      <c r="AT383" s="705"/>
      <c r="AU383" s="705"/>
      <c r="AV383" s="705"/>
      <c r="AW383" s="705"/>
    </row>
    <row r="384" spans="1:49" s="683" customFormat="1" x14ac:dyDescent="0.2">
      <c r="A384" s="674" t="s">
        <v>492</v>
      </c>
      <c r="B384" s="710">
        <f t="shared" ref="B384:AW384" si="54">AVERAGE($B$333:$AW$333)</f>
        <v>77.241379310344826</v>
      </c>
      <c r="C384" s="710">
        <f t="shared" si="54"/>
        <v>77.241379310344826</v>
      </c>
      <c r="D384" s="710">
        <f t="shared" si="54"/>
        <v>77.241379310344826</v>
      </c>
      <c r="E384" s="710">
        <f t="shared" si="54"/>
        <v>77.241379310344826</v>
      </c>
      <c r="F384" s="710">
        <f t="shared" si="54"/>
        <v>77.241379310344826</v>
      </c>
      <c r="G384" s="710">
        <f t="shared" si="54"/>
        <v>77.241379310344826</v>
      </c>
      <c r="H384" s="710">
        <f t="shared" si="54"/>
        <v>77.241379310344826</v>
      </c>
      <c r="I384" s="710">
        <f t="shared" si="54"/>
        <v>77.241379310344826</v>
      </c>
      <c r="J384" s="710">
        <f t="shared" si="54"/>
        <v>77.241379310344826</v>
      </c>
      <c r="K384" s="710">
        <f t="shared" si="54"/>
        <v>77.241379310344826</v>
      </c>
      <c r="L384" s="710">
        <f t="shared" si="54"/>
        <v>77.241379310344826</v>
      </c>
      <c r="M384" s="710">
        <f t="shared" si="54"/>
        <v>77.241379310344826</v>
      </c>
      <c r="N384" s="710">
        <f t="shared" si="54"/>
        <v>77.241379310344826</v>
      </c>
      <c r="O384" s="710">
        <f t="shared" si="54"/>
        <v>77.241379310344826</v>
      </c>
      <c r="P384" s="710">
        <f t="shared" si="54"/>
        <v>77.241379310344826</v>
      </c>
      <c r="Q384" s="710">
        <f t="shared" si="54"/>
        <v>77.241379310344826</v>
      </c>
      <c r="R384" s="710">
        <f t="shared" si="54"/>
        <v>77.241379310344826</v>
      </c>
      <c r="S384" s="710">
        <f t="shared" si="54"/>
        <v>77.241379310344826</v>
      </c>
      <c r="T384" s="710">
        <f t="shared" si="54"/>
        <v>77.241379310344826</v>
      </c>
      <c r="U384" s="710">
        <f t="shared" si="54"/>
        <v>77.241379310344826</v>
      </c>
      <c r="V384" s="710">
        <f t="shared" si="54"/>
        <v>77.241379310344826</v>
      </c>
      <c r="W384" s="710">
        <f t="shared" si="54"/>
        <v>77.241379310344826</v>
      </c>
      <c r="X384" s="710">
        <f t="shared" si="54"/>
        <v>77.241379310344826</v>
      </c>
      <c r="Y384" s="710">
        <f t="shared" si="54"/>
        <v>77.241379310344826</v>
      </c>
      <c r="Z384" s="710">
        <f t="shared" si="54"/>
        <v>77.241379310344826</v>
      </c>
      <c r="AA384" s="710">
        <f t="shared" si="54"/>
        <v>77.241379310344826</v>
      </c>
      <c r="AB384" s="710">
        <f t="shared" si="54"/>
        <v>77.241379310344826</v>
      </c>
      <c r="AC384" s="710">
        <f t="shared" si="54"/>
        <v>77.241379310344826</v>
      </c>
      <c r="AD384" s="710">
        <f t="shared" si="54"/>
        <v>77.241379310344826</v>
      </c>
      <c r="AE384" s="710">
        <f t="shared" si="54"/>
        <v>77.241379310344826</v>
      </c>
      <c r="AF384" s="710">
        <f t="shared" si="54"/>
        <v>77.241379310344826</v>
      </c>
      <c r="AG384" s="710">
        <f t="shared" si="54"/>
        <v>77.241379310344826</v>
      </c>
      <c r="AH384" s="710">
        <f t="shared" si="54"/>
        <v>77.241379310344826</v>
      </c>
      <c r="AI384" s="710">
        <f t="shared" si="54"/>
        <v>77.241379310344826</v>
      </c>
      <c r="AJ384" s="710">
        <f t="shared" si="54"/>
        <v>77.241379310344826</v>
      </c>
      <c r="AK384" s="710">
        <f t="shared" si="54"/>
        <v>77.241379310344826</v>
      </c>
      <c r="AL384" s="710">
        <f t="shared" si="54"/>
        <v>77.241379310344826</v>
      </c>
      <c r="AM384" s="710">
        <f t="shared" si="54"/>
        <v>77.241379310344826</v>
      </c>
      <c r="AN384" s="710">
        <f t="shared" si="54"/>
        <v>77.241379310344826</v>
      </c>
      <c r="AO384" s="710">
        <f t="shared" si="54"/>
        <v>77.241379310344826</v>
      </c>
      <c r="AP384" s="710">
        <f t="shared" si="54"/>
        <v>77.241379310344826</v>
      </c>
      <c r="AQ384" s="710">
        <f t="shared" si="54"/>
        <v>77.241379310344826</v>
      </c>
      <c r="AR384" s="710">
        <f t="shared" si="54"/>
        <v>77.241379310344826</v>
      </c>
      <c r="AS384" s="710">
        <f t="shared" si="54"/>
        <v>77.241379310344826</v>
      </c>
      <c r="AT384" s="710">
        <f t="shared" si="54"/>
        <v>77.241379310344826</v>
      </c>
      <c r="AU384" s="710">
        <f t="shared" si="54"/>
        <v>77.241379310344826</v>
      </c>
      <c r="AV384" s="710">
        <f t="shared" si="54"/>
        <v>77.241379310344826</v>
      </c>
      <c r="AW384" s="710">
        <f t="shared" si="54"/>
        <v>77.241379310344826</v>
      </c>
    </row>
    <row r="385" spans="1:49" s="683" customFormat="1" x14ac:dyDescent="0.2">
      <c r="A385" s="702" t="s">
        <v>491</v>
      </c>
      <c r="B385" s="710">
        <f>SUM(C382:AW382)/(COUNT(C382:AW382))</f>
        <v>36.75</v>
      </c>
      <c r="C385" s="705"/>
      <c r="D385" s="705"/>
      <c r="E385" s="705"/>
      <c r="F385" s="705"/>
      <c r="G385" s="705"/>
      <c r="H385" s="705"/>
      <c r="I385" s="705"/>
      <c r="J385" s="705"/>
      <c r="K385" s="705"/>
      <c r="L385" s="705"/>
      <c r="M385" s="705"/>
      <c r="N385" s="705"/>
      <c r="O385" s="705"/>
      <c r="P385" s="705"/>
      <c r="Q385" s="705"/>
      <c r="R385" s="705"/>
      <c r="S385" s="705"/>
      <c r="T385" s="705"/>
      <c r="U385" s="705"/>
      <c r="V385" s="705"/>
      <c r="W385" s="705"/>
      <c r="X385" s="705"/>
      <c r="Y385" s="705"/>
      <c r="Z385" s="705"/>
      <c r="AA385" s="705"/>
      <c r="AB385" s="705"/>
      <c r="AC385" s="705"/>
      <c r="AD385" s="705"/>
      <c r="AE385" s="705"/>
      <c r="AF385" s="705"/>
      <c r="AG385" s="705"/>
      <c r="AH385" s="705"/>
      <c r="AI385" s="705"/>
      <c r="AJ385" s="705"/>
      <c r="AK385" s="705"/>
      <c r="AL385" s="705"/>
      <c r="AM385" s="705"/>
      <c r="AN385" s="705"/>
      <c r="AO385" s="705"/>
      <c r="AP385" s="705"/>
      <c r="AQ385" s="705"/>
      <c r="AR385" s="705"/>
      <c r="AS385" s="705"/>
      <c r="AT385" s="705"/>
      <c r="AU385" s="705"/>
      <c r="AV385" s="705"/>
      <c r="AW385" s="705"/>
    </row>
    <row r="386" spans="1:49" s="683" customFormat="1" ht="25.5" x14ac:dyDescent="0.2">
      <c r="A386" s="702" t="s">
        <v>494</v>
      </c>
      <c r="B386" s="710">
        <f>B385/1.128</f>
        <v>32.579787234042556</v>
      </c>
      <c r="C386" s="705"/>
      <c r="D386" s="705"/>
      <c r="E386" s="705"/>
      <c r="F386" s="705"/>
      <c r="G386" s="705"/>
      <c r="H386" s="705"/>
      <c r="I386" s="705"/>
      <c r="J386" s="705"/>
      <c r="K386" s="705"/>
      <c r="L386" s="705"/>
      <c r="M386" s="705"/>
      <c r="N386" s="705"/>
      <c r="O386" s="705"/>
      <c r="P386" s="705"/>
      <c r="Q386" s="705"/>
      <c r="R386" s="705"/>
      <c r="S386" s="705"/>
      <c r="T386" s="705"/>
      <c r="U386" s="705"/>
      <c r="V386" s="705"/>
      <c r="W386" s="705"/>
      <c r="X386" s="705"/>
      <c r="Y386" s="705"/>
      <c r="Z386" s="705"/>
      <c r="AA386" s="705"/>
      <c r="AB386" s="705"/>
      <c r="AC386" s="705"/>
      <c r="AD386" s="705"/>
      <c r="AE386" s="705"/>
      <c r="AF386" s="705"/>
      <c r="AG386" s="705"/>
      <c r="AH386" s="705"/>
      <c r="AI386" s="705"/>
      <c r="AJ386" s="705"/>
      <c r="AK386" s="705"/>
      <c r="AL386" s="705"/>
      <c r="AM386" s="705"/>
      <c r="AN386" s="705"/>
      <c r="AO386" s="705"/>
      <c r="AP386" s="705"/>
      <c r="AQ386" s="705"/>
      <c r="AR386" s="705"/>
      <c r="AS386" s="705"/>
      <c r="AT386" s="705"/>
      <c r="AU386" s="705"/>
      <c r="AV386" s="705"/>
      <c r="AW386" s="705"/>
    </row>
    <row r="387" spans="1:49" s="683" customFormat="1" x14ac:dyDescent="0.2">
      <c r="A387" s="711" t="s">
        <v>497</v>
      </c>
      <c r="B387" s="710">
        <f t="shared" ref="B387:AW387" si="55">$B$384+(3*$B$386)</f>
        <v>174.98074101247249</v>
      </c>
      <c r="C387" s="710">
        <f t="shared" si="55"/>
        <v>174.98074101247249</v>
      </c>
      <c r="D387" s="710">
        <f t="shared" si="55"/>
        <v>174.98074101247249</v>
      </c>
      <c r="E387" s="710">
        <f t="shared" si="55"/>
        <v>174.98074101247249</v>
      </c>
      <c r="F387" s="710">
        <f t="shared" si="55"/>
        <v>174.98074101247249</v>
      </c>
      <c r="G387" s="710">
        <f t="shared" si="55"/>
        <v>174.98074101247249</v>
      </c>
      <c r="H387" s="710">
        <f t="shared" si="55"/>
        <v>174.98074101247249</v>
      </c>
      <c r="I387" s="710">
        <f t="shared" si="55"/>
        <v>174.98074101247249</v>
      </c>
      <c r="J387" s="710">
        <f t="shared" si="55"/>
        <v>174.98074101247249</v>
      </c>
      <c r="K387" s="710">
        <f t="shared" si="55"/>
        <v>174.98074101247249</v>
      </c>
      <c r="L387" s="710">
        <f t="shared" si="55"/>
        <v>174.98074101247249</v>
      </c>
      <c r="M387" s="710">
        <f t="shared" si="55"/>
        <v>174.98074101247249</v>
      </c>
      <c r="N387" s="710">
        <f t="shared" si="55"/>
        <v>174.98074101247249</v>
      </c>
      <c r="O387" s="710">
        <f t="shared" si="55"/>
        <v>174.98074101247249</v>
      </c>
      <c r="P387" s="710">
        <f t="shared" si="55"/>
        <v>174.98074101247249</v>
      </c>
      <c r="Q387" s="710">
        <f t="shared" si="55"/>
        <v>174.98074101247249</v>
      </c>
      <c r="R387" s="710">
        <f t="shared" si="55"/>
        <v>174.98074101247249</v>
      </c>
      <c r="S387" s="710">
        <f t="shared" si="55"/>
        <v>174.98074101247249</v>
      </c>
      <c r="T387" s="710">
        <f t="shared" si="55"/>
        <v>174.98074101247249</v>
      </c>
      <c r="U387" s="710">
        <f t="shared" si="55"/>
        <v>174.98074101247249</v>
      </c>
      <c r="V387" s="710">
        <f t="shared" si="55"/>
        <v>174.98074101247249</v>
      </c>
      <c r="W387" s="710">
        <f t="shared" si="55"/>
        <v>174.98074101247249</v>
      </c>
      <c r="X387" s="710">
        <f t="shared" si="55"/>
        <v>174.98074101247249</v>
      </c>
      <c r="Y387" s="710">
        <f t="shared" si="55"/>
        <v>174.98074101247249</v>
      </c>
      <c r="Z387" s="710">
        <f t="shared" si="55"/>
        <v>174.98074101247249</v>
      </c>
      <c r="AA387" s="710">
        <f t="shared" si="55"/>
        <v>174.98074101247249</v>
      </c>
      <c r="AB387" s="710">
        <f t="shared" si="55"/>
        <v>174.98074101247249</v>
      </c>
      <c r="AC387" s="710">
        <f t="shared" si="55"/>
        <v>174.98074101247249</v>
      </c>
      <c r="AD387" s="710">
        <f t="shared" si="55"/>
        <v>174.98074101247249</v>
      </c>
      <c r="AE387" s="710">
        <f t="shared" si="55"/>
        <v>174.98074101247249</v>
      </c>
      <c r="AF387" s="710">
        <f t="shared" si="55"/>
        <v>174.98074101247249</v>
      </c>
      <c r="AG387" s="710">
        <f t="shared" si="55"/>
        <v>174.98074101247249</v>
      </c>
      <c r="AH387" s="710">
        <f t="shared" si="55"/>
        <v>174.98074101247249</v>
      </c>
      <c r="AI387" s="710">
        <f t="shared" si="55"/>
        <v>174.98074101247249</v>
      </c>
      <c r="AJ387" s="710">
        <f t="shared" si="55"/>
        <v>174.98074101247249</v>
      </c>
      <c r="AK387" s="710">
        <f t="shared" si="55"/>
        <v>174.98074101247249</v>
      </c>
      <c r="AL387" s="710">
        <f t="shared" si="55"/>
        <v>174.98074101247249</v>
      </c>
      <c r="AM387" s="710">
        <f t="shared" si="55"/>
        <v>174.98074101247249</v>
      </c>
      <c r="AN387" s="710">
        <f t="shared" si="55"/>
        <v>174.98074101247249</v>
      </c>
      <c r="AO387" s="710">
        <f t="shared" si="55"/>
        <v>174.98074101247249</v>
      </c>
      <c r="AP387" s="710">
        <f t="shared" si="55"/>
        <v>174.98074101247249</v>
      </c>
      <c r="AQ387" s="710">
        <f t="shared" si="55"/>
        <v>174.98074101247249</v>
      </c>
      <c r="AR387" s="710">
        <f t="shared" si="55"/>
        <v>174.98074101247249</v>
      </c>
      <c r="AS387" s="710">
        <f t="shared" si="55"/>
        <v>174.98074101247249</v>
      </c>
      <c r="AT387" s="710">
        <f t="shared" si="55"/>
        <v>174.98074101247249</v>
      </c>
      <c r="AU387" s="710">
        <f t="shared" si="55"/>
        <v>174.98074101247249</v>
      </c>
      <c r="AV387" s="710">
        <f t="shared" si="55"/>
        <v>174.98074101247249</v>
      </c>
      <c r="AW387" s="710">
        <f t="shared" si="55"/>
        <v>174.98074101247249</v>
      </c>
    </row>
    <row r="388" spans="1:49" s="683" customFormat="1" x14ac:dyDescent="0.2">
      <c r="A388" s="711" t="s">
        <v>499</v>
      </c>
      <c r="B388" s="710">
        <f t="shared" ref="B388:AW388" si="56">$B$384-(3*$B$386)</f>
        <v>-20.497982391782841</v>
      </c>
      <c r="C388" s="710">
        <f t="shared" si="56"/>
        <v>-20.497982391782841</v>
      </c>
      <c r="D388" s="710">
        <f t="shared" si="56"/>
        <v>-20.497982391782841</v>
      </c>
      <c r="E388" s="710">
        <f t="shared" si="56"/>
        <v>-20.497982391782841</v>
      </c>
      <c r="F388" s="710">
        <f t="shared" si="56"/>
        <v>-20.497982391782841</v>
      </c>
      <c r="G388" s="710">
        <f t="shared" si="56"/>
        <v>-20.497982391782841</v>
      </c>
      <c r="H388" s="710">
        <f t="shared" si="56"/>
        <v>-20.497982391782841</v>
      </c>
      <c r="I388" s="710">
        <f t="shared" si="56"/>
        <v>-20.497982391782841</v>
      </c>
      <c r="J388" s="710">
        <f t="shared" si="56"/>
        <v>-20.497982391782841</v>
      </c>
      <c r="K388" s="710">
        <f t="shared" si="56"/>
        <v>-20.497982391782841</v>
      </c>
      <c r="L388" s="710">
        <f t="shared" si="56"/>
        <v>-20.497982391782841</v>
      </c>
      <c r="M388" s="710">
        <f t="shared" si="56"/>
        <v>-20.497982391782841</v>
      </c>
      <c r="N388" s="710">
        <f t="shared" si="56"/>
        <v>-20.497982391782841</v>
      </c>
      <c r="O388" s="710">
        <f t="shared" si="56"/>
        <v>-20.497982391782841</v>
      </c>
      <c r="P388" s="710">
        <f t="shared" si="56"/>
        <v>-20.497982391782841</v>
      </c>
      <c r="Q388" s="710">
        <f t="shared" si="56"/>
        <v>-20.497982391782841</v>
      </c>
      <c r="R388" s="710">
        <f t="shared" si="56"/>
        <v>-20.497982391782841</v>
      </c>
      <c r="S388" s="710">
        <f t="shared" si="56"/>
        <v>-20.497982391782841</v>
      </c>
      <c r="T388" s="710">
        <f t="shared" si="56"/>
        <v>-20.497982391782841</v>
      </c>
      <c r="U388" s="710">
        <f t="shared" si="56"/>
        <v>-20.497982391782841</v>
      </c>
      <c r="V388" s="710">
        <f t="shared" si="56"/>
        <v>-20.497982391782841</v>
      </c>
      <c r="W388" s="710">
        <f t="shared" si="56"/>
        <v>-20.497982391782841</v>
      </c>
      <c r="X388" s="710">
        <f t="shared" si="56"/>
        <v>-20.497982391782841</v>
      </c>
      <c r="Y388" s="710">
        <f t="shared" si="56"/>
        <v>-20.497982391782841</v>
      </c>
      <c r="Z388" s="710">
        <f t="shared" si="56"/>
        <v>-20.497982391782841</v>
      </c>
      <c r="AA388" s="710">
        <f t="shared" si="56"/>
        <v>-20.497982391782841</v>
      </c>
      <c r="AB388" s="710">
        <f t="shared" si="56"/>
        <v>-20.497982391782841</v>
      </c>
      <c r="AC388" s="710">
        <f t="shared" si="56"/>
        <v>-20.497982391782841</v>
      </c>
      <c r="AD388" s="710">
        <f t="shared" si="56"/>
        <v>-20.497982391782841</v>
      </c>
      <c r="AE388" s="710">
        <f t="shared" si="56"/>
        <v>-20.497982391782841</v>
      </c>
      <c r="AF388" s="710">
        <f t="shared" si="56"/>
        <v>-20.497982391782841</v>
      </c>
      <c r="AG388" s="710">
        <f t="shared" si="56"/>
        <v>-20.497982391782841</v>
      </c>
      <c r="AH388" s="710">
        <f t="shared" si="56"/>
        <v>-20.497982391782841</v>
      </c>
      <c r="AI388" s="710">
        <f t="shared" si="56"/>
        <v>-20.497982391782841</v>
      </c>
      <c r="AJ388" s="710">
        <f t="shared" si="56"/>
        <v>-20.497982391782841</v>
      </c>
      <c r="AK388" s="710">
        <f t="shared" si="56"/>
        <v>-20.497982391782841</v>
      </c>
      <c r="AL388" s="710">
        <f t="shared" si="56"/>
        <v>-20.497982391782841</v>
      </c>
      <c r="AM388" s="710">
        <f t="shared" si="56"/>
        <v>-20.497982391782841</v>
      </c>
      <c r="AN388" s="710">
        <f t="shared" si="56"/>
        <v>-20.497982391782841</v>
      </c>
      <c r="AO388" s="710">
        <f t="shared" si="56"/>
        <v>-20.497982391782841</v>
      </c>
      <c r="AP388" s="710">
        <f t="shared" si="56"/>
        <v>-20.497982391782841</v>
      </c>
      <c r="AQ388" s="710">
        <f t="shared" si="56"/>
        <v>-20.497982391782841</v>
      </c>
      <c r="AR388" s="710">
        <f t="shared" si="56"/>
        <v>-20.497982391782841</v>
      </c>
      <c r="AS388" s="710">
        <f t="shared" si="56"/>
        <v>-20.497982391782841</v>
      </c>
      <c r="AT388" s="710">
        <f t="shared" si="56"/>
        <v>-20.497982391782841</v>
      </c>
      <c r="AU388" s="710">
        <f t="shared" si="56"/>
        <v>-20.497982391782841</v>
      </c>
      <c r="AV388" s="710">
        <f t="shared" si="56"/>
        <v>-20.497982391782841</v>
      </c>
      <c r="AW388" s="710">
        <f t="shared" si="56"/>
        <v>-20.497982391782841</v>
      </c>
    </row>
    <row r="389" spans="1:49" s="683" customFormat="1" ht="25.5" x14ac:dyDescent="0.2">
      <c r="A389" s="693" t="s">
        <v>513</v>
      </c>
      <c r="B389" s="705"/>
      <c r="C389" s="705"/>
      <c r="D389" s="705"/>
      <c r="E389" s="705"/>
      <c r="F389" s="705"/>
      <c r="G389" s="705"/>
      <c r="H389" s="705"/>
      <c r="I389" s="705"/>
      <c r="J389" s="705"/>
      <c r="K389" s="705"/>
      <c r="L389" s="705"/>
      <c r="M389" s="705"/>
      <c r="N389" s="705"/>
      <c r="O389" s="705"/>
      <c r="P389" s="705"/>
      <c r="Q389" s="705"/>
      <c r="R389" s="705"/>
      <c r="S389" s="705"/>
      <c r="T389" s="705"/>
      <c r="U389" s="705"/>
      <c r="V389" s="705"/>
      <c r="W389" s="705"/>
      <c r="X389" s="705"/>
      <c r="Y389" s="705"/>
      <c r="Z389" s="705"/>
      <c r="AA389" s="705"/>
      <c r="AB389" s="705"/>
      <c r="AC389" s="705"/>
      <c r="AD389" s="705"/>
      <c r="AE389" s="705"/>
      <c r="AF389" s="705"/>
      <c r="AG389" s="705"/>
      <c r="AH389" s="705"/>
      <c r="AI389" s="705"/>
      <c r="AJ389" s="705"/>
      <c r="AK389" s="705"/>
      <c r="AL389" s="705"/>
      <c r="AM389" s="705"/>
      <c r="AN389" s="705"/>
      <c r="AO389" s="705"/>
      <c r="AP389" s="705"/>
      <c r="AQ389" s="705"/>
      <c r="AR389" s="705"/>
      <c r="AS389" s="705"/>
      <c r="AT389" s="705"/>
      <c r="AU389" s="705"/>
      <c r="AV389" s="705"/>
      <c r="AW389" s="705"/>
    </row>
    <row r="390" spans="1:49" s="683" customFormat="1" x14ac:dyDescent="0.2">
      <c r="B390" s="705"/>
      <c r="C390" s="705"/>
      <c r="D390" s="705"/>
      <c r="E390" s="705"/>
      <c r="F390" s="705"/>
      <c r="G390" s="705"/>
      <c r="H390" s="705"/>
      <c r="I390" s="705"/>
      <c r="J390" s="705"/>
      <c r="K390" s="705"/>
      <c r="L390" s="705"/>
      <c r="M390" s="705"/>
      <c r="N390" s="705"/>
      <c r="O390" s="705"/>
      <c r="P390" s="705"/>
      <c r="Q390" s="705"/>
      <c r="R390" s="705"/>
      <c r="S390" s="705"/>
      <c r="T390" s="705"/>
      <c r="U390" s="705"/>
      <c r="V390" s="705"/>
      <c r="W390" s="705"/>
      <c r="X390" s="705"/>
      <c r="Y390" s="705"/>
      <c r="Z390" s="705"/>
      <c r="AA390" s="705"/>
      <c r="AB390" s="705"/>
      <c r="AC390" s="705"/>
      <c r="AD390" s="705"/>
      <c r="AE390" s="705"/>
      <c r="AF390" s="705"/>
      <c r="AG390" s="705"/>
      <c r="AH390" s="705"/>
      <c r="AI390" s="705"/>
      <c r="AJ390" s="705"/>
      <c r="AK390" s="705"/>
      <c r="AL390" s="705"/>
      <c r="AM390" s="705"/>
      <c r="AN390" s="705"/>
      <c r="AO390" s="705"/>
      <c r="AP390" s="705"/>
      <c r="AQ390" s="705"/>
      <c r="AR390" s="705"/>
      <c r="AS390" s="705"/>
      <c r="AT390" s="705"/>
      <c r="AU390" s="705"/>
      <c r="AV390" s="705"/>
      <c r="AW390" s="705"/>
    </row>
    <row r="391" spans="1:49" s="683" customFormat="1" x14ac:dyDescent="0.2">
      <c r="A391" s="674" t="s">
        <v>404</v>
      </c>
      <c r="B391" s="705"/>
      <c r="C391" s="705"/>
      <c r="D391" s="705"/>
      <c r="E391" s="705"/>
      <c r="F391" s="705"/>
      <c r="G391" s="705"/>
      <c r="H391" s="705"/>
      <c r="I391" s="705"/>
      <c r="J391" s="705"/>
      <c r="K391" s="705"/>
      <c r="L391" s="705"/>
      <c r="M391" s="705"/>
      <c r="N391" s="705"/>
      <c r="O391" s="705"/>
      <c r="P391" s="705"/>
      <c r="Q391" s="705"/>
      <c r="R391" s="705"/>
      <c r="S391" s="705"/>
      <c r="T391" s="705"/>
      <c r="U391" s="705"/>
      <c r="V391" s="705"/>
      <c r="W391" s="705"/>
      <c r="X391" s="705"/>
      <c r="Y391" s="705"/>
      <c r="Z391" s="705"/>
      <c r="AA391" s="705"/>
      <c r="AB391" s="705"/>
      <c r="AC391" s="705"/>
      <c r="AD391" s="705"/>
      <c r="AE391" s="705"/>
      <c r="AF391" s="705"/>
      <c r="AG391" s="705"/>
      <c r="AH391" s="705"/>
      <c r="AI391" s="705"/>
      <c r="AJ391" s="705"/>
      <c r="AK391" s="705"/>
      <c r="AL391" s="705"/>
      <c r="AM391" s="705"/>
      <c r="AN391" s="705"/>
      <c r="AO391" s="705"/>
      <c r="AP391" s="705"/>
      <c r="AQ391" s="705"/>
      <c r="AR391" s="705"/>
      <c r="AS391" s="705"/>
      <c r="AT391" s="705"/>
      <c r="AU391" s="705"/>
      <c r="AV391" s="705"/>
      <c r="AW391" s="705"/>
    </row>
    <row r="392" spans="1:49" s="683" customFormat="1" x14ac:dyDescent="0.2">
      <c r="A392" s="706"/>
      <c r="B392" s="697">
        <v>42095</v>
      </c>
      <c r="C392" s="697">
        <v>42125</v>
      </c>
      <c r="D392" s="697">
        <v>42156</v>
      </c>
      <c r="E392" s="697">
        <v>42186</v>
      </c>
      <c r="F392" s="697">
        <v>42217</v>
      </c>
      <c r="G392" s="697">
        <v>42248</v>
      </c>
      <c r="H392" s="697">
        <v>42278</v>
      </c>
      <c r="I392" s="698">
        <v>42309</v>
      </c>
      <c r="J392" s="698">
        <v>42339</v>
      </c>
      <c r="K392" s="698">
        <v>42370</v>
      </c>
      <c r="L392" s="698">
        <v>42401</v>
      </c>
      <c r="M392" s="698">
        <v>42430</v>
      </c>
      <c r="N392" s="698">
        <v>42461</v>
      </c>
      <c r="O392" s="698">
        <v>42491</v>
      </c>
      <c r="P392" s="698">
        <v>42522</v>
      </c>
      <c r="Q392" s="698">
        <v>42552</v>
      </c>
      <c r="R392" s="698">
        <v>42583</v>
      </c>
      <c r="S392" s="698">
        <v>42614</v>
      </c>
      <c r="T392" s="698">
        <v>42644</v>
      </c>
      <c r="U392" s="698">
        <v>42675</v>
      </c>
      <c r="V392" s="698">
        <v>42705</v>
      </c>
      <c r="W392" s="698">
        <v>42736</v>
      </c>
      <c r="X392" s="698">
        <v>42767</v>
      </c>
      <c r="Y392" s="698">
        <v>42795</v>
      </c>
      <c r="Z392" s="698">
        <v>42826</v>
      </c>
      <c r="AA392" s="697">
        <v>42856</v>
      </c>
      <c r="AB392" s="698">
        <v>42887</v>
      </c>
      <c r="AC392" s="697">
        <v>42917</v>
      </c>
      <c r="AD392" s="698">
        <v>42948</v>
      </c>
      <c r="AE392" s="697"/>
      <c r="AF392" s="697"/>
      <c r="AG392" s="698"/>
      <c r="AH392" s="698"/>
      <c r="AI392" s="698"/>
      <c r="AJ392" s="698"/>
      <c r="AK392" s="698"/>
      <c r="AL392" s="698"/>
      <c r="AM392" s="698"/>
      <c r="AN392" s="698"/>
      <c r="AO392" s="698"/>
      <c r="AP392" s="698"/>
      <c r="AQ392" s="698"/>
      <c r="AR392" s="698"/>
      <c r="AS392" s="698"/>
      <c r="AT392" s="698"/>
      <c r="AU392" s="698"/>
      <c r="AV392" s="698"/>
      <c r="AW392" s="698"/>
    </row>
    <row r="393" spans="1:49" s="683" customFormat="1" ht="25.5" x14ac:dyDescent="0.2">
      <c r="A393" s="693" t="s">
        <v>268</v>
      </c>
      <c r="B393" s="707">
        <f t="shared" ref="B393:AD393" si="57">B27</f>
        <v>0</v>
      </c>
      <c r="C393" s="707">
        <f t="shared" si="57"/>
        <v>0</v>
      </c>
      <c r="D393" s="707">
        <f t="shared" si="57"/>
        <v>0</v>
      </c>
      <c r="E393" s="707">
        <f t="shared" si="57"/>
        <v>0</v>
      </c>
      <c r="F393" s="707">
        <f t="shared" si="57"/>
        <v>0</v>
      </c>
      <c r="G393" s="707">
        <f t="shared" si="57"/>
        <v>0</v>
      </c>
      <c r="H393" s="707">
        <f t="shared" si="57"/>
        <v>11</v>
      </c>
      <c r="I393" s="707">
        <f t="shared" si="57"/>
        <v>22</v>
      </c>
      <c r="J393" s="707">
        <f t="shared" si="57"/>
        <v>29</v>
      </c>
      <c r="K393" s="707">
        <f t="shared" si="57"/>
        <v>55</v>
      </c>
      <c r="L393" s="707">
        <f t="shared" si="57"/>
        <v>27</v>
      </c>
      <c r="M393" s="707">
        <f t="shared" si="57"/>
        <v>29</v>
      </c>
      <c r="N393" s="707">
        <f t="shared" si="57"/>
        <v>47</v>
      </c>
      <c r="O393" s="707">
        <f t="shared" si="57"/>
        <v>26</v>
      </c>
      <c r="P393" s="707">
        <f t="shared" si="57"/>
        <v>6</v>
      </c>
      <c r="Q393" s="707">
        <f t="shared" si="57"/>
        <v>0</v>
      </c>
      <c r="R393" s="707">
        <f t="shared" si="57"/>
        <v>4</v>
      </c>
      <c r="S393" s="707">
        <f t="shared" si="57"/>
        <v>0</v>
      </c>
      <c r="T393" s="707">
        <f t="shared" si="57"/>
        <v>0</v>
      </c>
      <c r="U393" s="707">
        <f t="shared" si="57"/>
        <v>0</v>
      </c>
      <c r="V393" s="707">
        <f t="shared" si="57"/>
        <v>4</v>
      </c>
      <c r="W393" s="707">
        <f t="shared" si="57"/>
        <v>11</v>
      </c>
      <c r="X393" s="707">
        <f t="shared" si="57"/>
        <v>22</v>
      </c>
      <c r="Y393" s="707">
        <f t="shared" si="57"/>
        <v>11</v>
      </c>
      <c r="Z393" s="707">
        <f t="shared" si="57"/>
        <v>5</v>
      </c>
      <c r="AA393" s="707">
        <f t="shared" si="57"/>
        <v>5</v>
      </c>
      <c r="AB393" s="707">
        <f t="shared" si="57"/>
        <v>4</v>
      </c>
      <c r="AC393" s="707">
        <f t="shared" si="57"/>
        <v>0</v>
      </c>
      <c r="AD393" s="707">
        <f t="shared" si="57"/>
        <v>4</v>
      </c>
      <c r="AE393" s="707"/>
      <c r="AF393" s="707"/>
      <c r="AG393" s="695"/>
      <c r="AH393" s="695"/>
      <c r="AI393" s="695"/>
      <c r="AJ393" s="695"/>
      <c r="AK393" s="695"/>
      <c r="AL393" s="695"/>
      <c r="AM393" s="695"/>
      <c r="AN393" s="695"/>
      <c r="AO393" s="695"/>
      <c r="AP393" s="695"/>
      <c r="AQ393" s="695"/>
      <c r="AR393" s="695"/>
      <c r="AS393" s="695"/>
      <c r="AT393" s="695"/>
      <c r="AU393" s="695"/>
      <c r="AV393" s="695"/>
      <c r="AW393" s="695"/>
    </row>
    <row r="394" spans="1:49" s="683" customFormat="1" ht="25.5" x14ac:dyDescent="0.2">
      <c r="A394" s="693" t="s">
        <v>268</v>
      </c>
      <c r="B394" s="700" t="s">
        <v>515</v>
      </c>
      <c r="C394" s="692"/>
      <c r="D394" s="707"/>
      <c r="E394" s="707"/>
      <c r="F394" s="707"/>
      <c r="G394" s="707"/>
      <c r="H394" s="707"/>
      <c r="I394" s="695"/>
      <c r="J394" s="695"/>
      <c r="K394" s="695"/>
      <c r="L394" s="695"/>
      <c r="M394" s="695"/>
      <c r="N394" s="695"/>
      <c r="O394" s="695"/>
      <c r="P394" s="695"/>
      <c r="Q394" s="695"/>
      <c r="R394" s="695"/>
      <c r="S394" s="695"/>
      <c r="T394" s="695"/>
      <c r="U394" s="695"/>
      <c r="V394" s="695"/>
      <c r="W394" s="695"/>
      <c r="X394" s="695"/>
      <c r="Y394" s="695"/>
      <c r="Z394" s="707"/>
      <c r="AA394" s="707"/>
      <c r="AB394" s="707"/>
      <c r="AC394" s="707"/>
      <c r="AD394" s="707"/>
      <c r="AE394" s="707"/>
      <c r="AF394" s="707"/>
      <c r="AG394" s="695"/>
      <c r="AH394" s="695"/>
      <c r="AI394" s="695"/>
      <c r="AJ394" s="695"/>
      <c r="AK394" s="695"/>
      <c r="AL394" s="695"/>
      <c r="AM394" s="695"/>
      <c r="AN394" s="695"/>
      <c r="AO394" s="695"/>
      <c r="AP394" s="695"/>
      <c r="AQ394" s="695"/>
      <c r="AR394" s="695"/>
      <c r="AS394" s="695"/>
      <c r="AT394" s="695"/>
      <c r="AU394" s="695"/>
      <c r="AV394" s="695"/>
      <c r="AW394" s="695"/>
    </row>
    <row r="395" spans="1:49" s="683" customFormat="1" x14ac:dyDescent="0.2">
      <c r="A395" s="693" t="s">
        <v>131</v>
      </c>
      <c r="B395" s="707"/>
      <c r="C395" s="707"/>
      <c r="D395" s="707"/>
      <c r="E395" s="707"/>
      <c r="F395" s="707"/>
      <c r="G395" s="707"/>
      <c r="H395" s="707"/>
      <c r="I395" s="695"/>
      <c r="J395" s="695"/>
      <c r="K395" s="695"/>
      <c r="L395" s="695"/>
      <c r="M395" s="695"/>
      <c r="N395" s="695"/>
      <c r="O395" s="695"/>
      <c r="P395" s="695"/>
      <c r="Q395" s="695"/>
      <c r="R395" s="695"/>
      <c r="S395" s="695"/>
      <c r="T395" s="695"/>
      <c r="U395" s="695"/>
      <c r="V395" s="695"/>
      <c r="W395" s="695"/>
      <c r="X395" s="695"/>
      <c r="Y395" s="695"/>
      <c r="Z395" s="707"/>
      <c r="AA395" s="707"/>
      <c r="AB395" s="707"/>
      <c r="AC395" s="707"/>
      <c r="AD395" s="707"/>
      <c r="AE395" s="707"/>
      <c r="AF395" s="707"/>
      <c r="AG395" s="695"/>
      <c r="AH395" s="695"/>
      <c r="AI395" s="695"/>
      <c r="AJ395" s="695"/>
      <c r="AK395" s="695"/>
      <c r="AL395" s="695"/>
      <c r="AM395" s="695"/>
      <c r="AN395" s="695"/>
      <c r="AO395" s="695"/>
      <c r="AP395" s="695"/>
      <c r="AQ395" s="695"/>
      <c r="AR395" s="695"/>
      <c r="AS395" s="695"/>
      <c r="AT395" s="695"/>
      <c r="AU395" s="695"/>
      <c r="AV395" s="695"/>
      <c r="AW395" s="695"/>
    </row>
    <row r="396" spans="1:49" s="683" customFormat="1" x14ac:dyDescent="0.2">
      <c r="A396" s="693" t="s">
        <v>184</v>
      </c>
      <c r="B396" s="707"/>
      <c r="C396" s="707"/>
      <c r="D396" s="707"/>
      <c r="E396" s="707"/>
      <c r="F396" s="707"/>
      <c r="G396" s="707"/>
      <c r="H396" s="707"/>
      <c r="I396" s="695"/>
      <c r="J396" s="695"/>
      <c r="K396" s="695"/>
      <c r="L396" s="695"/>
      <c r="M396" s="695"/>
      <c r="N396" s="695"/>
      <c r="O396" s="695"/>
      <c r="P396" s="695"/>
      <c r="Q396" s="695"/>
      <c r="R396" s="695"/>
      <c r="S396" s="695"/>
      <c r="T396" s="695"/>
      <c r="U396" s="695"/>
      <c r="V396" s="695"/>
      <c r="W396" s="695"/>
      <c r="X396" s="695"/>
      <c r="Y396" s="695"/>
      <c r="Z396" s="707"/>
      <c r="AA396" s="707"/>
      <c r="AB396" s="707"/>
      <c r="AC396" s="707"/>
      <c r="AD396" s="707"/>
      <c r="AE396" s="707"/>
      <c r="AF396" s="707"/>
      <c r="AG396" s="695"/>
      <c r="AH396" s="695"/>
      <c r="AI396" s="695"/>
      <c r="AJ396" s="695"/>
      <c r="AK396" s="695"/>
      <c r="AL396" s="695"/>
      <c r="AM396" s="695"/>
      <c r="AN396" s="695"/>
      <c r="AO396" s="695"/>
      <c r="AP396" s="695"/>
      <c r="AQ396" s="695"/>
      <c r="AR396" s="695"/>
      <c r="AS396" s="695"/>
      <c r="AT396" s="695"/>
      <c r="AU396" s="695"/>
      <c r="AV396" s="695"/>
      <c r="AW396" s="695"/>
    </row>
    <row r="397" spans="1:49" s="683" customFormat="1" x14ac:dyDescent="0.2">
      <c r="A397" s="702" t="s">
        <v>490</v>
      </c>
      <c r="B397" s="707" t="s">
        <v>243</v>
      </c>
      <c r="C397" s="707" t="s">
        <v>243</v>
      </c>
      <c r="D397" s="707" t="s">
        <v>243</v>
      </c>
      <c r="E397" s="707" t="s">
        <v>243</v>
      </c>
      <c r="F397" s="707" t="s">
        <v>243</v>
      </c>
      <c r="G397" s="707" t="s">
        <v>243</v>
      </c>
      <c r="H397" s="707" t="s">
        <v>243</v>
      </c>
      <c r="I397" s="695">
        <f>SUM(I393-H393)</f>
        <v>11</v>
      </c>
      <c r="J397" s="695">
        <f t="shared" ref="J397:W397" si="58">SUM(J393-I393)</f>
        <v>7</v>
      </c>
      <c r="K397" s="695">
        <f t="shared" si="58"/>
        <v>26</v>
      </c>
      <c r="L397" s="695">
        <f>SUM(L393-K393)*-1</f>
        <v>28</v>
      </c>
      <c r="M397" s="695">
        <f t="shared" si="58"/>
        <v>2</v>
      </c>
      <c r="N397" s="695">
        <f t="shared" si="58"/>
        <v>18</v>
      </c>
      <c r="O397" s="695">
        <f>SUM(O393-N393)*-1</f>
        <v>21</v>
      </c>
      <c r="P397" s="695">
        <f>SUM(P393-O393)*-1</f>
        <v>20</v>
      </c>
      <c r="Q397" s="695">
        <f>SUM(Q393-P393)*-1</f>
        <v>6</v>
      </c>
      <c r="R397" s="695">
        <f t="shared" si="58"/>
        <v>4</v>
      </c>
      <c r="S397" s="695">
        <f>SUM(S393-R393)*-1</f>
        <v>4</v>
      </c>
      <c r="T397" s="695">
        <f t="shared" si="58"/>
        <v>0</v>
      </c>
      <c r="U397" s="695">
        <f t="shared" si="58"/>
        <v>0</v>
      </c>
      <c r="V397" s="695">
        <f t="shared" si="58"/>
        <v>4</v>
      </c>
      <c r="W397" s="695">
        <f t="shared" si="58"/>
        <v>7</v>
      </c>
      <c r="X397" s="695">
        <f>SUM(X393-W393)</f>
        <v>11</v>
      </c>
      <c r="Y397" s="695">
        <f>SUM(Y393-X393)*-1</f>
        <v>11</v>
      </c>
      <c r="Z397" s="695">
        <f>SUM(Z393-Y393)*-1</f>
        <v>6</v>
      </c>
      <c r="AA397" s="695">
        <f>SUM(AA393-Z393)*-1</f>
        <v>0</v>
      </c>
      <c r="AB397" s="695">
        <f>SUM(AB393-AA393)*-1</f>
        <v>1</v>
      </c>
      <c r="AC397" s="695">
        <f>SUM(AC393-AB393)*-1</f>
        <v>4</v>
      </c>
      <c r="AD397" s="695">
        <f>SUM(AD393-AC393)</f>
        <v>4</v>
      </c>
      <c r="AE397" s="707"/>
      <c r="AF397" s="707"/>
      <c r="AG397" s="695"/>
      <c r="AH397" s="695"/>
      <c r="AI397" s="695"/>
      <c r="AJ397" s="695"/>
      <c r="AK397" s="695"/>
      <c r="AL397" s="695"/>
      <c r="AM397" s="695"/>
      <c r="AN397" s="695"/>
      <c r="AO397" s="695"/>
      <c r="AP397" s="695"/>
      <c r="AQ397" s="695"/>
      <c r="AR397" s="695"/>
      <c r="AS397" s="695"/>
      <c r="AT397" s="695"/>
      <c r="AU397" s="695"/>
      <c r="AV397" s="695"/>
      <c r="AW397" s="695"/>
    </row>
    <row r="398" spans="1:49" s="683" customFormat="1" ht="53.25" x14ac:dyDescent="0.2">
      <c r="A398" s="703" t="s">
        <v>521</v>
      </c>
      <c r="B398" s="707"/>
      <c r="C398" s="707"/>
      <c r="D398" s="707"/>
      <c r="E398" s="707"/>
      <c r="F398" s="707"/>
      <c r="G398" s="707"/>
      <c r="H398" s="707"/>
      <c r="I398" s="695"/>
      <c r="J398" s="695"/>
      <c r="K398" s="695"/>
      <c r="L398" s="695"/>
      <c r="M398" s="695"/>
      <c r="N398" s="695"/>
      <c r="O398" s="695"/>
      <c r="P398" s="695"/>
      <c r="Q398" s="695"/>
      <c r="R398" s="695"/>
      <c r="S398" s="695"/>
      <c r="T398" s="695"/>
      <c r="U398" s="695"/>
      <c r="V398" s="695"/>
      <c r="W398" s="695"/>
      <c r="X398" s="695"/>
      <c r="Y398" s="695"/>
      <c r="Z398" s="707"/>
      <c r="AA398" s="707"/>
      <c r="AB398" s="707"/>
      <c r="AC398" s="707"/>
      <c r="AD398" s="707"/>
      <c r="AE398" s="707"/>
      <c r="AF398" s="707"/>
      <c r="AG398" s="695"/>
      <c r="AH398" s="695"/>
      <c r="AI398" s="695"/>
      <c r="AJ398" s="695"/>
      <c r="AK398" s="695"/>
      <c r="AL398" s="695"/>
      <c r="AM398" s="695"/>
      <c r="AN398" s="695"/>
      <c r="AO398" s="695"/>
      <c r="AP398" s="695"/>
      <c r="AQ398" s="695"/>
      <c r="AR398" s="695"/>
      <c r="AS398" s="695"/>
      <c r="AT398" s="695"/>
      <c r="AU398" s="695"/>
      <c r="AV398" s="695"/>
      <c r="AW398" s="695"/>
    </row>
    <row r="399" spans="1:49" s="683" customFormat="1" x14ac:dyDescent="0.2">
      <c r="A399" s="674" t="s">
        <v>492</v>
      </c>
      <c r="B399" s="689">
        <f t="shared" ref="B399:AW399" si="59">AVERAGE($B$393:$AW$393)</f>
        <v>11.103448275862069</v>
      </c>
      <c r="C399" s="689">
        <f t="shared" si="59"/>
        <v>11.103448275862069</v>
      </c>
      <c r="D399" s="689">
        <f t="shared" si="59"/>
        <v>11.103448275862069</v>
      </c>
      <c r="E399" s="689">
        <f t="shared" si="59"/>
        <v>11.103448275862069</v>
      </c>
      <c r="F399" s="689">
        <f t="shared" si="59"/>
        <v>11.103448275862069</v>
      </c>
      <c r="G399" s="689">
        <f t="shared" si="59"/>
        <v>11.103448275862069</v>
      </c>
      <c r="H399" s="689">
        <f t="shared" si="59"/>
        <v>11.103448275862069</v>
      </c>
      <c r="I399" s="689">
        <f t="shared" si="59"/>
        <v>11.103448275862069</v>
      </c>
      <c r="J399" s="689">
        <f t="shared" si="59"/>
        <v>11.103448275862069</v>
      </c>
      <c r="K399" s="689">
        <f t="shared" si="59"/>
        <v>11.103448275862069</v>
      </c>
      <c r="L399" s="689">
        <f t="shared" si="59"/>
        <v>11.103448275862069</v>
      </c>
      <c r="M399" s="689">
        <f t="shared" si="59"/>
        <v>11.103448275862069</v>
      </c>
      <c r="N399" s="689">
        <f t="shared" si="59"/>
        <v>11.103448275862069</v>
      </c>
      <c r="O399" s="689">
        <f t="shared" si="59"/>
        <v>11.103448275862069</v>
      </c>
      <c r="P399" s="689">
        <f t="shared" si="59"/>
        <v>11.103448275862069</v>
      </c>
      <c r="Q399" s="689">
        <f t="shared" si="59"/>
        <v>11.103448275862069</v>
      </c>
      <c r="R399" s="689">
        <f t="shared" si="59"/>
        <v>11.103448275862069</v>
      </c>
      <c r="S399" s="689">
        <f t="shared" si="59"/>
        <v>11.103448275862069</v>
      </c>
      <c r="T399" s="689">
        <f t="shared" si="59"/>
        <v>11.103448275862069</v>
      </c>
      <c r="U399" s="689">
        <f t="shared" si="59"/>
        <v>11.103448275862069</v>
      </c>
      <c r="V399" s="689">
        <f t="shared" si="59"/>
        <v>11.103448275862069</v>
      </c>
      <c r="W399" s="689">
        <f t="shared" si="59"/>
        <v>11.103448275862069</v>
      </c>
      <c r="X399" s="689">
        <f t="shared" si="59"/>
        <v>11.103448275862069</v>
      </c>
      <c r="Y399" s="689">
        <f t="shared" si="59"/>
        <v>11.103448275862069</v>
      </c>
      <c r="Z399" s="689">
        <f t="shared" si="59"/>
        <v>11.103448275862069</v>
      </c>
      <c r="AA399" s="689">
        <f t="shared" si="59"/>
        <v>11.103448275862069</v>
      </c>
      <c r="AB399" s="689">
        <f t="shared" si="59"/>
        <v>11.103448275862069</v>
      </c>
      <c r="AC399" s="689">
        <f t="shared" si="59"/>
        <v>11.103448275862069</v>
      </c>
      <c r="AD399" s="689">
        <f t="shared" si="59"/>
        <v>11.103448275862069</v>
      </c>
      <c r="AE399" s="689">
        <f t="shared" si="59"/>
        <v>11.103448275862069</v>
      </c>
      <c r="AF399" s="689">
        <f t="shared" si="59"/>
        <v>11.103448275862069</v>
      </c>
      <c r="AG399" s="689">
        <f t="shared" si="59"/>
        <v>11.103448275862069</v>
      </c>
      <c r="AH399" s="689">
        <f t="shared" si="59"/>
        <v>11.103448275862069</v>
      </c>
      <c r="AI399" s="689">
        <f t="shared" si="59"/>
        <v>11.103448275862069</v>
      </c>
      <c r="AJ399" s="689">
        <f t="shared" si="59"/>
        <v>11.103448275862069</v>
      </c>
      <c r="AK399" s="689">
        <f t="shared" si="59"/>
        <v>11.103448275862069</v>
      </c>
      <c r="AL399" s="689">
        <f t="shared" si="59"/>
        <v>11.103448275862069</v>
      </c>
      <c r="AM399" s="689">
        <f t="shared" si="59"/>
        <v>11.103448275862069</v>
      </c>
      <c r="AN399" s="689">
        <f t="shared" si="59"/>
        <v>11.103448275862069</v>
      </c>
      <c r="AO399" s="689">
        <f t="shared" si="59"/>
        <v>11.103448275862069</v>
      </c>
      <c r="AP399" s="689">
        <f t="shared" si="59"/>
        <v>11.103448275862069</v>
      </c>
      <c r="AQ399" s="689">
        <f t="shared" si="59"/>
        <v>11.103448275862069</v>
      </c>
      <c r="AR399" s="689">
        <f t="shared" si="59"/>
        <v>11.103448275862069</v>
      </c>
      <c r="AS399" s="689">
        <f t="shared" si="59"/>
        <v>11.103448275862069</v>
      </c>
      <c r="AT399" s="689">
        <f t="shared" si="59"/>
        <v>11.103448275862069</v>
      </c>
      <c r="AU399" s="689">
        <f t="shared" si="59"/>
        <v>11.103448275862069</v>
      </c>
      <c r="AV399" s="689">
        <f t="shared" si="59"/>
        <v>11.103448275862069</v>
      </c>
      <c r="AW399" s="689">
        <f t="shared" si="59"/>
        <v>11.103448275862069</v>
      </c>
    </row>
    <row r="400" spans="1:49" s="683" customFormat="1" x14ac:dyDescent="0.2">
      <c r="A400" s="702" t="s">
        <v>491</v>
      </c>
      <c r="B400" s="689">
        <f>SUM(I397:AW397)/COUNT(I397:AW397)</f>
        <v>8.8636363636363633</v>
      </c>
      <c r="C400" s="707"/>
      <c r="D400" s="707"/>
      <c r="E400" s="707"/>
      <c r="F400" s="707"/>
      <c r="G400" s="707"/>
      <c r="H400" s="707"/>
      <c r="I400" s="695"/>
      <c r="J400" s="695"/>
      <c r="K400" s="695"/>
      <c r="L400" s="695"/>
      <c r="M400" s="695"/>
      <c r="N400" s="695"/>
      <c r="O400" s="695"/>
      <c r="P400" s="695"/>
      <c r="Q400" s="695"/>
      <c r="R400" s="695"/>
      <c r="S400" s="695"/>
      <c r="T400" s="695"/>
      <c r="U400" s="695"/>
      <c r="V400" s="695"/>
      <c r="W400" s="695"/>
      <c r="X400" s="695"/>
      <c r="Y400" s="695"/>
      <c r="Z400" s="707"/>
      <c r="AA400" s="707"/>
      <c r="AB400" s="707"/>
      <c r="AC400" s="707"/>
      <c r="AD400" s="707"/>
      <c r="AE400" s="707"/>
      <c r="AF400" s="707"/>
      <c r="AG400" s="695"/>
      <c r="AH400" s="695"/>
      <c r="AI400" s="695"/>
      <c r="AJ400" s="695"/>
      <c r="AK400" s="695"/>
      <c r="AL400" s="695"/>
      <c r="AM400" s="695"/>
      <c r="AN400" s="695"/>
      <c r="AO400" s="695"/>
      <c r="AP400" s="695"/>
      <c r="AQ400" s="695"/>
      <c r="AR400" s="695"/>
      <c r="AS400" s="695"/>
      <c r="AT400" s="695"/>
      <c r="AU400" s="695"/>
      <c r="AV400" s="695"/>
      <c r="AW400" s="695"/>
    </row>
    <row r="401" spans="1:49" s="683" customFormat="1" ht="25.5" x14ac:dyDescent="0.2">
      <c r="A401" s="702" t="s">
        <v>494</v>
      </c>
      <c r="B401" s="689">
        <f>$B$400/1.128</f>
        <v>7.8578336557059965</v>
      </c>
      <c r="C401" s="689" t="s">
        <v>385</v>
      </c>
      <c r="D401" s="689" t="s">
        <v>385</v>
      </c>
      <c r="E401" s="689" t="s">
        <v>385</v>
      </c>
      <c r="F401" s="689" t="s">
        <v>385</v>
      </c>
      <c r="G401" s="689" t="s">
        <v>385</v>
      </c>
      <c r="H401" s="689" t="s">
        <v>385</v>
      </c>
      <c r="I401" s="689" t="s">
        <v>385</v>
      </c>
      <c r="J401" s="689" t="s">
        <v>385</v>
      </c>
      <c r="K401" s="689" t="s">
        <v>385</v>
      </c>
      <c r="L401" s="689" t="s">
        <v>385</v>
      </c>
      <c r="M401" s="689" t="s">
        <v>385</v>
      </c>
      <c r="N401" s="689" t="s">
        <v>385</v>
      </c>
      <c r="O401" s="689" t="s">
        <v>385</v>
      </c>
      <c r="P401" s="689" t="s">
        <v>385</v>
      </c>
      <c r="Q401" s="689" t="s">
        <v>385</v>
      </c>
      <c r="R401" s="689" t="s">
        <v>385</v>
      </c>
      <c r="S401" s="689" t="s">
        <v>385</v>
      </c>
      <c r="T401" s="689" t="s">
        <v>385</v>
      </c>
      <c r="U401" s="689" t="s">
        <v>385</v>
      </c>
      <c r="V401" s="689" t="s">
        <v>385</v>
      </c>
      <c r="W401" s="689" t="s">
        <v>385</v>
      </c>
      <c r="X401" s="689" t="s">
        <v>385</v>
      </c>
      <c r="Y401" s="689" t="s">
        <v>385</v>
      </c>
      <c r="Z401" s="689" t="s">
        <v>385</v>
      </c>
      <c r="AA401" s="689" t="s">
        <v>385</v>
      </c>
      <c r="AB401" s="689" t="s">
        <v>385</v>
      </c>
      <c r="AC401" s="689" t="s">
        <v>385</v>
      </c>
      <c r="AD401" s="689" t="s">
        <v>385</v>
      </c>
      <c r="AE401" s="689" t="s">
        <v>385</v>
      </c>
      <c r="AF401" s="689" t="s">
        <v>385</v>
      </c>
      <c r="AG401" s="689" t="s">
        <v>385</v>
      </c>
      <c r="AH401" s="689" t="s">
        <v>385</v>
      </c>
      <c r="AI401" s="689" t="s">
        <v>385</v>
      </c>
      <c r="AJ401" s="689" t="s">
        <v>385</v>
      </c>
      <c r="AK401" s="689" t="s">
        <v>385</v>
      </c>
      <c r="AL401" s="689" t="s">
        <v>385</v>
      </c>
      <c r="AM401" s="689" t="s">
        <v>385</v>
      </c>
      <c r="AN401" s="689" t="s">
        <v>385</v>
      </c>
      <c r="AO401" s="689" t="s">
        <v>385</v>
      </c>
      <c r="AP401" s="689" t="s">
        <v>385</v>
      </c>
      <c r="AQ401" s="689" t="s">
        <v>385</v>
      </c>
      <c r="AR401" s="689" t="s">
        <v>385</v>
      </c>
      <c r="AS401" s="689" t="s">
        <v>385</v>
      </c>
      <c r="AT401" s="689" t="s">
        <v>385</v>
      </c>
      <c r="AU401" s="689" t="s">
        <v>385</v>
      </c>
      <c r="AV401" s="689" t="s">
        <v>385</v>
      </c>
      <c r="AW401" s="689" t="s">
        <v>385</v>
      </c>
    </row>
    <row r="402" spans="1:49" s="683" customFormat="1" x14ac:dyDescent="0.2">
      <c r="A402" s="711" t="s">
        <v>497</v>
      </c>
      <c r="B402" s="689">
        <f t="shared" ref="B402:AW402" si="60">$B$399+(3*$B$401)</f>
        <v>34.676949242980058</v>
      </c>
      <c r="C402" s="689">
        <f t="shared" si="60"/>
        <v>34.676949242980058</v>
      </c>
      <c r="D402" s="689">
        <f t="shared" si="60"/>
        <v>34.676949242980058</v>
      </c>
      <c r="E402" s="689">
        <f t="shared" si="60"/>
        <v>34.676949242980058</v>
      </c>
      <c r="F402" s="689">
        <f t="shared" si="60"/>
        <v>34.676949242980058</v>
      </c>
      <c r="G402" s="689">
        <f t="shared" si="60"/>
        <v>34.676949242980058</v>
      </c>
      <c r="H402" s="689">
        <f t="shared" si="60"/>
        <v>34.676949242980058</v>
      </c>
      <c r="I402" s="689">
        <f t="shared" si="60"/>
        <v>34.676949242980058</v>
      </c>
      <c r="J402" s="689">
        <f t="shared" si="60"/>
        <v>34.676949242980058</v>
      </c>
      <c r="K402" s="689">
        <f t="shared" si="60"/>
        <v>34.676949242980058</v>
      </c>
      <c r="L402" s="689">
        <f t="shared" si="60"/>
        <v>34.676949242980058</v>
      </c>
      <c r="M402" s="689">
        <f t="shared" si="60"/>
        <v>34.676949242980058</v>
      </c>
      <c r="N402" s="689">
        <f t="shared" si="60"/>
        <v>34.676949242980058</v>
      </c>
      <c r="O402" s="689">
        <f t="shared" si="60"/>
        <v>34.676949242980058</v>
      </c>
      <c r="P402" s="689">
        <f t="shared" si="60"/>
        <v>34.676949242980058</v>
      </c>
      <c r="Q402" s="689">
        <f t="shared" si="60"/>
        <v>34.676949242980058</v>
      </c>
      <c r="R402" s="689">
        <f t="shared" si="60"/>
        <v>34.676949242980058</v>
      </c>
      <c r="S402" s="689">
        <f t="shared" si="60"/>
        <v>34.676949242980058</v>
      </c>
      <c r="T402" s="689">
        <f t="shared" si="60"/>
        <v>34.676949242980058</v>
      </c>
      <c r="U402" s="689">
        <f t="shared" si="60"/>
        <v>34.676949242980058</v>
      </c>
      <c r="V402" s="689">
        <f t="shared" si="60"/>
        <v>34.676949242980058</v>
      </c>
      <c r="W402" s="689">
        <f t="shared" si="60"/>
        <v>34.676949242980058</v>
      </c>
      <c r="X402" s="689">
        <f t="shared" si="60"/>
        <v>34.676949242980058</v>
      </c>
      <c r="Y402" s="689">
        <f t="shared" si="60"/>
        <v>34.676949242980058</v>
      </c>
      <c r="Z402" s="689">
        <f t="shared" si="60"/>
        <v>34.676949242980058</v>
      </c>
      <c r="AA402" s="689">
        <f t="shared" si="60"/>
        <v>34.676949242980058</v>
      </c>
      <c r="AB402" s="689">
        <f t="shared" si="60"/>
        <v>34.676949242980058</v>
      </c>
      <c r="AC402" s="689">
        <f t="shared" si="60"/>
        <v>34.676949242980058</v>
      </c>
      <c r="AD402" s="689">
        <f t="shared" si="60"/>
        <v>34.676949242980058</v>
      </c>
      <c r="AE402" s="689">
        <f t="shared" si="60"/>
        <v>34.676949242980058</v>
      </c>
      <c r="AF402" s="689">
        <f t="shared" si="60"/>
        <v>34.676949242980058</v>
      </c>
      <c r="AG402" s="689">
        <f t="shared" si="60"/>
        <v>34.676949242980058</v>
      </c>
      <c r="AH402" s="689">
        <f t="shared" si="60"/>
        <v>34.676949242980058</v>
      </c>
      <c r="AI402" s="689">
        <f t="shared" si="60"/>
        <v>34.676949242980058</v>
      </c>
      <c r="AJ402" s="689">
        <f t="shared" si="60"/>
        <v>34.676949242980058</v>
      </c>
      <c r="AK402" s="689">
        <f t="shared" si="60"/>
        <v>34.676949242980058</v>
      </c>
      <c r="AL402" s="689">
        <f t="shared" si="60"/>
        <v>34.676949242980058</v>
      </c>
      <c r="AM402" s="689">
        <f t="shared" si="60"/>
        <v>34.676949242980058</v>
      </c>
      <c r="AN402" s="689">
        <f t="shared" si="60"/>
        <v>34.676949242980058</v>
      </c>
      <c r="AO402" s="689">
        <f t="shared" si="60"/>
        <v>34.676949242980058</v>
      </c>
      <c r="AP402" s="689">
        <f t="shared" si="60"/>
        <v>34.676949242980058</v>
      </c>
      <c r="AQ402" s="689">
        <f t="shared" si="60"/>
        <v>34.676949242980058</v>
      </c>
      <c r="AR402" s="689">
        <f t="shared" si="60"/>
        <v>34.676949242980058</v>
      </c>
      <c r="AS402" s="689">
        <f t="shared" si="60"/>
        <v>34.676949242980058</v>
      </c>
      <c r="AT402" s="689">
        <f t="shared" si="60"/>
        <v>34.676949242980058</v>
      </c>
      <c r="AU402" s="689">
        <f t="shared" si="60"/>
        <v>34.676949242980058</v>
      </c>
      <c r="AV402" s="689">
        <f t="shared" si="60"/>
        <v>34.676949242980058</v>
      </c>
      <c r="AW402" s="689">
        <f t="shared" si="60"/>
        <v>34.676949242980058</v>
      </c>
    </row>
    <row r="403" spans="1:49" s="683" customFormat="1" x14ac:dyDescent="0.2">
      <c r="A403" s="711" t="s">
        <v>499</v>
      </c>
      <c r="B403" s="689">
        <f t="shared" ref="B403:AW403" si="61">$B$399-(3*$B$401)</f>
        <v>-12.470052691255921</v>
      </c>
      <c r="C403" s="689">
        <f t="shared" si="61"/>
        <v>-12.470052691255921</v>
      </c>
      <c r="D403" s="689">
        <f t="shared" si="61"/>
        <v>-12.470052691255921</v>
      </c>
      <c r="E403" s="689">
        <f t="shared" si="61"/>
        <v>-12.470052691255921</v>
      </c>
      <c r="F403" s="689">
        <f t="shared" si="61"/>
        <v>-12.470052691255921</v>
      </c>
      <c r="G403" s="689">
        <f t="shared" si="61"/>
        <v>-12.470052691255921</v>
      </c>
      <c r="H403" s="689">
        <f t="shared" si="61"/>
        <v>-12.470052691255921</v>
      </c>
      <c r="I403" s="689">
        <f t="shared" si="61"/>
        <v>-12.470052691255921</v>
      </c>
      <c r="J403" s="689">
        <f t="shared" si="61"/>
        <v>-12.470052691255921</v>
      </c>
      <c r="K403" s="689">
        <f t="shared" si="61"/>
        <v>-12.470052691255921</v>
      </c>
      <c r="L403" s="689">
        <f t="shared" si="61"/>
        <v>-12.470052691255921</v>
      </c>
      <c r="M403" s="689">
        <f t="shared" si="61"/>
        <v>-12.470052691255921</v>
      </c>
      <c r="N403" s="689">
        <f t="shared" si="61"/>
        <v>-12.470052691255921</v>
      </c>
      <c r="O403" s="689">
        <f t="shared" si="61"/>
        <v>-12.470052691255921</v>
      </c>
      <c r="P403" s="689">
        <f t="shared" si="61"/>
        <v>-12.470052691255921</v>
      </c>
      <c r="Q403" s="689">
        <f t="shared" si="61"/>
        <v>-12.470052691255921</v>
      </c>
      <c r="R403" s="689">
        <f t="shared" si="61"/>
        <v>-12.470052691255921</v>
      </c>
      <c r="S403" s="689">
        <f t="shared" si="61"/>
        <v>-12.470052691255921</v>
      </c>
      <c r="T403" s="689">
        <f t="shared" si="61"/>
        <v>-12.470052691255921</v>
      </c>
      <c r="U403" s="689">
        <f t="shared" si="61"/>
        <v>-12.470052691255921</v>
      </c>
      <c r="V403" s="689">
        <f t="shared" si="61"/>
        <v>-12.470052691255921</v>
      </c>
      <c r="W403" s="689">
        <f t="shared" si="61"/>
        <v>-12.470052691255921</v>
      </c>
      <c r="X403" s="689">
        <f t="shared" si="61"/>
        <v>-12.470052691255921</v>
      </c>
      <c r="Y403" s="689">
        <f t="shared" si="61"/>
        <v>-12.470052691255921</v>
      </c>
      <c r="Z403" s="689">
        <f t="shared" si="61"/>
        <v>-12.470052691255921</v>
      </c>
      <c r="AA403" s="689">
        <f t="shared" si="61"/>
        <v>-12.470052691255921</v>
      </c>
      <c r="AB403" s="689">
        <f t="shared" si="61"/>
        <v>-12.470052691255921</v>
      </c>
      <c r="AC403" s="689">
        <f t="shared" si="61"/>
        <v>-12.470052691255921</v>
      </c>
      <c r="AD403" s="689">
        <f t="shared" si="61"/>
        <v>-12.470052691255921</v>
      </c>
      <c r="AE403" s="689">
        <f t="shared" si="61"/>
        <v>-12.470052691255921</v>
      </c>
      <c r="AF403" s="689">
        <f t="shared" si="61"/>
        <v>-12.470052691255921</v>
      </c>
      <c r="AG403" s="689">
        <f t="shared" si="61"/>
        <v>-12.470052691255921</v>
      </c>
      <c r="AH403" s="689">
        <f t="shared" si="61"/>
        <v>-12.470052691255921</v>
      </c>
      <c r="AI403" s="689">
        <f t="shared" si="61"/>
        <v>-12.470052691255921</v>
      </c>
      <c r="AJ403" s="689">
        <f t="shared" si="61"/>
        <v>-12.470052691255921</v>
      </c>
      <c r="AK403" s="689">
        <f t="shared" si="61"/>
        <v>-12.470052691255921</v>
      </c>
      <c r="AL403" s="689">
        <f t="shared" si="61"/>
        <v>-12.470052691255921</v>
      </c>
      <c r="AM403" s="689">
        <f t="shared" si="61"/>
        <v>-12.470052691255921</v>
      </c>
      <c r="AN403" s="689">
        <f t="shared" si="61"/>
        <v>-12.470052691255921</v>
      </c>
      <c r="AO403" s="689">
        <f t="shared" si="61"/>
        <v>-12.470052691255921</v>
      </c>
      <c r="AP403" s="689">
        <f t="shared" si="61"/>
        <v>-12.470052691255921</v>
      </c>
      <c r="AQ403" s="689">
        <f t="shared" si="61"/>
        <v>-12.470052691255921</v>
      </c>
      <c r="AR403" s="689">
        <f t="shared" si="61"/>
        <v>-12.470052691255921</v>
      </c>
      <c r="AS403" s="689">
        <f t="shared" si="61"/>
        <v>-12.470052691255921</v>
      </c>
      <c r="AT403" s="689">
        <f t="shared" si="61"/>
        <v>-12.470052691255921</v>
      </c>
      <c r="AU403" s="689">
        <f t="shared" si="61"/>
        <v>-12.470052691255921</v>
      </c>
      <c r="AV403" s="689">
        <f t="shared" si="61"/>
        <v>-12.470052691255921</v>
      </c>
      <c r="AW403" s="689">
        <f t="shared" si="61"/>
        <v>-12.470052691255921</v>
      </c>
    </row>
    <row r="404" spans="1:49" s="683" customFormat="1" x14ac:dyDescent="0.2">
      <c r="A404" s="713" t="s">
        <v>532</v>
      </c>
      <c r="B404" s="689">
        <f t="shared" ref="B404:AW404" si="62">$B$399+(2*$B$401)</f>
        <v>26.819115587274062</v>
      </c>
      <c r="C404" s="689">
        <f t="shared" si="62"/>
        <v>26.819115587274062</v>
      </c>
      <c r="D404" s="689">
        <f t="shared" si="62"/>
        <v>26.819115587274062</v>
      </c>
      <c r="E404" s="689">
        <f t="shared" si="62"/>
        <v>26.819115587274062</v>
      </c>
      <c r="F404" s="689">
        <f t="shared" si="62"/>
        <v>26.819115587274062</v>
      </c>
      <c r="G404" s="689">
        <f t="shared" si="62"/>
        <v>26.819115587274062</v>
      </c>
      <c r="H404" s="689">
        <f t="shared" si="62"/>
        <v>26.819115587274062</v>
      </c>
      <c r="I404" s="689">
        <f t="shared" si="62"/>
        <v>26.819115587274062</v>
      </c>
      <c r="J404" s="689">
        <f t="shared" si="62"/>
        <v>26.819115587274062</v>
      </c>
      <c r="K404" s="689">
        <f t="shared" si="62"/>
        <v>26.819115587274062</v>
      </c>
      <c r="L404" s="689">
        <f t="shared" si="62"/>
        <v>26.819115587274062</v>
      </c>
      <c r="M404" s="689">
        <f t="shared" si="62"/>
        <v>26.819115587274062</v>
      </c>
      <c r="N404" s="689">
        <f t="shared" si="62"/>
        <v>26.819115587274062</v>
      </c>
      <c r="O404" s="689">
        <f t="shared" si="62"/>
        <v>26.819115587274062</v>
      </c>
      <c r="P404" s="689">
        <f t="shared" si="62"/>
        <v>26.819115587274062</v>
      </c>
      <c r="Q404" s="689">
        <f t="shared" si="62"/>
        <v>26.819115587274062</v>
      </c>
      <c r="R404" s="689">
        <f t="shared" si="62"/>
        <v>26.819115587274062</v>
      </c>
      <c r="S404" s="689">
        <f t="shared" si="62"/>
        <v>26.819115587274062</v>
      </c>
      <c r="T404" s="689">
        <f t="shared" si="62"/>
        <v>26.819115587274062</v>
      </c>
      <c r="U404" s="689">
        <f t="shared" si="62"/>
        <v>26.819115587274062</v>
      </c>
      <c r="V404" s="689">
        <f t="shared" si="62"/>
        <v>26.819115587274062</v>
      </c>
      <c r="W404" s="689">
        <f t="shared" si="62"/>
        <v>26.819115587274062</v>
      </c>
      <c r="X404" s="689">
        <f t="shared" si="62"/>
        <v>26.819115587274062</v>
      </c>
      <c r="Y404" s="689">
        <f t="shared" si="62"/>
        <v>26.819115587274062</v>
      </c>
      <c r="Z404" s="689">
        <f t="shared" si="62"/>
        <v>26.819115587274062</v>
      </c>
      <c r="AA404" s="689">
        <f t="shared" si="62"/>
        <v>26.819115587274062</v>
      </c>
      <c r="AB404" s="689">
        <f t="shared" si="62"/>
        <v>26.819115587274062</v>
      </c>
      <c r="AC404" s="689">
        <f t="shared" si="62"/>
        <v>26.819115587274062</v>
      </c>
      <c r="AD404" s="689">
        <f t="shared" si="62"/>
        <v>26.819115587274062</v>
      </c>
      <c r="AE404" s="689">
        <f t="shared" si="62"/>
        <v>26.819115587274062</v>
      </c>
      <c r="AF404" s="689">
        <f t="shared" si="62"/>
        <v>26.819115587274062</v>
      </c>
      <c r="AG404" s="689">
        <f t="shared" si="62"/>
        <v>26.819115587274062</v>
      </c>
      <c r="AH404" s="689">
        <f t="shared" si="62"/>
        <v>26.819115587274062</v>
      </c>
      <c r="AI404" s="689">
        <f t="shared" si="62"/>
        <v>26.819115587274062</v>
      </c>
      <c r="AJ404" s="689">
        <f t="shared" si="62"/>
        <v>26.819115587274062</v>
      </c>
      <c r="AK404" s="689">
        <f t="shared" si="62"/>
        <v>26.819115587274062</v>
      </c>
      <c r="AL404" s="689">
        <f t="shared" si="62"/>
        <v>26.819115587274062</v>
      </c>
      <c r="AM404" s="689">
        <f t="shared" si="62"/>
        <v>26.819115587274062</v>
      </c>
      <c r="AN404" s="689">
        <f t="shared" si="62"/>
        <v>26.819115587274062</v>
      </c>
      <c r="AO404" s="689">
        <f t="shared" si="62"/>
        <v>26.819115587274062</v>
      </c>
      <c r="AP404" s="689">
        <f t="shared" si="62"/>
        <v>26.819115587274062</v>
      </c>
      <c r="AQ404" s="689">
        <f t="shared" si="62"/>
        <v>26.819115587274062</v>
      </c>
      <c r="AR404" s="689">
        <f t="shared" si="62"/>
        <v>26.819115587274062</v>
      </c>
      <c r="AS404" s="689">
        <f t="shared" si="62"/>
        <v>26.819115587274062</v>
      </c>
      <c r="AT404" s="689">
        <f t="shared" si="62"/>
        <v>26.819115587274062</v>
      </c>
      <c r="AU404" s="689">
        <f t="shared" si="62"/>
        <v>26.819115587274062</v>
      </c>
      <c r="AV404" s="689">
        <f t="shared" si="62"/>
        <v>26.819115587274062</v>
      </c>
      <c r="AW404" s="689">
        <f t="shared" si="62"/>
        <v>26.819115587274062</v>
      </c>
    </row>
    <row r="405" spans="1:49" s="683" customFormat="1" x14ac:dyDescent="0.2">
      <c r="A405" s="713" t="s">
        <v>533</v>
      </c>
      <c r="B405" s="689">
        <f t="shared" ref="B405:AW405" si="63">$B$399-(2*$B$401)</f>
        <v>-4.6122190355499235</v>
      </c>
      <c r="C405" s="689">
        <f t="shared" si="63"/>
        <v>-4.6122190355499235</v>
      </c>
      <c r="D405" s="689">
        <f t="shared" si="63"/>
        <v>-4.6122190355499235</v>
      </c>
      <c r="E405" s="689">
        <f t="shared" si="63"/>
        <v>-4.6122190355499235</v>
      </c>
      <c r="F405" s="689">
        <f t="shared" si="63"/>
        <v>-4.6122190355499235</v>
      </c>
      <c r="G405" s="689">
        <f t="shared" si="63"/>
        <v>-4.6122190355499235</v>
      </c>
      <c r="H405" s="689">
        <f t="shared" si="63"/>
        <v>-4.6122190355499235</v>
      </c>
      <c r="I405" s="689">
        <f t="shared" si="63"/>
        <v>-4.6122190355499235</v>
      </c>
      <c r="J405" s="689">
        <f t="shared" si="63"/>
        <v>-4.6122190355499235</v>
      </c>
      <c r="K405" s="689">
        <f t="shared" si="63"/>
        <v>-4.6122190355499235</v>
      </c>
      <c r="L405" s="689">
        <f t="shared" si="63"/>
        <v>-4.6122190355499235</v>
      </c>
      <c r="M405" s="689">
        <f t="shared" si="63"/>
        <v>-4.6122190355499235</v>
      </c>
      <c r="N405" s="689">
        <f t="shared" si="63"/>
        <v>-4.6122190355499235</v>
      </c>
      <c r="O405" s="689">
        <f t="shared" si="63"/>
        <v>-4.6122190355499235</v>
      </c>
      <c r="P405" s="689">
        <f t="shared" si="63"/>
        <v>-4.6122190355499235</v>
      </c>
      <c r="Q405" s="689">
        <f t="shared" si="63"/>
        <v>-4.6122190355499235</v>
      </c>
      <c r="R405" s="689">
        <f t="shared" si="63"/>
        <v>-4.6122190355499235</v>
      </c>
      <c r="S405" s="689">
        <f t="shared" si="63"/>
        <v>-4.6122190355499235</v>
      </c>
      <c r="T405" s="689">
        <f t="shared" si="63"/>
        <v>-4.6122190355499235</v>
      </c>
      <c r="U405" s="689">
        <f t="shared" si="63"/>
        <v>-4.6122190355499235</v>
      </c>
      <c r="V405" s="689">
        <f t="shared" si="63"/>
        <v>-4.6122190355499235</v>
      </c>
      <c r="W405" s="689">
        <f t="shared" si="63"/>
        <v>-4.6122190355499235</v>
      </c>
      <c r="X405" s="689">
        <f t="shared" si="63"/>
        <v>-4.6122190355499235</v>
      </c>
      <c r="Y405" s="689">
        <f t="shared" si="63"/>
        <v>-4.6122190355499235</v>
      </c>
      <c r="Z405" s="689">
        <f t="shared" si="63"/>
        <v>-4.6122190355499235</v>
      </c>
      <c r="AA405" s="689">
        <f t="shared" si="63"/>
        <v>-4.6122190355499235</v>
      </c>
      <c r="AB405" s="689">
        <f t="shared" si="63"/>
        <v>-4.6122190355499235</v>
      </c>
      <c r="AC405" s="689">
        <f t="shared" si="63"/>
        <v>-4.6122190355499235</v>
      </c>
      <c r="AD405" s="689">
        <f t="shared" si="63"/>
        <v>-4.6122190355499235</v>
      </c>
      <c r="AE405" s="689">
        <f t="shared" si="63"/>
        <v>-4.6122190355499235</v>
      </c>
      <c r="AF405" s="689">
        <f t="shared" si="63"/>
        <v>-4.6122190355499235</v>
      </c>
      <c r="AG405" s="689">
        <f t="shared" si="63"/>
        <v>-4.6122190355499235</v>
      </c>
      <c r="AH405" s="689">
        <f t="shared" si="63"/>
        <v>-4.6122190355499235</v>
      </c>
      <c r="AI405" s="689">
        <f t="shared" si="63"/>
        <v>-4.6122190355499235</v>
      </c>
      <c r="AJ405" s="689">
        <f t="shared" si="63"/>
        <v>-4.6122190355499235</v>
      </c>
      <c r="AK405" s="689">
        <f t="shared" si="63"/>
        <v>-4.6122190355499235</v>
      </c>
      <c r="AL405" s="689">
        <f t="shared" si="63"/>
        <v>-4.6122190355499235</v>
      </c>
      <c r="AM405" s="689">
        <f t="shared" si="63"/>
        <v>-4.6122190355499235</v>
      </c>
      <c r="AN405" s="689">
        <f t="shared" si="63"/>
        <v>-4.6122190355499235</v>
      </c>
      <c r="AO405" s="689">
        <f t="shared" si="63"/>
        <v>-4.6122190355499235</v>
      </c>
      <c r="AP405" s="689">
        <f t="shared" si="63"/>
        <v>-4.6122190355499235</v>
      </c>
      <c r="AQ405" s="689">
        <f t="shared" si="63"/>
        <v>-4.6122190355499235</v>
      </c>
      <c r="AR405" s="689">
        <f t="shared" si="63"/>
        <v>-4.6122190355499235</v>
      </c>
      <c r="AS405" s="689">
        <f t="shared" si="63"/>
        <v>-4.6122190355499235</v>
      </c>
      <c r="AT405" s="689">
        <f t="shared" si="63"/>
        <v>-4.6122190355499235</v>
      </c>
      <c r="AU405" s="689">
        <f t="shared" si="63"/>
        <v>-4.6122190355499235</v>
      </c>
      <c r="AV405" s="689">
        <f t="shared" si="63"/>
        <v>-4.6122190355499235</v>
      </c>
      <c r="AW405" s="689">
        <f t="shared" si="63"/>
        <v>-4.6122190355499235</v>
      </c>
    </row>
    <row r="406" spans="1:49" s="683" customFormat="1" x14ac:dyDescent="0.2">
      <c r="A406" s="713" t="s">
        <v>534</v>
      </c>
      <c r="B406" s="689">
        <f t="shared" ref="B406:AW406" si="64">$B$399+($B$401)</f>
        <v>18.961281931568067</v>
      </c>
      <c r="C406" s="689">
        <f t="shared" si="64"/>
        <v>18.961281931568067</v>
      </c>
      <c r="D406" s="689">
        <f t="shared" si="64"/>
        <v>18.961281931568067</v>
      </c>
      <c r="E406" s="689">
        <f t="shared" si="64"/>
        <v>18.961281931568067</v>
      </c>
      <c r="F406" s="689">
        <f t="shared" si="64"/>
        <v>18.961281931568067</v>
      </c>
      <c r="G406" s="689">
        <f t="shared" si="64"/>
        <v>18.961281931568067</v>
      </c>
      <c r="H406" s="689">
        <f t="shared" si="64"/>
        <v>18.961281931568067</v>
      </c>
      <c r="I406" s="689">
        <f t="shared" si="64"/>
        <v>18.961281931568067</v>
      </c>
      <c r="J406" s="689">
        <f t="shared" si="64"/>
        <v>18.961281931568067</v>
      </c>
      <c r="K406" s="689">
        <f t="shared" si="64"/>
        <v>18.961281931568067</v>
      </c>
      <c r="L406" s="689">
        <f t="shared" si="64"/>
        <v>18.961281931568067</v>
      </c>
      <c r="M406" s="689">
        <f t="shared" si="64"/>
        <v>18.961281931568067</v>
      </c>
      <c r="N406" s="689">
        <f t="shared" si="64"/>
        <v>18.961281931568067</v>
      </c>
      <c r="O406" s="689">
        <f t="shared" si="64"/>
        <v>18.961281931568067</v>
      </c>
      <c r="P406" s="689">
        <f t="shared" si="64"/>
        <v>18.961281931568067</v>
      </c>
      <c r="Q406" s="689">
        <f t="shared" si="64"/>
        <v>18.961281931568067</v>
      </c>
      <c r="R406" s="689">
        <f t="shared" si="64"/>
        <v>18.961281931568067</v>
      </c>
      <c r="S406" s="689">
        <f t="shared" si="64"/>
        <v>18.961281931568067</v>
      </c>
      <c r="T406" s="689">
        <f t="shared" si="64"/>
        <v>18.961281931568067</v>
      </c>
      <c r="U406" s="689">
        <f t="shared" si="64"/>
        <v>18.961281931568067</v>
      </c>
      <c r="V406" s="689">
        <f t="shared" si="64"/>
        <v>18.961281931568067</v>
      </c>
      <c r="W406" s="689">
        <f t="shared" si="64"/>
        <v>18.961281931568067</v>
      </c>
      <c r="X406" s="689">
        <f t="shared" si="64"/>
        <v>18.961281931568067</v>
      </c>
      <c r="Y406" s="689">
        <f t="shared" si="64"/>
        <v>18.961281931568067</v>
      </c>
      <c r="Z406" s="689">
        <f t="shared" si="64"/>
        <v>18.961281931568067</v>
      </c>
      <c r="AA406" s="689">
        <f t="shared" si="64"/>
        <v>18.961281931568067</v>
      </c>
      <c r="AB406" s="689">
        <f t="shared" si="64"/>
        <v>18.961281931568067</v>
      </c>
      <c r="AC406" s="689">
        <f t="shared" si="64"/>
        <v>18.961281931568067</v>
      </c>
      <c r="AD406" s="689">
        <f t="shared" si="64"/>
        <v>18.961281931568067</v>
      </c>
      <c r="AE406" s="689">
        <f t="shared" si="64"/>
        <v>18.961281931568067</v>
      </c>
      <c r="AF406" s="689">
        <f t="shared" si="64"/>
        <v>18.961281931568067</v>
      </c>
      <c r="AG406" s="689">
        <f t="shared" si="64"/>
        <v>18.961281931568067</v>
      </c>
      <c r="AH406" s="689">
        <f t="shared" si="64"/>
        <v>18.961281931568067</v>
      </c>
      <c r="AI406" s="689">
        <f t="shared" si="64"/>
        <v>18.961281931568067</v>
      </c>
      <c r="AJ406" s="689">
        <f t="shared" si="64"/>
        <v>18.961281931568067</v>
      </c>
      <c r="AK406" s="689">
        <f t="shared" si="64"/>
        <v>18.961281931568067</v>
      </c>
      <c r="AL406" s="689">
        <f t="shared" si="64"/>
        <v>18.961281931568067</v>
      </c>
      <c r="AM406" s="689">
        <f t="shared" si="64"/>
        <v>18.961281931568067</v>
      </c>
      <c r="AN406" s="689">
        <f t="shared" si="64"/>
        <v>18.961281931568067</v>
      </c>
      <c r="AO406" s="689">
        <f t="shared" si="64"/>
        <v>18.961281931568067</v>
      </c>
      <c r="AP406" s="689">
        <f t="shared" si="64"/>
        <v>18.961281931568067</v>
      </c>
      <c r="AQ406" s="689">
        <f t="shared" si="64"/>
        <v>18.961281931568067</v>
      </c>
      <c r="AR406" s="689">
        <f t="shared" si="64"/>
        <v>18.961281931568067</v>
      </c>
      <c r="AS406" s="689">
        <f t="shared" si="64"/>
        <v>18.961281931568067</v>
      </c>
      <c r="AT406" s="689">
        <f t="shared" si="64"/>
        <v>18.961281931568067</v>
      </c>
      <c r="AU406" s="689">
        <f t="shared" si="64"/>
        <v>18.961281931568067</v>
      </c>
      <c r="AV406" s="689">
        <f t="shared" si="64"/>
        <v>18.961281931568067</v>
      </c>
      <c r="AW406" s="689">
        <f t="shared" si="64"/>
        <v>18.961281931568067</v>
      </c>
    </row>
    <row r="407" spans="1:49" s="683" customFormat="1" x14ac:dyDescent="0.2">
      <c r="A407" s="713" t="s">
        <v>535</v>
      </c>
      <c r="B407" s="689">
        <f t="shared" ref="B407:AW407" si="65">$B$399-($B$401)</f>
        <v>3.2456146201560729</v>
      </c>
      <c r="C407" s="689">
        <f t="shared" si="65"/>
        <v>3.2456146201560729</v>
      </c>
      <c r="D407" s="689">
        <f t="shared" si="65"/>
        <v>3.2456146201560729</v>
      </c>
      <c r="E407" s="689">
        <f t="shared" si="65"/>
        <v>3.2456146201560729</v>
      </c>
      <c r="F407" s="689">
        <f t="shared" si="65"/>
        <v>3.2456146201560729</v>
      </c>
      <c r="G407" s="689">
        <f t="shared" si="65"/>
        <v>3.2456146201560729</v>
      </c>
      <c r="H407" s="689">
        <f t="shared" si="65"/>
        <v>3.2456146201560729</v>
      </c>
      <c r="I407" s="689">
        <f t="shared" si="65"/>
        <v>3.2456146201560729</v>
      </c>
      <c r="J407" s="689">
        <f t="shared" si="65"/>
        <v>3.2456146201560729</v>
      </c>
      <c r="K407" s="689">
        <f t="shared" si="65"/>
        <v>3.2456146201560729</v>
      </c>
      <c r="L407" s="689">
        <f t="shared" si="65"/>
        <v>3.2456146201560729</v>
      </c>
      <c r="M407" s="689">
        <f t="shared" si="65"/>
        <v>3.2456146201560729</v>
      </c>
      <c r="N407" s="689">
        <f t="shared" si="65"/>
        <v>3.2456146201560729</v>
      </c>
      <c r="O407" s="689">
        <f t="shared" si="65"/>
        <v>3.2456146201560729</v>
      </c>
      <c r="P407" s="689">
        <f t="shared" si="65"/>
        <v>3.2456146201560729</v>
      </c>
      <c r="Q407" s="689">
        <f t="shared" si="65"/>
        <v>3.2456146201560729</v>
      </c>
      <c r="R407" s="689">
        <f t="shared" si="65"/>
        <v>3.2456146201560729</v>
      </c>
      <c r="S407" s="689">
        <f t="shared" si="65"/>
        <v>3.2456146201560729</v>
      </c>
      <c r="T407" s="689">
        <f t="shared" si="65"/>
        <v>3.2456146201560729</v>
      </c>
      <c r="U407" s="689">
        <f t="shared" si="65"/>
        <v>3.2456146201560729</v>
      </c>
      <c r="V407" s="689">
        <f t="shared" si="65"/>
        <v>3.2456146201560729</v>
      </c>
      <c r="W407" s="689">
        <f t="shared" si="65"/>
        <v>3.2456146201560729</v>
      </c>
      <c r="X407" s="689">
        <f t="shared" si="65"/>
        <v>3.2456146201560729</v>
      </c>
      <c r="Y407" s="689">
        <f t="shared" si="65"/>
        <v>3.2456146201560729</v>
      </c>
      <c r="Z407" s="689">
        <f t="shared" si="65"/>
        <v>3.2456146201560729</v>
      </c>
      <c r="AA407" s="689">
        <f t="shared" si="65"/>
        <v>3.2456146201560729</v>
      </c>
      <c r="AB407" s="689">
        <f t="shared" si="65"/>
        <v>3.2456146201560729</v>
      </c>
      <c r="AC407" s="689">
        <f t="shared" si="65"/>
        <v>3.2456146201560729</v>
      </c>
      <c r="AD407" s="689">
        <f t="shared" si="65"/>
        <v>3.2456146201560729</v>
      </c>
      <c r="AE407" s="689">
        <f t="shared" si="65"/>
        <v>3.2456146201560729</v>
      </c>
      <c r="AF407" s="689">
        <f t="shared" si="65"/>
        <v>3.2456146201560729</v>
      </c>
      <c r="AG407" s="689">
        <f t="shared" si="65"/>
        <v>3.2456146201560729</v>
      </c>
      <c r="AH407" s="689">
        <f t="shared" si="65"/>
        <v>3.2456146201560729</v>
      </c>
      <c r="AI407" s="689">
        <f t="shared" si="65"/>
        <v>3.2456146201560729</v>
      </c>
      <c r="AJ407" s="689">
        <f t="shared" si="65"/>
        <v>3.2456146201560729</v>
      </c>
      <c r="AK407" s="689">
        <f t="shared" si="65"/>
        <v>3.2456146201560729</v>
      </c>
      <c r="AL407" s="689">
        <f t="shared" si="65"/>
        <v>3.2456146201560729</v>
      </c>
      <c r="AM407" s="689">
        <f t="shared" si="65"/>
        <v>3.2456146201560729</v>
      </c>
      <c r="AN407" s="689">
        <f t="shared" si="65"/>
        <v>3.2456146201560729</v>
      </c>
      <c r="AO407" s="689">
        <f t="shared" si="65"/>
        <v>3.2456146201560729</v>
      </c>
      <c r="AP407" s="689">
        <f t="shared" si="65"/>
        <v>3.2456146201560729</v>
      </c>
      <c r="AQ407" s="689">
        <f t="shared" si="65"/>
        <v>3.2456146201560729</v>
      </c>
      <c r="AR407" s="689">
        <f t="shared" si="65"/>
        <v>3.2456146201560729</v>
      </c>
      <c r="AS407" s="689">
        <f t="shared" si="65"/>
        <v>3.2456146201560729</v>
      </c>
      <c r="AT407" s="689">
        <f t="shared" si="65"/>
        <v>3.2456146201560729</v>
      </c>
      <c r="AU407" s="689">
        <f t="shared" si="65"/>
        <v>3.2456146201560729</v>
      </c>
      <c r="AV407" s="689">
        <f t="shared" si="65"/>
        <v>3.2456146201560729</v>
      </c>
      <c r="AW407" s="689">
        <f t="shared" si="65"/>
        <v>3.2456146201560729</v>
      </c>
    </row>
    <row r="408" spans="1:49" s="683" customFormat="1" ht="25.5" x14ac:dyDescent="0.2">
      <c r="A408" s="693" t="s">
        <v>513</v>
      </c>
      <c r="B408" s="707"/>
      <c r="C408" s="707"/>
      <c r="D408" s="707"/>
      <c r="E408" s="707"/>
      <c r="F408" s="707"/>
      <c r="G408" s="707"/>
      <c r="H408" s="707"/>
      <c r="I408" s="695"/>
      <c r="J408" s="695"/>
      <c r="K408" s="695"/>
      <c r="L408" s="695"/>
      <c r="M408" s="695"/>
      <c r="N408" s="695"/>
      <c r="O408" s="695"/>
      <c r="P408" s="695"/>
      <c r="Q408" s="695"/>
      <c r="R408" s="695"/>
      <c r="S408" s="695"/>
      <c r="T408" s="695"/>
      <c r="U408" s="695"/>
      <c r="V408" s="695"/>
      <c r="W408" s="695"/>
      <c r="X408" s="695"/>
      <c r="Y408" s="695"/>
      <c r="Z408" s="707"/>
      <c r="AA408" s="707"/>
      <c r="AB408" s="707"/>
      <c r="AC408" s="707"/>
      <c r="AD408" s="707"/>
      <c r="AE408" s="707"/>
      <c r="AF408" s="707"/>
      <c r="AG408" s="695"/>
      <c r="AH408" s="695"/>
      <c r="AI408" s="695"/>
      <c r="AJ408" s="695"/>
      <c r="AK408" s="695"/>
      <c r="AL408" s="695"/>
      <c r="AM408" s="695"/>
      <c r="AN408" s="695"/>
      <c r="AO408" s="695"/>
      <c r="AP408" s="695"/>
      <c r="AQ408" s="695"/>
      <c r="AR408" s="695"/>
      <c r="AS408" s="695"/>
      <c r="AT408" s="695"/>
      <c r="AU408" s="695"/>
      <c r="AV408" s="695"/>
      <c r="AW408" s="695"/>
    </row>
    <row r="409" spans="1:49" s="683" customFormat="1" x14ac:dyDescent="0.2">
      <c r="B409" s="707"/>
      <c r="C409" s="707"/>
      <c r="D409" s="707"/>
      <c r="E409" s="707"/>
      <c r="F409" s="707"/>
      <c r="G409" s="707"/>
      <c r="H409" s="707"/>
      <c r="I409" s="707"/>
      <c r="J409" s="707"/>
      <c r="K409" s="707"/>
      <c r="L409" s="707"/>
      <c r="M409" s="707"/>
      <c r="N409" s="707"/>
      <c r="O409" s="707"/>
      <c r="P409" s="707"/>
      <c r="Q409" s="707"/>
      <c r="R409" s="707"/>
      <c r="S409" s="707"/>
      <c r="T409" s="707"/>
      <c r="U409" s="707"/>
      <c r="V409" s="707"/>
      <c r="W409" s="707"/>
      <c r="X409" s="707"/>
      <c r="Y409" s="707"/>
      <c r="Z409" s="707"/>
      <c r="AA409" s="707"/>
      <c r="AB409" s="707"/>
      <c r="AC409" s="707"/>
      <c r="AD409" s="707"/>
      <c r="AE409" s="707"/>
      <c r="AF409" s="707"/>
      <c r="AG409" s="707"/>
      <c r="AH409" s="707"/>
      <c r="AI409" s="707"/>
      <c r="AJ409" s="707"/>
      <c r="AK409" s="707"/>
      <c r="AL409" s="707"/>
      <c r="AM409" s="707"/>
      <c r="AN409" s="707"/>
      <c r="AO409" s="707"/>
      <c r="AP409" s="707"/>
      <c r="AQ409" s="707"/>
      <c r="AR409" s="707"/>
      <c r="AS409" s="707"/>
      <c r="AT409" s="707"/>
      <c r="AU409" s="707"/>
      <c r="AV409" s="707"/>
      <c r="AW409" s="707"/>
    </row>
    <row r="410" spans="1:49" s="683" customFormat="1" x14ac:dyDescent="0.2">
      <c r="B410" s="697">
        <v>42095</v>
      </c>
      <c r="C410" s="697">
        <v>42125</v>
      </c>
      <c r="D410" s="697">
        <v>42156</v>
      </c>
      <c r="E410" s="697">
        <v>42186</v>
      </c>
      <c r="F410" s="697">
        <v>42217</v>
      </c>
      <c r="G410" s="697">
        <v>42248</v>
      </c>
      <c r="H410" s="697">
        <v>42278</v>
      </c>
      <c r="I410" s="698">
        <v>42309</v>
      </c>
      <c r="J410" s="698">
        <v>42339</v>
      </c>
      <c r="K410" s="698">
        <v>42370</v>
      </c>
      <c r="L410" s="698">
        <v>42401</v>
      </c>
      <c r="M410" s="698">
        <v>42430</v>
      </c>
      <c r="N410" s="698">
        <v>42461</v>
      </c>
      <c r="O410" s="698">
        <v>42491</v>
      </c>
      <c r="P410" s="698">
        <v>42522</v>
      </c>
      <c r="Q410" s="698">
        <v>42552</v>
      </c>
      <c r="R410" s="698">
        <v>42583</v>
      </c>
      <c r="S410" s="698">
        <v>42614</v>
      </c>
      <c r="T410" s="698">
        <v>42644</v>
      </c>
      <c r="U410" s="698">
        <v>42675</v>
      </c>
      <c r="V410" s="698">
        <v>42705</v>
      </c>
      <c r="W410" s="698">
        <v>42736</v>
      </c>
      <c r="X410" s="698">
        <v>42767</v>
      </c>
      <c r="Y410" s="698">
        <v>42795</v>
      </c>
      <c r="Z410" s="698">
        <v>42826</v>
      </c>
      <c r="AA410" s="697">
        <v>42856</v>
      </c>
      <c r="AB410" s="698">
        <v>42887</v>
      </c>
      <c r="AC410" s="697">
        <v>42917</v>
      </c>
      <c r="AD410" s="698">
        <v>42948</v>
      </c>
      <c r="AE410" s="697"/>
      <c r="AF410" s="697"/>
      <c r="AG410" s="698"/>
      <c r="AH410" s="698"/>
      <c r="AI410" s="698"/>
      <c r="AJ410" s="698"/>
      <c r="AK410" s="698"/>
      <c r="AL410" s="698"/>
      <c r="AM410" s="698"/>
      <c r="AN410" s="698"/>
      <c r="AO410" s="698"/>
      <c r="AP410" s="698"/>
      <c r="AQ410" s="698"/>
      <c r="AR410" s="698"/>
      <c r="AS410" s="698"/>
      <c r="AT410" s="698"/>
      <c r="AU410" s="698"/>
      <c r="AV410" s="698"/>
      <c r="AW410" s="698"/>
    </row>
    <row r="411" spans="1:49" s="683" customFormat="1" ht="25.5" x14ac:dyDescent="0.2">
      <c r="A411" s="704" t="s">
        <v>261</v>
      </c>
      <c r="B411" s="714">
        <f t="shared" ref="B411:AD411" si="66">B31</f>
        <v>1594</v>
      </c>
      <c r="C411" s="714">
        <f t="shared" si="66"/>
        <v>1716</v>
      </c>
      <c r="D411" s="714">
        <f t="shared" si="66"/>
        <v>1994</v>
      </c>
      <c r="E411" s="714">
        <f t="shared" si="66"/>
        <v>2428</v>
      </c>
      <c r="F411" s="714">
        <f t="shared" si="66"/>
        <v>2320</v>
      </c>
      <c r="G411" s="714">
        <f t="shared" si="66"/>
        <v>2310</v>
      </c>
      <c r="H411" s="714">
        <f t="shared" si="66"/>
        <v>2398</v>
      </c>
      <c r="I411" s="714">
        <f t="shared" si="66"/>
        <v>1383</v>
      </c>
      <c r="J411" s="714">
        <f t="shared" si="66"/>
        <v>1213</v>
      </c>
      <c r="K411" s="714">
        <f t="shared" si="66"/>
        <v>1195</v>
      </c>
      <c r="L411" s="714">
        <f t="shared" si="66"/>
        <v>826</v>
      </c>
      <c r="M411" s="714">
        <f t="shared" si="66"/>
        <v>915</v>
      </c>
      <c r="N411" s="714">
        <f t="shared" si="66"/>
        <v>1513</v>
      </c>
      <c r="O411" s="714">
        <f t="shared" si="66"/>
        <v>1549</v>
      </c>
      <c r="P411" s="714">
        <f t="shared" si="66"/>
        <v>1640</v>
      </c>
      <c r="Q411" s="714">
        <f t="shared" si="66"/>
        <v>1810</v>
      </c>
      <c r="R411" s="714">
        <f t="shared" si="66"/>
        <v>1887</v>
      </c>
      <c r="S411" s="714">
        <f t="shared" si="66"/>
        <v>2047</v>
      </c>
      <c r="T411" s="714">
        <f t="shared" si="66"/>
        <v>2308</v>
      </c>
      <c r="U411" s="714">
        <f t="shared" si="66"/>
        <v>2308</v>
      </c>
      <c r="V411" s="714">
        <f t="shared" si="66"/>
        <v>2250</v>
      </c>
      <c r="W411" s="714">
        <f t="shared" si="66"/>
        <v>2439</v>
      </c>
      <c r="X411" s="714">
        <f t="shared" si="66"/>
        <v>2209</v>
      </c>
      <c r="Y411" s="714">
        <f t="shared" si="66"/>
        <v>2187</v>
      </c>
      <c r="Z411" s="714">
        <f t="shared" si="66"/>
        <v>2561</v>
      </c>
      <c r="AA411" s="714">
        <f t="shared" si="66"/>
        <v>2787</v>
      </c>
      <c r="AB411" s="714">
        <f t="shared" si="66"/>
        <v>3038</v>
      </c>
      <c r="AC411" s="714">
        <f t="shared" si="66"/>
        <v>3329</v>
      </c>
      <c r="AD411" s="714">
        <f t="shared" si="66"/>
        <v>3553</v>
      </c>
      <c r="AE411" s="714"/>
      <c r="AF411" s="714"/>
      <c r="AG411" s="714"/>
      <c r="AH411" s="714"/>
      <c r="AI411" s="714"/>
      <c r="AJ411" s="714"/>
      <c r="AK411" s="714"/>
      <c r="AL411" s="714"/>
      <c r="AM411" s="714"/>
      <c r="AN411" s="714"/>
      <c r="AO411" s="714"/>
      <c r="AP411" s="714"/>
      <c r="AQ411" s="714"/>
      <c r="AR411" s="714"/>
      <c r="AS411" s="714"/>
      <c r="AT411" s="714"/>
      <c r="AU411" s="714"/>
      <c r="AV411" s="714"/>
      <c r="AW411" s="714"/>
    </row>
    <row r="412" spans="1:49" s="683" customFormat="1" x14ac:dyDescent="0.2">
      <c r="A412" s="706" t="s">
        <v>16</v>
      </c>
      <c r="B412" s="683">
        <v>0</v>
      </c>
      <c r="C412" s="683">
        <v>0</v>
      </c>
      <c r="D412" s="683">
        <v>0</v>
      </c>
      <c r="E412" s="683">
        <v>0</v>
      </c>
      <c r="F412" s="683">
        <v>0</v>
      </c>
      <c r="G412" s="683">
        <v>0</v>
      </c>
      <c r="H412" s="683">
        <v>0</v>
      </c>
      <c r="I412" s="683">
        <v>0</v>
      </c>
      <c r="J412" s="683">
        <v>0</v>
      </c>
      <c r="K412" s="683">
        <v>0</v>
      </c>
      <c r="L412" s="683">
        <v>0</v>
      </c>
      <c r="M412" s="683">
        <v>0</v>
      </c>
      <c r="N412" s="683">
        <v>0</v>
      </c>
      <c r="O412" s="683">
        <v>0</v>
      </c>
      <c r="P412" s="683">
        <v>0</v>
      </c>
      <c r="Q412" s="683">
        <v>0</v>
      </c>
      <c r="R412" s="683">
        <v>0</v>
      </c>
      <c r="S412" s="683">
        <v>0</v>
      </c>
      <c r="T412" s="683">
        <v>0</v>
      </c>
      <c r="U412" s="683">
        <v>0</v>
      </c>
      <c r="V412" s="683">
        <v>0</v>
      </c>
      <c r="W412" s="683">
        <v>0</v>
      </c>
      <c r="X412" s="683">
        <v>0</v>
      </c>
      <c r="Y412" s="683">
        <v>0</v>
      </c>
      <c r="Z412" s="683">
        <v>0</v>
      </c>
      <c r="AA412" s="683">
        <v>0</v>
      </c>
      <c r="AB412" s="683">
        <v>0</v>
      </c>
      <c r="AC412" s="683">
        <v>0</v>
      </c>
      <c r="AD412" s="683">
        <v>0</v>
      </c>
      <c r="AE412" s="683">
        <v>0</v>
      </c>
      <c r="AF412" s="683">
        <v>0</v>
      </c>
      <c r="AG412" s="683">
        <v>0</v>
      </c>
      <c r="AH412" s="683">
        <v>0</v>
      </c>
      <c r="AI412" s="683">
        <v>0</v>
      </c>
      <c r="AJ412" s="683">
        <v>0</v>
      </c>
      <c r="AK412" s="683">
        <v>0</v>
      </c>
      <c r="AL412" s="683">
        <v>0</v>
      </c>
      <c r="AM412" s="683">
        <v>0</v>
      </c>
      <c r="AN412" s="683">
        <v>0</v>
      </c>
      <c r="AO412" s="683">
        <v>0</v>
      </c>
      <c r="AP412" s="683">
        <v>0</v>
      </c>
      <c r="AQ412" s="683">
        <v>0</v>
      </c>
      <c r="AR412" s="683">
        <v>0</v>
      </c>
      <c r="AS412" s="683">
        <v>0</v>
      </c>
      <c r="AT412" s="683">
        <v>0</v>
      </c>
      <c r="AU412" s="683">
        <v>0</v>
      </c>
      <c r="AV412" s="683">
        <v>0</v>
      </c>
      <c r="AW412" s="683">
        <v>0</v>
      </c>
    </row>
    <row r="413" spans="1:49" s="683" customFormat="1" ht="25.5" x14ac:dyDescent="0.2">
      <c r="A413" s="704" t="s">
        <v>261</v>
      </c>
      <c r="B413" s="700" t="s">
        <v>515</v>
      </c>
      <c r="C413" s="692"/>
    </row>
    <row r="414" spans="1:49" s="683" customFormat="1" x14ac:dyDescent="0.2">
      <c r="A414" s="693" t="s">
        <v>131</v>
      </c>
      <c r="B414" s="707"/>
    </row>
    <row r="415" spans="1:49" s="683" customFormat="1" x14ac:dyDescent="0.2">
      <c r="A415" s="693" t="s">
        <v>184</v>
      </c>
      <c r="B415" s="707"/>
    </row>
    <row r="416" spans="1:49" s="683" customFormat="1" x14ac:dyDescent="0.2">
      <c r="A416" s="702" t="s">
        <v>490</v>
      </c>
      <c r="B416" s="707"/>
      <c r="C416" s="715">
        <f>(C411-B411)</f>
        <v>122</v>
      </c>
      <c r="D416" s="715">
        <f t="shared" ref="D416:AD416" si="67">(D411-C411)</f>
        <v>278</v>
      </c>
      <c r="E416" s="715">
        <f t="shared" si="67"/>
        <v>434</v>
      </c>
      <c r="F416" s="715">
        <f>(F411-E411)*-1</f>
        <v>108</v>
      </c>
      <c r="G416" s="715">
        <f>(G411-F411)*-1</f>
        <v>10</v>
      </c>
      <c r="H416" s="715">
        <f t="shared" si="67"/>
        <v>88</v>
      </c>
      <c r="I416" s="715">
        <f>(I411-H411)*-1</f>
        <v>1015</v>
      </c>
      <c r="J416" s="715">
        <f>(J411-I411)*-1</f>
        <v>170</v>
      </c>
      <c r="K416" s="715">
        <f>(K411-J411)*-1</f>
        <v>18</v>
      </c>
      <c r="L416" s="715">
        <f>(L411-K411)*-1</f>
        <v>369</v>
      </c>
      <c r="M416" s="715">
        <f t="shared" si="67"/>
        <v>89</v>
      </c>
      <c r="N416" s="715">
        <f t="shared" si="67"/>
        <v>598</v>
      </c>
      <c r="O416" s="715">
        <f t="shared" si="67"/>
        <v>36</v>
      </c>
      <c r="P416" s="715">
        <f t="shared" si="67"/>
        <v>91</v>
      </c>
      <c r="Q416" s="715">
        <f t="shared" si="67"/>
        <v>170</v>
      </c>
      <c r="R416" s="715">
        <f t="shared" si="67"/>
        <v>77</v>
      </c>
      <c r="S416" s="715">
        <f t="shared" si="67"/>
        <v>160</v>
      </c>
      <c r="T416" s="715">
        <f t="shared" si="67"/>
        <v>261</v>
      </c>
      <c r="U416" s="715">
        <f t="shared" si="67"/>
        <v>0</v>
      </c>
      <c r="V416" s="715">
        <f>(V411-U411)*-1</f>
        <v>58</v>
      </c>
      <c r="W416" s="715">
        <f t="shared" si="67"/>
        <v>189</v>
      </c>
      <c r="X416" s="715">
        <f>(X411-W411)*-1</f>
        <v>230</v>
      </c>
      <c r="Y416" s="715">
        <f>(Y411-X411)*-1</f>
        <v>22</v>
      </c>
      <c r="Z416" s="715">
        <f t="shared" si="67"/>
        <v>374</v>
      </c>
      <c r="AA416" s="715">
        <f t="shared" si="67"/>
        <v>226</v>
      </c>
      <c r="AB416" s="715">
        <f t="shared" si="67"/>
        <v>251</v>
      </c>
      <c r="AC416" s="715">
        <f t="shared" si="67"/>
        <v>291</v>
      </c>
      <c r="AD416" s="715">
        <f t="shared" si="67"/>
        <v>224</v>
      </c>
      <c r="AE416" s="692" t="s">
        <v>385</v>
      </c>
      <c r="AF416" s="692" t="s">
        <v>385</v>
      </c>
      <c r="AG416" s="692" t="s">
        <v>385</v>
      </c>
      <c r="AH416" s="692" t="s">
        <v>385</v>
      </c>
      <c r="AI416" s="692" t="s">
        <v>385</v>
      </c>
      <c r="AJ416" s="692" t="s">
        <v>385</v>
      </c>
      <c r="AK416" s="692" t="s">
        <v>385</v>
      </c>
      <c r="AL416" s="692" t="s">
        <v>385</v>
      </c>
      <c r="AM416" s="692" t="s">
        <v>385</v>
      </c>
      <c r="AN416" s="692" t="s">
        <v>385</v>
      </c>
      <c r="AO416" s="692" t="s">
        <v>385</v>
      </c>
      <c r="AP416" s="692" t="s">
        <v>385</v>
      </c>
      <c r="AQ416" s="692" t="s">
        <v>385</v>
      </c>
      <c r="AR416" s="692" t="s">
        <v>385</v>
      </c>
      <c r="AS416" s="692" t="s">
        <v>385</v>
      </c>
      <c r="AT416" s="692" t="s">
        <v>385</v>
      </c>
      <c r="AU416" s="692" t="s">
        <v>385</v>
      </c>
      <c r="AV416" s="692" t="s">
        <v>385</v>
      </c>
      <c r="AW416" s="692" t="s">
        <v>385</v>
      </c>
    </row>
    <row r="417" spans="1:49" s="683" customFormat="1" ht="53.25" x14ac:dyDescent="0.2">
      <c r="A417" s="703" t="s">
        <v>521</v>
      </c>
      <c r="B417" s="707"/>
    </row>
    <row r="418" spans="1:49" s="683" customFormat="1" x14ac:dyDescent="0.2">
      <c r="A418" s="674" t="s">
        <v>492</v>
      </c>
      <c r="B418" s="692">
        <f t="shared" ref="B418:AW418" si="68">AVERAGE($B$411:$AW$411)</f>
        <v>2058.8620689655172</v>
      </c>
      <c r="C418" s="692">
        <f t="shared" si="68"/>
        <v>2058.8620689655172</v>
      </c>
      <c r="D418" s="692">
        <f t="shared" si="68"/>
        <v>2058.8620689655172</v>
      </c>
      <c r="E418" s="692">
        <f t="shared" si="68"/>
        <v>2058.8620689655172</v>
      </c>
      <c r="F418" s="692">
        <f t="shared" si="68"/>
        <v>2058.8620689655172</v>
      </c>
      <c r="G418" s="692">
        <f t="shared" si="68"/>
        <v>2058.8620689655172</v>
      </c>
      <c r="H418" s="692">
        <f t="shared" si="68"/>
        <v>2058.8620689655172</v>
      </c>
      <c r="I418" s="692">
        <f t="shared" si="68"/>
        <v>2058.8620689655172</v>
      </c>
      <c r="J418" s="692">
        <f t="shared" si="68"/>
        <v>2058.8620689655172</v>
      </c>
      <c r="K418" s="692">
        <f t="shared" si="68"/>
        <v>2058.8620689655172</v>
      </c>
      <c r="L418" s="692">
        <f t="shared" si="68"/>
        <v>2058.8620689655172</v>
      </c>
      <c r="M418" s="692">
        <f t="shared" si="68"/>
        <v>2058.8620689655172</v>
      </c>
      <c r="N418" s="692">
        <f t="shared" si="68"/>
        <v>2058.8620689655172</v>
      </c>
      <c r="O418" s="692">
        <f t="shared" si="68"/>
        <v>2058.8620689655172</v>
      </c>
      <c r="P418" s="692">
        <f t="shared" si="68"/>
        <v>2058.8620689655172</v>
      </c>
      <c r="Q418" s="692">
        <f t="shared" si="68"/>
        <v>2058.8620689655172</v>
      </c>
      <c r="R418" s="692">
        <f t="shared" si="68"/>
        <v>2058.8620689655172</v>
      </c>
      <c r="S418" s="692">
        <f t="shared" si="68"/>
        <v>2058.8620689655172</v>
      </c>
      <c r="T418" s="692">
        <f t="shared" si="68"/>
        <v>2058.8620689655172</v>
      </c>
      <c r="U418" s="692">
        <f t="shared" si="68"/>
        <v>2058.8620689655172</v>
      </c>
      <c r="V418" s="692">
        <f t="shared" si="68"/>
        <v>2058.8620689655172</v>
      </c>
      <c r="W418" s="692">
        <f t="shared" si="68"/>
        <v>2058.8620689655172</v>
      </c>
      <c r="X418" s="692">
        <f t="shared" si="68"/>
        <v>2058.8620689655172</v>
      </c>
      <c r="Y418" s="692">
        <f t="shared" si="68"/>
        <v>2058.8620689655172</v>
      </c>
      <c r="Z418" s="692">
        <f t="shared" si="68"/>
        <v>2058.8620689655172</v>
      </c>
      <c r="AA418" s="692">
        <f t="shared" si="68"/>
        <v>2058.8620689655172</v>
      </c>
      <c r="AB418" s="692">
        <f t="shared" si="68"/>
        <v>2058.8620689655172</v>
      </c>
      <c r="AC418" s="692">
        <f t="shared" si="68"/>
        <v>2058.8620689655172</v>
      </c>
      <c r="AD418" s="692">
        <f t="shared" si="68"/>
        <v>2058.8620689655172</v>
      </c>
      <c r="AE418" s="692">
        <f t="shared" si="68"/>
        <v>2058.8620689655172</v>
      </c>
      <c r="AF418" s="692">
        <f t="shared" si="68"/>
        <v>2058.8620689655172</v>
      </c>
      <c r="AG418" s="692">
        <f t="shared" si="68"/>
        <v>2058.8620689655172</v>
      </c>
      <c r="AH418" s="692">
        <f t="shared" si="68"/>
        <v>2058.8620689655172</v>
      </c>
      <c r="AI418" s="692">
        <f t="shared" si="68"/>
        <v>2058.8620689655172</v>
      </c>
      <c r="AJ418" s="692">
        <f t="shared" si="68"/>
        <v>2058.8620689655172</v>
      </c>
      <c r="AK418" s="692">
        <f t="shared" si="68"/>
        <v>2058.8620689655172</v>
      </c>
      <c r="AL418" s="692">
        <f t="shared" si="68"/>
        <v>2058.8620689655172</v>
      </c>
      <c r="AM418" s="692">
        <f t="shared" si="68"/>
        <v>2058.8620689655172</v>
      </c>
      <c r="AN418" s="692">
        <f t="shared" si="68"/>
        <v>2058.8620689655172</v>
      </c>
      <c r="AO418" s="692">
        <f t="shared" si="68"/>
        <v>2058.8620689655172</v>
      </c>
      <c r="AP418" s="692">
        <f t="shared" si="68"/>
        <v>2058.8620689655172</v>
      </c>
      <c r="AQ418" s="692">
        <f t="shared" si="68"/>
        <v>2058.8620689655172</v>
      </c>
      <c r="AR418" s="692">
        <f t="shared" si="68"/>
        <v>2058.8620689655172</v>
      </c>
      <c r="AS418" s="692">
        <f t="shared" si="68"/>
        <v>2058.8620689655172</v>
      </c>
      <c r="AT418" s="692">
        <f t="shared" si="68"/>
        <v>2058.8620689655172</v>
      </c>
      <c r="AU418" s="692">
        <f t="shared" si="68"/>
        <v>2058.8620689655172</v>
      </c>
      <c r="AV418" s="692">
        <f t="shared" si="68"/>
        <v>2058.8620689655172</v>
      </c>
      <c r="AW418" s="692">
        <f t="shared" si="68"/>
        <v>2058.8620689655172</v>
      </c>
    </row>
    <row r="419" spans="1:49" s="683" customFormat="1" x14ac:dyDescent="0.2">
      <c r="A419" s="702" t="s">
        <v>491</v>
      </c>
      <c r="B419" s="689">
        <f>SUM(C416:AW416)/COUNT(C416:AW416)</f>
        <v>212.82142857142858</v>
      </c>
    </row>
    <row r="420" spans="1:49" s="683" customFormat="1" ht="25.5" x14ac:dyDescent="0.2">
      <c r="A420" s="702" t="s">
        <v>494</v>
      </c>
      <c r="B420" s="689">
        <f>B419/1.128</f>
        <v>188.6714792299899</v>
      </c>
    </row>
    <row r="421" spans="1:49" s="683" customFormat="1" x14ac:dyDescent="0.2">
      <c r="A421" s="702" t="s">
        <v>497</v>
      </c>
      <c r="B421" s="692">
        <f t="shared" ref="B421:AW421" si="69">$B$418+(3*$B$420)</f>
        <v>2624.876506655487</v>
      </c>
      <c r="C421" s="692">
        <f t="shared" si="69"/>
        <v>2624.876506655487</v>
      </c>
      <c r="D421" s="692">
        <f t="shared" si="69"/>
        <v>2624.876506655487</v>
      </c>
      <c r="E421" s="692">
        <f t="shared" si="69"/>
        <v>2624.876506655487</v>
      </c>
      <c r="F421" s="692">
        <f t="shared" si="69"/>
        <v>2624.876506655487</v>
      </c>
      <c r="G421" s="692">
        <f t="shared" si="69"/>
        <v>2624.876506655487</v>
      </c>
      <c r="H421" s="692">
        <f t="shared" si="69"/>
        <v>2624.876506655487</v>
      </c>
      <c r="I421" s="692">
        <f t="shared" si="69"/>
        <v>2624.876506655487</v>
      </c>
      <c r="J421" s="692">
        <f t="shared" si="69"/>
        <v>2624.876506655487</v>
      </c>
      <c r="K421" s="692">
        <f t="shared" si="69"/>
        <v>2624.876506655487</v>
      </c>
      <c r="L421" s="692">
        <f t="shared" si="69"/>
        <v>2624.876506655487</v>
      </c>
      <c r="M421" s="692">
        <f t="shared" si="69"/>
        <v>2624.876506655487</v>
      </c>
      <c r="N421" s="692">
        <f t="shared" si="69"/>
        <v>2624.876506655487</v>
      </c>
      <c r="O421" s="692">
        <f t="shared" si="69"/>
        <v>2624.876506655487</v>
      </c>
      <c r="P421" s="692">
        <f t="shared" si="69"/>
        <v>2624.876506655487</v>
      </c>
      <c r="Q421" s="692">
        <f t="shared" si="69"/>
        <v>2624.876506655487</v>
      </c>
      <c r="R421" s="692">
        <f t="shared" si="69"/>
        <v>2624.876506655487</v>
      </c>
      <c r="S421" s="692">
        <f t="shared" si="69"/>
        <v>2624.876506655487</v>
      </c>
      <c r="T421" s="692">
        <f t="shared" si="69"/>
        <v>2624.876506655487</v>
      </c>
      <c r="U421" s="692">
        <f t="shared" si="69"/>
        <v>2624.876506655487</v>
      </c>
      <c r="V421" s="692">
        <f t="shared" si="69"/>
        <v>2624.876506655487</v>
      </c>
      <c r="W421" s="692">
        <f t="shared" si="69"/>
        <v>2624.876506655487</v>
      </c>
      <c r="X421" s="692">
        <f t="shared" si="69"/>
        <v>2624.876506655487</v>
      </c>
      <c r="Y421" s="692">
        <f t="shared" si="69"/>
        <v>2624.876506655487</v>
      </c>
      <c r="Z421" s="692">
        <f t="shared" si="69"/>
        <v>2624.876506655487</v>
      </c>
      <c r="AA421" s="692">
        <f t="shared" si="69"/>
        <v>2624.876506655487</v>
      </c>
      <c r="AB421" s="692">
        <f t="shared" si="69"/>
        <v>2624.876506655487</v>
      </c>
      <c r="AC421" s="692">
        <f t="shared" si="69"/>
        <v>2624.876506655487</v>
      </c>
      <c r="AD421" s="692">
        <f t="shared" si="69"/>
        <v>2624.876506655487</v>
      </c>
      <c r="AE421" s="692">
        <f t="shared" si="69"/>
        <v>2624.876506655487</v>
      </c>
      <c r="AF421" s="692">
        <f t="shared" si="69"/>
        <v>2624.876506655487</v>
      </c>
      <c r="AG421" s="692">
        <f t="shared" si="69"/>
        <v>2624.876506655487</v>
      </c>
      <c r="AH421" s="692">
        <f t="shared" si="69"/>
        <v>2624.876506655487</v>
      </c>
      <c r="AI421" s="692">
        <f t="shared" si="69"/>
        <v>2624.876506655487</v>
      </c>
      <c r="AJ421" s="692">
        <f t="shared" si="69"/>
        <v>2624.876506655487</v>
      </c>
      <c r="AK421" s="692">
        <f t="shared" si="69"/>
        <v>2624.876506655487</v>
      </c>
      <c r="AL421" s="692">
        <f t="shared" si="69"/>
        <v>2624.876506655487</v>
      </c>
      <c r="AM421" s="692">
        <f t="shared" si="69"/>
        <v>2624.876506655487</v>
      </c>
      <c r="AN421" s="692">
        <f t="shared" si="69"/>
        <v>2624.876506655487</v>
      </c>
      <c r="AO421" s="692">
        <f t="shared" si="69"/>
        <v>2624.876506655487</v>
      </c>
      <c r="AP421" s="692">
        <f t="shared" si="69"/>
        <v>2624.876506655487</v>
      </c>
      <c r="AQ421" s="692">
        <f t="shared" si="69"/>
        <v>2624.876506655487</v>
      </c>
      <c r="AR421" s="692">
        <f t="shared" si="69"/>
        <v>2624.876506655487</v>
      </c>
      <c r="AS421" s="692">
        <f t="shared" si="69"/>
        <v>2624.876506655487</v>
      </c>
      <c r="AT421" s="692">
        <f t="shared" si="69"/>
        <v>2624.876506655487</v>
      </c>
      <c r="AU421" s="692">
        <f t="shared" si="69"/>
        <v>2624.876506655487</v>
      </c>
      <c r="AV421" s="692">
        <f t="shared" si="69"/>
        <v>2624.876506655487</v>
      </c>
      <c r="AW421" s="692">
        <f t="shared" si="69"/>
        <v>2624.876506655487</v>
      </c>
    </row>
    <row r="422" spans="1:49" s="683" customFormat="1" x14ac:dyDescent="0.2">
      <c r="A422" s="702" t="s">
        <v>499</v>
      </c>
      <c r="B422" s="692">
        <f t="shared" ref="B422:AW422" si="70">$B$418-(3*$B$420)</f>
        <v>1492.8476312755474</v>
      </c>
      <c r="C422" s="692">
        <f t="shared" si="70"/>
        <v>1492.8476312755474</v>
      </c>
      <c r="D422" s="692">
        <f t="shared" si="70"/>
        <v>1492.8476312755474</v>
      </c>
      <c r="E422" s="692">
        <f t="shared" si="70"/>
        <v>1492.8476312755474</v>
      </c>
      <c r="F422" s="692">
        <f t="shared" si="70"/>
        <v>1492.8476312755474</v>
      </c>
      <c r="G422" s="692">
        <f t="shared" si="70"/>
        <v>1492.8476312755474</v>
      </c>
      <c r="H422" s="692">
        <f t="shared" si="70"/>
        <v>1492.8476312755474</v>
      </c>
      <c r="I422" s="692">
        <f t="shared" si="70"/>
        <v>1492.8476312755474</v>
      </c>
      <c r="J422" s="692">
        <f t="shared" si="70"/>
        <v>1492.8476312755474</v>
      </c>
      <c r="K422" s="692">
        <f t="shared" si="70"/>
        <v>1492.8476312755474</v>
      </c>
      <c r="L422" s="692">
        <f t="shared" si="70"/>
        <v>1492.8476312755474</v>
      </c>
      <c r="M422" s="692">
        <f t="shared" si="70"/>
        <v>1492.8476312755474</v>
      </c>
      <c r="N422" s="692">
        <f t="shared" si="70"/>
        <v>1492.8476312755474</v>
      </c>
      <c r="O422" s="692">
        <f t="shared" si="70"/>
        <v>1492.8476312755474</v>
      </c>
      <c r="P422" s="692">
        <f t="shared" si="70"/>
        <v>1492.8476312755474</v>
      </c>
      <c r="Q422" s="692">
        <f t="shared" si="70"/>
        <v>1492.8476312755474</v>
      </c>
      <c r="R422" s="692">
        <f t="shared" si="70"/>
        <v>1492.8476312755474</v>
      </c>
      <c r="S422" s="692">
        <f t="shared" si="70"/>
        <v>1492.8476312755474</v>
      </c>
      <c r="T422" s="692">
        <f t="shared" si="70"/>
        <v>1492.8476312755474</v>
      </c>
      <c r="U422" s="692">
        <f t="shared" si="70"/>
        <v>1492.8476312755474</v>
      </c>
      <c r="V422" s="692">
        <f t="shared" si="70"/>
        <v>1492.8476312755474</v>
      </c>
      <c r="W422" s="692">
        <f t="shared" si="70"/>
        <v>1492.8476312755474</v>
      </c>
      <c r="X422" s="692">
        <f t="shared" si="70"/>
        <v>1492.8476312755474</v>
      </c>
      <c r="Y422" s="692">
        <f t="shared" si="70"/>
        <v>1492.8476312755474</v>
      </c>
      <c r="Z422" s="692">
        <f t="shared" si="70"/>
        <v>1492.8476312755474</v>
      </c>
      <c r="AA422" s="692">
        <f t="shared" si="70"/>
        <v>1492.8476312755474</v>
      </c>
      <c r="AB422" s="692">
        <f t="shared" si="70"/>
        <v>1492.8476312755474</v>
      </c>
      <c r="AC422" s="692">
        <f t="shared" si="70"/>
        <v>1492.8476312755474</v>
      </c>
      <c r="AD422" s="692">
        <f t="shared" si="70"/>
        <v>1492.8476312755474</v>
      </c>
      <c r="AE422" s="692">
        <f t="shared" si="70"/>
        <v>1492.8476312755474</v>
      </c>
      <c r="AF422" s="692">
        <f t="shared" si="70"/>
        <v>1492.8476312755474</v>
      </c>
      <c r="AG422" s="692">
        <f t="shared" si="70"/>
        <v>1492.8476312755474</v>
      </c>
      <c r="AH422" s="692">
        <f t="shared" si="70"/>
        <v>1492.8476312755474</v>
      </c>
      <c r="AI422" s="692">
        <f t="shared" si="70"/>
        <v>1492.8476312755474</v>
      </c>
      <c r="AJ422" s="692">
        <f t="shared" si="70"/>
        <v>1492.8476312755474</v>
      </c>
      <c r="AK422" s="692">
        <f t="shared" si="70"/>
        <v>1492.8476312755474</v>
      </c>
      <c r="AL422" s="692">
        <f t="shared" si="70"/>
        <v>1492.8476312755474</v>
      </c>
      <c r="AM422" s="692">
        <f t="shared" si="70"/>
        <v>1492.8476312755474</v>
      </c>
      <c r="AN422" s="692">
        <f t="shared" si="70"/>
        <v>1492.8476312755474</v>
      </c>
      <c r="AO422" s="692">
        <f t="shared" si="70"/>
        <v>1492.8476312755474</v>
      </c>
      <c r="AP422" s="692">
        <f t="shared" si="70"/>
        <v>1492.8476312755474</v>
      </c>
      <c r="AQ422" s="692">
        <f t="shared" si="70"/>
        <v>1492.8476312755474</v>
      </c>
      <c r="AR422" s="692">
        <f t="shared" si="70"/>
        <v>1492.8476312755474</v>
      </c>
      <c r="AS422" s="692">
        <f t="shared" si="70"/>
        <v>1492.8476312755474</v>
      </c>
      <c r="AT422" s="692">
        <f t="shared" si="70"/>
        <v>1492.8476312755474</v>
      </c>
      <c r="AU422" s="692">
        <f t="shared" si="70"/>
        <v>1492.8476312755474</v>
      </c>
      <c r="AV422" s="692">
        <f t="shared" si="70"/>
        <v>1492.8476312755474</v>
      </c>
      <c r="AW422" s="692">
        <f t="shared" si="70"/>
        <v>1492.8476312755474</v>
      </c>
    </row>
    <row r="423" spans="1:49" s="683" customFormat="1" ht="25.5" x14ac:dyDescent="0.2">
      <c r="A423" s="693" t="s">
        <v>513</v>
      </c>
      <c r="B423" s="707"/>
    </row>
  </sheetData>
  <mergeCells count="1">
    <mergeCell ref="B3:S3"/>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70C0"/>
  </sheetPr>
  <dimension ref="A1:Q34"/>
  <sheetViews>
    <sheetView workbookViewId="0"/>
  </sheetViews>
  <sheetFormatPr defaultColWidth="9.140625" defaultRowHeight="12.75" x14ac:dyDescent="0.2"/>
  <cols>
    <col min="1" max="1" width="18.85546875" style="117" bestFit="1" customWidth="1"/>
    <col min="2" max="2" width="9.85546875" style="117" bestFit="1" customWidth="1"/>
    <col min="3" max="16384" width="9.140625" style="117"/>
  </cols>
  <sheetData>
    <row r="1" spans="1:17" x14ac:dyDescent="0.2">
      <c r="A1" s="116" t="s">
        <v>360</v>
      </c>
      <c r="E1" s="551"/>
    </row>
    <row r="2" spans="1:17" x14ac:dyDescent="0.2">
      <c r="A2" s="116"/>
    </row>
    <row r="3" spans="1:17" x14ac:dyDescent="0.2">
      <c r="A3" s="137" t="s">
        <v>151</v>
      </c>
      <c r="B3" s="139" t="str">
        <f>IF(HLOOKUP(MAX(B7:Q7),A7:Q9,3,0)&gt;HLOOKUP(MAX(B7:Q7),A7:Q9,2,0),"Better", "Worse")</f>
        <v>Worse</v>
      </c>
      <c r="C3" s="122" t="b">
        <f>IF(HLOOKUP(MAX(B7:Q7),A7:Q9,3,0)=HLOOKUP(MAX(B7:Q7),A7:Q9,2,0),"Equal")</f>
        <v>0</v>
      </c>
    </row>
    <row r="4" spans="1:17" x14ac:dyDescent="0.2">
      <c r="A4" s="137" t="s">
        <v>148</v>
      </c>
      <c r="B4" s="121">
        <f>MAX(B7:Q7)</f>
        <v>42887</v>
      </c>
    </row>
    <row r="5" spans="1:17" x14ac:dyDescent="0.2">
      <c r="A5" s="137" t="s">
        <v>215</v>
      </c>
      <c r="B5" s="138" t="s">
        <v>233</v>
      </c>
    </row>
    <row r="7" spans="1:17" x14ac:dyDescent="0.2">
      <c r="A7" s="146"/>
      <c r="B7" s="167">
        <v>42156</v>
      </c>
      <c r="C7" s="167">
        <v>42248</v>
      </c>
      <c r="D7" s="167">
        <v>42339</v>
      </c>
      <c r="E7" s="167">
        <v>42430</v>
      </c>
      <c r="F7" s="167">
        <v>42522</v>
      </c>
      <c r="G7" s="167">
        <v>42615</v>
      </c>
      <c r="H7" s="167">
        <v>42705</v>
      </c>
      <c r="I7" s="167">
        <v>42795</v>
      </c>
      <c r="J7" s="549">
        <v>42887</v>
      </c>
      <c r="K7" s="167"/>
      <c r="L7" s="167"/>
      <c r="M7" s="167"/>
      <c r="N7" s="167"/>
      <c r="O7" s="167"/>
      <c r="P7" s="167"/>
      <c r="Q7" s="167"/>
    </row>
    <row r="8" spans="1:17" x14ac:dyDescent="0.2">
      <c r="A8" s="168" t="s">
        <v>386</v>
      </c>
      <c r="B8" s="169">
        <v>0.89300000000000002</v>
      </c>
      <c r="C8" s="169">
        <v>0.90300000000000002</v>
      </c>
      <c r="D8" s="169">
        <v>0.93200000000000005</v>
      </c>
      <c r="E8" s="170">
        <v>0.94599999999999995</v>
      </c>
      <c r="F8" s="165">
        <v>0.92200000000000004</v>
      </c>
      <c r="G8" s="169">
        <v>0.90100000000000002</v>
      </c>
      <c r="H8" s="169">
        <v>0.86099999999999999</v>
      </c>
      <c r="I8" s="169">
        <v>0.86699999999999999</v>
      </c>
      <c r="J8" s="169">
        <v>0.82899999999999996</v>
      </c>
      <c r="K8" s="169"/>
      <c r="L8" s="169"/>
      <c r="M8" s="170"/>
      <c r="N8" s="165"/>
      <c r="O8" s="169"/>
      <c r="P8" s="169"/>
      <c r="Q8" s="169"/>
    </row>
    <row r="9" spans="1:17" x14ac:dyDescent="0.2">
      <c r="A9" s="168" t="s">
        <v>387</v>
      </c>
      <c r="B9" s="169">
        <v>0.80700000000000005</v>
      </c>
      <c r="C9" s="169">
        <v>0.77</v>
      </c>
      <c r="D9" s="169">
        <v>0.85399999999999998</v>
      </c>
      <c r="E9" s="169">
        <v>0.89700000000000002</v>
      </c>
      <c r="F9" s="169">
        <v>0.82899999999999996</v>
      </c>
      <c r="G9" s="169">
        <v>0.78600000000000003</v>
      </c>
      <c r="H9" s="169">
        <v>0.75800000000000001</v>
      </c>
      <c r="I9" s="169">
        <v>0.78700000000000003</v>
      </c>
      <c r="J9" s="169">
        <v>0.73499999999999999</v>
      </c>
      <c r="K9" s="169"/>
      <c r="L9" s="169"/>
      <c r="M9" s="169"/>
      <c r="N9" s="169"/>
      <c r="O9" s="169"/>
      <c r="P9" s="169"/>
      <c r="Q9" s="169"/>
    </row>
    <row r="11" spans="1:17" x14ac:dyDescent="0.2">
      <c r="A11" s="155"/>
    </row>
    <row r="15" spans="1:17"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Q26"/>
  <sheetViews>
    <sheetView workbookViewId="0"/>
  </sheetViews>
  <sheetFormatPr defaultColWidth="9.140625" defaultRowHeight="12.75" x14ac:dyDescent="0.2"/>
  <cols>
    <col min="1" max="1" width="43.85546875" style="117" customWidth="1"/>
    <col min="2" max="2" width="9.5703125" style="117" customWidth="1"/>
    <col min="3" max="16384" width="9.140625" style="117"/>
  </cols>
  <sheetData>
    <row r="1" spans="1:17" x14ac:dyDescent="0.2">
      <c r="A1" s="298" t="s">
        <v>360</v>
      </c>
    </row>
    <row r="2" spans="1:17" x14ac:dyDescent="0.2">
      <c r="A2" s="116"/>
    </row>
    <row r="3" spans="1:17" x14ac:dyDescent="0.2">
      <c r="A3" s="118" t="s">
        <v>454</v>
      </c>
      <c r="B3" s="117" t="s">
        <v>50</v>
      </c>
    </row>
    <row r="4" spans="1:17" x14ac:dyDescent="0.2">
      <c r="A4" s="118" t="s">
        <v>147</v>
      </c>
      <c r="B4" s="136">
        <f>HLOOKUP(MAX(B12:AW12),B12:AW19,3,0)</f>
        <v>0.85</v>
      </c>
    </row>
    <row r="5" spans="1:17" x14ac:dyDescent="0.2">
      <c r="A5" s="118" t="s">
        <v>119</v>
      </c>
      <c r="B5" s="121">
        <f>MAX(B12:AW12)</f>
        <v>42887</v>
      </c>
    </row>
    <row r="6" spans="1:17" x14ac:dyDescent="0.2">
      <c r="A6" s="118" t="s">
        <v>201</v>
      </c>
      <c r="B6" s="419" t="s">
        <v>181</v>
      </c>
    </row>
    <row r="7" spans="1:17" x14ac:dyDescent="0.2">
      <c r="A7" s="118" t="s">
        <v>456</v>
      </c>
      <c r="B7" s="173" t="s">
        <v>210</v>
      </c>
    </row>
    <row r="8" spans="1:17" x14ac:dyDescent="0.2">
      <c r="A8" s="137" t="s">
        <v>151</v>
      </c>
      <c r="B8" s="139" t="str">
        <f>IF(HLOOKUP(MAX(B12:Q12),A12:Q14,3,0)&gt;HLOOKUP(MAX(B12:Q12),A12:Q14,2,0),"Better", "Worse")</f>
        <v>Worse</v>
      </c>
      <c r="C8" s="117" t="b">
        <f>IF(HLOOKUP(MAX(B12:Q12),A12:Q14,3,0)=HLOOKUP(MAX(B12:Q12),A12:Q14,2,0),"Equal")</f>
        <v>0</v>
      </c>
    </row>
    <row r="9" spans="1:17" x14ac:dyDescent="0.2">
      <c r="A9" s="137" t="s">
        <v>148</v>
      </c>
      <c r="B9" s="121">
        <f>MAX(B12:Q12)</f>
        <v>42887</v>
      </c>
    </row>
    <row r="10" spans="1:17" x14ac:dyDescent="0.2">
      <c r="A10" s="118"/>
      <c r="B10" s="173"/>
    </row>
    <row r="11" spans="1:17" ht="15" x14ac:dyDescent="0.25">
      <c r="A11" s="455" t="s">
        <v>483</v>
      </c>
    </row>
    <row r="12" spans="1:17" x14ac:dyDescent="0.2">
      <c r="A12" s="243"/>
      <c r="B12" s="174">
        <v>42156</v>
      </c>
      <c r="C12" s="174">
        <v>42248</v>
      </c>
      <c r="D12" s="175">
        <v>42339</v>
      </c>
      <c r="E12" s="175">
        <v>42430</v>
      </c>
      <c r="F12" s="175">
        <v>42522</v>
      </c>
      <c r="G12" s="175">
        <v>42614</v>
      </c>
      <c r="H12" s="175">
        <v>42705</v>
      </c>
      <c r="I12" s="175">
        <v>42795</v>
      </c>
      <c r="J12" s="175">
        <v>42887</v>
      </c>
      <c r="K12" s="174"/>
      <c r="L12" s="175"/>
      <c r="M12" s="175"/>
      <c r="N12" s="175"/>
      <c r="O12" s="175"/>
      <c r="P12" s="175"/>
      <c r="Q12" s="175"/>
    </row>
    <row r="13" spans="1:17" x14ac:dyDescent="0.2">
      <c r="A13" s="575" t="s">
        <v>386</v>
      </c>
      <c r="B13" s="411">
        <v>0.95299999999999996</v>
      </c>
      <c r="C13" s="411">
        <v>0.95599999999999996</v>
      </c>
      <c r="D13" s="431">
        <v>0.95199999999999996</v>
      </c>
      <c r="E13" s="431">
        <v>0.94799999999999995</v>
      </c>
      <c r="F13" s="431">
        <v>0.95</v>
      </c>
      <c r="G13" s="431">
        <v>0.94</v>
      </c>
      <c r="H13" s="431">
        <v>0.95</v>
      </c>
      <c r="I13" s="431">
        <v>0.94899999999999995</v>
      </c>
      <c r="J13" s="431">
        <v>0.94899999999999995</v>
      </c>
      <c r="K13" s="415"/>
      <c r="L13" s="416"/>
      <c r="M13" s="416"/>
      <c r="N13" s="416"/>
      <c r="O13" s="416"/>
      <c r="P13" s="416"/>
      <c r="Q13" s="416"/>
    </row>
    <row r="14" spans="1:17" x14ac:dyDescent="0.2">
      <c r="A14" s="501" t="s">
        <v>387</v>
      </c>
      <c r="B14" s="463">
        <v>0.83499999999999996</v>
      </c>
      <c r="C14" s="463">
        <v>0.82899999999999996</v>
      </c>
      <c r="D14" s="464">
        <v>0.8</v>
      </c>
      <c r="E14" s="464">
        <v>0.84</v>
      </c>
      <c r="F14" s="464">
        <v>0.84099999999999997</v>
      </c>
      <c r="G14" s="464">
        <v>0.84699999999999998</v>
      </c>
      <c r="H14" s="464">
        <v>0.83299999999999996</v>
      </c>
      <c r="I14" s="464">
        <v>0.83299999999999996</v>
      </c>
      <c r="J14" s="464">
        <v>0.85</v>
      </c>
      <c r="K14" s="463"/>
      <c r="L14" s="464"/>
      <c r="M14" s="464"/>
      <c r="N14" s="464"/>
      <c r="O14" s="464"/>
      <c r="P14" s="464"/>
      <c r="Q14" s="464"/>
    </row>
    <row r="15" spans="1:17" x14ac:dyDescent="0.2">
      <c r="A15" s="502" t="s">
        <v>405</v>
      </c>
      <c r="B15" s="503">
        <v>0.80700000000000005</v>
      </c>
      <c r="C15" s="503">
        <v>0.81100000000000005</v>
      </c>
      <c r="D15" s="504">
        <v>0.75800000000000001</v>
      </c>
      <c r="E15" s="504">
        <v>0.77500000000000002</v>
      </c>
      <c r="F15" s="504">
        <v>0.77600000000000002</v>
      </c>
      <c r="G15" s="504">
        <v>0.81499999999999995</v>
      </c>
      <c r="H15" s="504">
        <v>0.80500000000000005</v>
      </c>
      <c r="I15" s="504">
        <v>0.86699999999999999</v>
      </c>
      <c r="J15" s="504">
        <v>0.89300000000000002</v>
      </c>
      <c r="K15" s="130"/>
      <c r="L15" s="246"/>
      <c r="M15" s="246"/>
      <c r="N15" s="246"/>
      <c r="O15" s="246"/>
      <c r="P15" s="246"/>
      <c r="Q15" s="246"/>
    </row>
    <row r="16" spans="1:17" x14ac:dyDescent="0.2">
      <c r="A16" s="502" t="s">
        <v>406</v>
      </c>
      <c r="B16" s="503">
        <v>0.91900000000000004</v>
      </c>
      <c r="C16" s="503">
        <v>0.94799999999999995</v>
      </c>
      <c r="D16" s="504">
        <v>0.94</v>
      </c>
      <c r="E16" s="504">
        <v>0.96299999999999997</v>
      </c>
      <c r="F16" s="504">
        <v>0.97199999999999998</v>
      </c>
      <c r="G16" s="504">
        <v>0.97399999999999998</v>
      </c>
      <c r="H16" s="504">
        <v>0.95699999999999996</v>
      </c>
      <c r="I16" s="504">
        <v>0.746</v>
      </c>
      <c r="J16" s="504">
        <v>0.82399999999999995</v>
      </c>
      <c r="K16" s="130"/>
      <c r="L16" s="246"/>
      <c r="M16" s="246"/>
      <c r="N16" s="246"/>
      <c r="O16" s="246"/>
      <c r="P16" s="246"/>
      <c r="Q16" s="246"/>
    </row>
    <row r="17" spans="1:17" x14ac:dyDescent="0.2">
      <c r="A17" s="505" t="s">
        <v>517</v>
      </c>
      <c r="B17" s="503">
        <v>0.91500000000000004</v>
      </c>
      <c r="C17" s="503">
        <v>0.95</v>
      </c>
      <c r="D17" s="504">
        <v>0.90500000000000003</v>
      </c>
      <c r="E17" s="504">
        <v>0.97199999999999998</v>
      </c>
      <c r="F17" s="504">
        <v>0.95599999999999996</v>
      </c>
      <c r="G17" s="504">
        <v>0.96899999999999997</v>
      </c>
      <c r="H17" s="504">
        <v>0.92600000000000005</v>
      </c>
      <c r="I17" s="504">
        <v>0.64900000000000002</v>
      </c>
      <c r="J17" s="504">
        <v>1</v>
      </c>
      <c r="K17" s="130"/>
      <c r="L17" s="246"/>
      <c r="M17" s="246"/>
      <c r="N17" s="246"/>
      <c r="O17" s="246"/>
      <c r="P17" s="246"/>
      <c r="Q17" s="246"/>
    </row>
    <row r="18" spans="1:17" x14ac:dyDescent="0.2">
      <c r="A18" s="505" t="s">
        <v>518</v>
      </c>
      <c r="B18" s="503">
        <v>0.92400000000000004</v>
      </c>
      <c r="C18" s="503">
        <v>0.94499999999999995</v>
      </c>
      <c r="D18" s="504">
        <v>0.98</v>
      </c>
      <c r="E18" s="504">
        <v>0.95399999999999996</v>
      </c>
      <c r="F18" s="504">
        <v>0.98499999999999999</v>
      </c>
      <c r="G18" s="504">
        <v>0.97899999999999998</v>
      </c>
      <c r="H18" s="504">
        <v>0.97799999999999998</v>
      </c>
      <c r="I18" s="504">
        <v>0.85099999999999998</v>
      </c>
      <c r="J18" s="504">
        <v>0.72199999999999998</v>
      </c>
      <c r="K18" s="130"/>
      <c r="L18" s="246"/>
      <c r="M18" s="246"/>
      <c r="N18" s="246"/>
      <c r="O18" s="246"/>
      <c r="P18" s="246"/>
      <c r="Q18" s="246"/>
    </row>
    <row r="19" spans="1:17" x14ac:dyDescent="0.2">
      <c r="A19" s="505" t="s">
        <v>409</v>
      </c>
      <c r="B19" s="503">
        <v>0.85799999999999998</v>
      </c>
      <c r="C19" s="503">
        <v>0.8</v>
      </c>
      <c r="D19" s="504">
        <v>0.82399999999999995</v>
      </c>
      <c r="E19" s="504">
        <v>0.93200000000000005</v>
      </c>
      <c r="F19" s="504">
        <v>0.91400000000000003</v>
      </c>
      <c r="G19" s="504">
        <v>0.84799999999999998</v>
      </c>
      <c r="H19" s="504">
        <v>0.84799999999999998</v>
      </c>
      <c r="I19" s="504">
        <v>0.78500000000000003</v>
      </c>
      <c r="J19" s="504">
        <v>0.74</v>
      </c>
      <c r="K19" s="130"/>
      <c r="L19" s="246"/>
      <c r="M19" s="246"/>
      <c r="N19" s="246"/>
      <c r="O19" s="246"/>
      <c r="P19" s="246"/>
      <c r="Q19" s="246"/>
    </row>
    <row r="21" spans="1:17" ht="15" x14ac:dyDescent="0.25">
      <c r="A21" s="456" t="s">
        <v>484</v>
      </c>
    </row>
    <row r="22" spans="1:17" x14ac:dyDescent="0.2">
      <c r="A22" s="243"/>
      <c r="B22" s="174">
        <v>42156</v>
      </c>
      <c r="C22" s="174">
        <v>42248</v>
      </c>
      <c r="D22" s="175">
        <v>42339</v>
      </c>
      <c r="E22" s="175">
        <v>42430</v>
      </c>
      <c r="F22" s="175">
        <v>42522</v>
      </c>
      <c r="G22" s="175">
        <v>42614</v>
      </c>
      <c r="H22" s="175">
        <v>42705</v>
      </c>
      <c r="I22" s="175">
        <v>42795</v>
      </c>
      <c r="J22" s="175">
        <v>42887</v>
      </c>
      <c r="K22" s="174"/>
      <c r="L22" s="175"/>
      <c r="M22" s="175"/>
      <c r="N22" s="175"/>
      <c r="O22" s="175"/>
      <c r="P22" s="175"/>
      <c r="Q22" s="175"/>
    </row>
    <row r="23" spans="1:17" x14ac:dyDescent="0.2">
      <c r="A23" s="575" t="s">
        <v>605</v>
      </c>
      <c r="B23" s="411">
        <v>0.95799999999999996</v>
      </c>
      <c r="C23" s="411">
        <v>0.97299999999999998</v>
      </c>
      <c r="D23" s="431">
        <v>0.98399999999999999</v>
      </c>
      <c r="E23" s="431">
        <v>0.96599999999999997</v>
      </c>
      <c r="F23" s="431">
        <v>0.98399999999999999</v>
      </c>
      <c r="G23" s="431">
        <v>0.97699999999999998</v>
      </c>
      <c r="H23" s="431">
        <v>0.96699999999999997</v>
      </c>
      <c r="I23" s="431">
        <v>0.97499999999999998</v>
      </c>
      <c r="J23" s="431">
        <v>0.94499999999999995</v>
      </c>
      <c r="K23" s="415"/>
      <c r="L23" s="416"/>
      <c r="M23" s="416"/>
      <c r="N23" s="416"/>
      <c r="O23" s="416"/>
      <c r="P23" s="416"/>
      <c r="Q23" s="416"/>
    </row>
    <row r="24" spans="1:17" x14ac:dyDescent="0.2">
      <c r="A24" s="501" t="s">
        <v>387</v>
      </c>
      <c r="B24" s="576">
        <v>0.75</v>
      </c>
      <c r="C24" s="576">
        <v>0.82099999999999995</v>
      </c>
      <c r="D24" s="577">
        <v>0.90400000000000003</v>
      </c>
      <c r="E24" s="577">
        <v>0.79100000000000004</v>
      </c>
      <c r="F24" s="577">
        <v>0.90300000000000002</v>
      </c>
      <c r="G24" s="577">
        <v>0.93400000000000005</v>
      </c>
      <c r="H24" s="577">
        <v>0.89900000000000002</v>
      </c>
      <c r="I24" s="577">
        <v>0.89500000000000002</v>
      </c>
      <c r="J24" s="577">
        <v>0.81699999999999995</v>
      </c>
      <c r="K24" s="411"/>
      <c r="L24" s="431"/>
      <c r="M24" s="431"/>
      <c r="N24" s="431"/>
      <c r="O24" s="431"/>
      <c r="P24" s="431"/>
      <c r="Q24" s="431"/>
    </row>
    <row r="25" spans="1:17" x14ac:dyDescent="0.2">
      <c r="A25" s="505" t="s">
        <v>486</v>
      </c>
      <c r="B25" s="503">
        <v>1</v>
      </c>
      <c r="C25" s="503">
        <v>0.98099999999999998</v>
      </c>
      <c r="D25" s="504">
        <v>0.98299999999999998</v>
      </c>
      <c r="E25" s="504">
        <v>0.879</v>
      </c>
      <c r="F25" s="504">
        <v>0.96899999999999997</v>
      </c>
      <c r="G25" s="504">
        <v>0.97</v>
      </c>
      <c r="H25" s="504">
        <v>0.96199999999999997</v>
      </c>
      <c r="I25" s="504">
        <v>0.96799999999999997</v>
      </c>
      <c r="J25" s="504">
        <v>0.79700000000000004</v>
      </c>
      <c r="K25" s="130"/>
      <c r="L25" s="246"/>
      <c r="M25" s="246"/>
      <c r="N25" s="246"/>
      <c r="O25" s="246"/>
      <c r="P25" s="246"/>
      <c r="Q25" s="246"/>
    </row>
    <row r="26" spans="1:17" x14ac:dyDescent="0.2">
      <c r="A26" s="578" t="s">
        <v>485</v>
      </c>
      <c r="B26" s="503">
        <v>0.44600000000000001</v>
      </c>
      <c r="C26" s="503">
        <v>0.48699999999999999</v>
      </c>
      <c r="D26" s="504">
        <v>0.71399999999999997</v>
      </c>
      <c r="E26" s="504">
        <v>0.69199999999999995</v>
      </c>
      <c r="F26" s="504">
        <v>0.81100000000000005</v>
      </c>
      <c r="G26" s="504">
        <v>0.88600000000000001</v>
      </c>
      <c r="H26" s="504">
        <v>0.83799999999999997</v>
      </c>
      <c r="I26" s="504">
        <v>0.82399999999999995</v>
      </c>
      <c r="J26" s="504">
        <v>0.84299999999999997</v>
      </c>
      <c r="K26" s="130"/>
      <c r="L26" s="246"/>
      <c r="M26" s="246"/>
      <c r="N26" s="246"/>
      <c r="O26" s="246"/>
      <c r="P26" s="246"/>
      <c r="Q26" s="246"/>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V119"/>
  <sheetViews>
    <sheetView workbookViewId="0"/>
  </sheetViews>
  <sheetFormatPr defaultColWidth="9.140625" defaultRowHeight="12.75" x14ac:dyDescent="0.2"/>
  <cols>
    <col min="1" max="1" width="19" style="117" bestFit="1" customWidth="1"/>
    <col min="2" max="2" width="10.5703125" style="117" bestFit="1" customWidth="1"/>
    <col min="3" max="3" width="12.7109375" style="157" bestFit="1" customWidth="1"/>
    <col min="4" max="4" width="5.140625" style="117" bestFit="1" customWidth="1"/>
    <col min="5" max="5" width="8.85546875" style="117" bestFit="1" customWidth="1"/>
    <col min="6" max="6" width="9.5703125" style="117" bestFit="1" customWidth="1"/>
    <col min="7" max="8" width="7.7109375" style="117" bestFit="1" customWidth="1"/>
    <col min="9" max="9" width="9.5703125" style="117" bestFit="1" customWidth="1"/>
    <col min="10" max="10" width="7.7109375" style="117" bestFit="1" customWidth="1"/>
    <col min="11" max="11" width="9.5703125" style="117" bestFit="1" customWidth="1"/>
    <col min="12" max="12" width="7.7109375" style="117" bestFit="1" customWidth="1"/>
    <col min="13" max="13" width="9.5703125" style="117" bestFit="1" customWidth="1"/>
    <col min="14" max="16384" width="9.140625" style="117"/>
  </cols>
  <sheetData>
    <row r="1" spans="1:22" x14ac:dyDescent="0.2">
      <c r="A1" s="298" t="s">
        <v>360</v>
      </c>
      <c r="V1" s="451"/>
    </row>
    <row r="2" spans="1:22" x14ac:dyDescent="0.2">
      <c r="A2" s="116"/>
    </row>
    <row r="3" spans="1:22" x14ac:dyDescent="0.2">
      <c r="A3" s="118" t="s">
        <v>454</v>
      </c>
      <c r="B3" s="450" t="s">
        <v>738</v>
      </c>
    </row>
    <row r="4" spans="1:22" x14ac:dyDescent="0.2">
      <c r="A4" s="118" t="s">
        <v>116</v>
      </c>
      <c r="B4" s="187">
        <f>VLOOKUP(MAX(A12:A119),A12:M119,12,0)</f>
        <v>0.25500717207671464</v>
      </c>
      <c r="D4" s="253"/>
    </row>
    <row r="5" spans="1:22" x14ac:dyDescent="0.2">
      <c r="A5" s="118" t="s">
        <v>119</v>
      </c>
      <c r="B5" s="138">
        <f>MAX(A12:A119)</f>
        <v>42948</v>
      </c>
    </row>
    <row r="6" spans="1:22" x14ac:dyDescent="0.2">
      <c r="A6" s="118" t="s">
        <v>201</v>
      </c>
      <c r="B6" s="419"/>
    </row>
    <row r="7" spans="1:22" x14ac:dyDescent="0.2">
      <c r="A7" s="118" t="s">
        <v>456</v>
      </c>
      <c r="B7" s="173" t="s">
        <v>136</v>
      </c>
    </row>
    <row r="8" spans="1:22" x14ac:dyDescent="0.2">
      <c r="A8" s="137" t="s">
        <v>151</v>
      </c>
      <c r="B8" s="139" t="s">
        <v>78</v>
      </c>
    </row>
    <row r="9" spans="1:22" x14ac:dyDescent="0.2">
      <c r="A9" s="137" t="s">
        <v>117</v>
      </c>
      <c r="B9" s="139" t="s">
        <v>78</v>
      </c>
    </row>
    <row r="10" spans="1:22" x14ac:dyDescent="0.2">
      <c r="A10" s="134"/>
    </row>
    <row r="11" spans="1:22" ht="38.25" x14ac:dyDescent="0.2">
      <c r="A11" s="1"/>
      <c r="B11" s="2" t="s">
        <v>383</v>
      </c>
      <c r="C11" s="494" t="s">
        <v>384</v>
      </c>
      <c r="D11" s="3" t="s">
        <v>153</v>
      </c>
      <c r="E11" s="248" t="s">
        <v>131</v>
      </c>
      <c r="F11" s="249" t="s">
        <v>184</v>
      </c>
      <c r="G11" s="63" t="s">
        <v>18</v>
      </c>
      <c r="H11" s="249" t="s">
        <v>318</v>
      </c>
      <c r="I11" s="249" t="s">
        <v>319</v>
      </c>
      <c r="J11" s="249" t="s">
        <v>320</v>
      </c>
      <c r="K11" s="249" t="s">
        <v>321</v>
      </c>
      <c r="L11" s="249" t="s">
        <v>530</v>
      </c>
      <c r="M11" s="249" t="s">
        <v>531</v>
      </c>
    </row>
    <row r="12" spans="1:22" x14ac:dyDescent="0.2">
      <c r="A12" s="186">
        <v>40269</v>
      </c>
      <c r="B12" s="107">
        <v>41</v>
      </c>
      <c r="C12" s="495">
        <v>69674</v>
      </c>
      <c r="D12" s="250">
        <f t="shared" ref="D12:D75" si="0">B12/C12*1000</f>
        <v>0.58845480380055692</v>
      </c>
      <c r="E12" s="250">
        <f>MEDIAN($D$12:$D$23)</f>
        <v>0.38186242472955489</v>
      </c>
      <c r="F12" s="251"/>
      <c r="G12" s="64"/>
      <c r="H12" s="251"/>
      <c r="I12" s="251"/>
      <c r="J12" s="251"/>
      <c r="K12" s="251"/>
      <c r="L12" s="251"/>
      <c r="M12" s="251"/>
    </row>
    <row r="13" spans="1:22" x14ac:dyDescent="0.2">
      <c r="A13" s="186">
        <v>40299</v>
      </c>
      <c r="B13" s="107">
        <v>36</v>
      </c>
      <c r="C13" s="495">
        <v>69736</v>
      </c>
      <c r="D13" s="250">
        <f t="shared" si="0"/>
        <v>0.51623264884708042</v>
      </c>
      <c r="E13" s="250">
        <f t="shared" ref="E13:E23" si="1">MEDIAN($D$12:$D$23)</f>
        <v>0.38186242472955489</v>
      </c>
      <c r="F13" s="251"/>
      <c r="G13" s="64"/>
      <c r="H13" s="251"/>
      <c r="I13" s="251"/>
      <c r="J13" s="251"/>
      <c r="K13" s="251"/>
      <c r="L13" s="251"/>
      <c r="M13" s="251"/>
    </row>
    <row r="14" spans="1:22" x14ac:dyDescent="0.2">
      <c r="A14" s="186">
        <v>40330</v>
      </c>
      <c r="B14" s="107">
        <v>25</v>
      </c>
      <c r="C14" s="495">
        <v>67399</v>
      </c>
      <c r="D14" s="250">
        <f t="shared" si="0"/>
        <v>0.37092538464962388</v>
      </c>
      <c r="E14" s="250">
        <f t="shared" si="1"/>
        <v>0.38186242472955489</v>
      </c>
      <c r="F14" s="251"/>
      <c r="G14" s="64"/>
      <c r="H14" s="251"/>
      <c r="I14" s="251"/>
      <c r="J14" s="251"/>
      <c r="K14" s="251"/>
      <c r="L14" s="251"/>
      <c r="M14" s="251"/>
    </row>
    <row r="15" spans="1:22" x14ac:dyDescent="0.2">
      <c r="A15" s="186">
        <v>40360</v>
      </c>
      <c r="B15" s="107">
        <v>28</v>
      </c>
      <c r="C15" s="495">
        <v>67033</v>
      </c>
      <c r="D15" s="250">
        <f t="shared" si="0"/>
        <v>0.41770471260423969</v>
      </c>
      <c r="E15" s="250">
        <f t="shared" si="1"/>
        <v>0.38186242472955489</v>
      </c>
      <c r="F15" s="251"/>
      <c r="G15" s="64"/>
      <c r="H15" s="251"/>
      <c r="I15" s="251"/>
      <c r="J15" s="251"/>
      <c r="K15" s="251"/>
      <c r="L15" s="251"/>
      <c r="M15" s="251"/>
    </row>
    <row r="16" spans="1:22" x14ac:dyDescent="0.2">
      <c r="A16" s="186">
        <v>40391</v>
      </c>
      <c r="B16" s="107">
        <v>26</v>
      </c>
      <c r="C16" s="495">
        <v>68336</v>
      </c>
      <c r="D16" s="250">
        <f t="shared" si="0"/>
        <v>0.38047295715289159</v>
      </c>
      <c r="E16" s="250">
        <f t="shared" si="1"/>
        <v>0.38186242472955489</v>
      </c>
      <c r="F16" s="251"/>
      <c r="G16" s="64"/>
      <c r="H16" s="251"/>
      <c r="I16" s="251"/>
      <c r="J16" s="251"/>
      <c r="K16" s="251"/>
      <c r="L16" s="251"/>
      <c r="M16" s="251"/>
    </row>
    <row r="17" spans="1:13" x14ac:dyDescent="0.2">
      <c r="A17" s="186">
        <v>40422</v>
      </c>
      <c r="B17" s="107">
        <v>28</v>
      </c>
      <c r="C17" s="495">
        <v>73059</v>
      </c>
      <c r="D17" s="250">
        <f t="shared" si="0"/>
        <v>0.38325189230621826</v>
      </c>
      <c r="E17" s="250">
        <f t="shared" si="1"/>
        <v>0.38186242472955489</v>
      </c>
      <c r="F17" s="251"/>
      <c r="G17" s="64"/>
      <c r="H17" s="251"/>
      <c r="I17" s="251"/>
      <c r="J17" s="251"/>
      <c r="K17" s="251"/>
      <c r="L17" s="251"/>
      <c r="M17" s="251"/>
    </row>
    <row r="18" spans="1:13" x14ac:dyDescent="0.2">
      <c r="A18" s="186">
        <v>40452</v>
      </c>
      <c r="B18" s="107">
        <v>34</v>
      </c>
      <c r="C18" s="495">
        <v>79053</v>
      </c>
      <c r="D18" s="250">
        <f t="shared" si="0"/>
        <v>0.43009120463486522</v>
      </c>
      <c r="E18" s="250">
        <f t="shared" si="1"/>
        <v>0.38186242472955489</v>
      </c>
      <c r="F18" s="251"/>
      <c r="G18" s="64"/>
      <c r="H18" s="251"/>
      <c r="I18" s="251"/>
      <c r="J18" s="251"/>
      <c r="K18" s="251"/>
      <c r="L18" s="251"/>
      <c r="M18" s="251"/>
    </row>
    <row r="19" spans="1:13" x14ac:dyDescent="0.2">
      <c r="A19" s="186">
        <v>40483</v>
      </c>
      <c r="B19" s="107">
        <v>28</v>
      </c>
      <c r="C19" s="495">
        <v>78167</v>
      </c>
      <c r="D19" s="250">
        <f t="shared" si="0"/>
        <v>0.35820742768687552</v>
      </c>
      <c r="E19" s="250">
        <f t="shared" si="1"/>
        <v>0.38186242472955489</v>
      </c>
      <c r="F19" s="251"/>
      <c r="G19" s="64"/>
      <c r="H19" s="251"/>
      <c r="I19" s="251"/>
      <c r="J19" s="251"/>
      <c r="K19" s="251"/>
      <c r="L19" s="251"/>
      <c r="M19" s="251"/>
    </row>
    <row r="20" spans="1:13" x14ac:dyDescent="0.2">
      <c r="A20" s="186">
        <v>40513</v>
      </c>
      <c r="B20" s="107">
        <v>38</v>
      </c>
      <c r="C20" s="495">
        <v>78541</v>
      </c>
      <c r="D20" s="250">
        <f t="shared" si="0"/>
        <v>0.48382373537388118</v>
      </c>
      <c r="E20" s="250">
        <f t="shared" si="1"/>
        <v>0.38186242472955489</v>
      </c>
      <c r="F20" s="251"/>
      <c r="G20" s="64"/>
      <c r="H20" s="251"/>
      <c r="I20" s="251"/>
      <c r="J20" s="251"/>
      <c r="K20" s="251"/>
      <c r="L20" s="251"/>
      <c r="M20" s="251"/>
    </row>
    <row r="21" spans="1:13" x14ac:dyDescent="0.2">
      <c r="A21" s="186">
        <v>40544</v>
      </c>
      <c r="B21" s="107">
        <v>30</v>
      </c>
      <c r="C21" s="495">
        <v>81505</v>
      </c>
      <c r="D21" s="250">
        <f t="shared" si="0"/>
        <v>0.36807557818538739</v>
      </c>
      <c r="E21" s="250">
        <f t="shared" si="1"/>
        <v>0.38186242472955489</v>
      </c>
      <c r="F21" s="251"/>
      <c r="G21" s="64"/>
      <c r="H21" s="251"/>
      <c r="I21" s="251"/>
      <c r="J21" s="251"/>
      <c r="K21" s="251"/>
      <c r="L21" s="251"/>
      <c r="M21" s="251"/>
    </row>
    <row r="22" spans="1:13" x14ac:dyDescent="0.2">
      <c r="A22" s="186">
        <v>40575</v>
      </c>
      <c r="B22" s="107">
        <v>22</v>
      </c>
      <c r="C22" s="495">
        <v>73694</v>
      </c>
      <c r="D22" s="250">
        <f t="shared" si="0"/>
        <v>0.29853176649388008</v>
      </c>
      <c r="E22" s="250">
        <f t="shared" si="1"/>
        <v>0.38186242472955489</v>
      </c>
      <c r="F22" s="251"/>
      <c r="G22" s="64"/>
      <c r="H22" s="251"/>
      <c r="I22" s="251"/>
      <c r="J22" s="251"/>
      <c r="K22" s="251"/>
      <c r="L22" s="251"/>
      <c r="M22" s="251"/>
    </row>
    <row r="23" spans="1:13" x14ac:dyDescent="0.2">
      <c r="A23" s="186">
        <v>40603</v>
      </c>
      <c r="B23" s="107">
        <v>24</v>
      </c>
      <c r="C23" s="495">
        <v>80117</v>
      </c>
      <c r="D23" s="250">
        <f t="shared" si="0"/>
        <v>0.29956189073480038</v>
      </c>
      <c r="E23" s="250">
        <f t="shared" si="1"/>
        <v>0.38186242472955489</v>
      </c>
      <c r="F23" s="250"/>
      <c r="G23" s="64"/>
      <c r="H23" s="251"/>
      <c r="I23" s="251"/>
      <c r="J23" s="251"/>
      <c r="K23" s="251"/>
      <c r="L23" s="251"/>
      <c r="M23" s="251"/>
    </row>
    <row r="24" spans="1:13" x14ac:dyDescent="0.2">
      <c r="A24" s="186">
        <v>40634</v>
      </c>
      <c r="B24" s="107">
        <v>21</v>
      </c>
      <c r="C24" s="495">
        <v>75433</v>
      </c>
      <c r="D24" s="250">
        <f t="shared" si="0"/>
        <v>0.27839274588045021</v>
      </c>
      <c r="E24" s="250"/>
      <c r="F24" s="250">
        <f t="shared" ref="F24:F42" si="2">MEDIAN($D$12:$D$23)</f>
        <v>0.38186242472955489</v>
      </c>
      <c r="G24" s="64"/>
      <c r="H24" s="251"/>
      <c r="I24" s="251"/>
      <c r="J24" s="251"/>
      <c r="K24" s="251"/>
      <c r="L24" s="251"/>
      <c r="M24" s="251"/>
    </row>
    <row r="25" spans="1:13" x14ac:dyDescent="0.2">
      <c r="A25" s="186">
        <v>40664</v>
      </c>
      <c r="B25" s="107">
        <v>33</v>
      </c>
      <c r="C25" s="495">
        <v>78415</v>
      </c>
      <c r="D25" s="250">
        <f t="shared" si="0"/>
        <v>0.4208378499011669</v>
      </c>
      <c r="E25" s="250"/>
      <c r="F25" s="250">
        <f t="shared" si="2"/>
        <v>0.38186242472955489</v>
      </c>
      <c r="G25" s="64"/>
      <c r="H25" s="251"/>
      <c r="I25" s="251"/>
      <c r="J25" s="251"/>
      <c r="K25" s="251"/>
      <c r="L25" s="251"/>
      <c r="M25" s="251"/>
    </row>
    <row r="26" spans="1:13" x14ac:dyDescent="0.2">
      <c r="A26" s="186">
        <v>40695</v>
      </c>
      <c r="B26" s="107">
        <v>28</v>
      </c>
      <c r="C26" s="495">
        <v>76999</v>
      </c>
      <c r="D26" s="250">
        <f t="shared" si="0"/>
        <v>0.36364108624787339</v>
      </c>
      <c r="E26" s="250"/>
      <c r="F26" s="250">
        <f t="shared" si="2"/>
        <v>0.38186242472955489</v>
      </c>
      <c r="G26" s="64"/>
      <c r="H26" s="251"/>
      <c r="I26" s="251"/>
      <c r="J26" s="251"/>
      <c r="K26" s="251"/>
      <c r="L26" s="251"/>
      <c r="M26" s="251"/>
    </row>
    <row r="27" spans="1:13" x14ac:dyDescent="0.2">
      <c r="A27" s="186">
        <v>40725</v>
      </c>
      <c r="B27" s="107">
        <v>27</v>
      </c>
      <c r="C27" s="495">
        <v>77388</v>
      </c>
      <c r="D27" s="250">
        <f t="shared" si="0"/>
        <v>0.34889130097689564</v>
      </c>
      <c r="E27" s="250"/>
      <c r="F27" s="250">
        <f t="shared" si="2"/>
        <v>0.38186242472955489</v>
      </c>
      <c r="G27" s="64"/>
      <c r="H27" s="251"/>
      <c r="I27" s="251"/>
      <c r="J27" s="251"/>
      <c r="K27" s="251"/>
      <c r="L27" s="251"/>
      <c r="M27" s="251"/>
    </row>
    <row r="28" spans="1:13" x14ac:dyDescent="0.2">
      <c r="A28" s="186">
        <v>40756</v>
      </c>
      <c r="B28" s="107">
        <v>28</v>
      </c>
      <c r="C28" s="495">
        <v>78816</v>
      </c>
      <c r="D28" s="250">
        <f t="shared" si="0"/>
        <v>0.35525781567194481</v>
      </c>
      <c r="E28" s="250"/>
      <c r="F28" s="250">
        <f t="shared" si="2"/>
        <v>0.38186242472955489</v>
      </c>
      <c r="G28" s="64"/>
      <c r="H28" s="251"/>
      <c r="I28" s="251"/>
      <c r="J28" s="251"/>
      <c r="K28" s="251"/>
      <c r="L28" s="251"/>
      <c r="M28" s="251"/>
    </row>
    <row r="29" spans="1:13" x14ac:dyDescent="0.2">
      <c r="A29" s="186">
        <v>40787</v>
      </c>
      <c r="B29" s="107">
        <v>28</v>
      </c>
      <c r="C29" s="495">
        <v>76254</v>
      </c>
      <c r="D29" s="250">
        <f t="shared" si="0"/>
        <v>0.36719385212579009</v>
      </c>
      <c r="E29" s="250"/>
      <c r="F29" s="250">
        <f t="shared" si="2"/>
        <v>0.38186242472955489</v>
      </c>
      <c r="G29" s="64"/>
      <c r="H29" s="251"/>
      <c r="I29" s="251"/>
      <c r="J29" s="251"/>
      <c r="K29" s="251"/>
      <c r="L29" s="251"/>
      <c r="M29" s="251"/>
    </row>
    <row r="30" spans="1:13" x14ac:dyDescent="0.2">
      <c r="A30" s="186">
        <v>40817</v>
      </c>
      <c r="B30" s="107">
        <v>35</v>
      </c>
      <c r="C30" s="495">
        <v>79579</v>
      </c>
      <c r="D30" s="250">
        <f t="shared" si="0"/>
        <v>0.43981452393219317</v>
      </c>
      <c r="E30" s="250"/>
      <c r="F30" s="250">
        <f t="shared" si="2"/>
        <v>0.38186242472955489</v>
      </c>
      <c r="G30" s="64"/>
      <c r="H30" s="251"/>
      <c r="I30" s="251"/>
      <c r="J30" s="251"/>
      <c r="K30" s="251"/>
      <c r="L30" s="251"/>
      <c r="M30" s="251"/>
    </row>
    <row r="31" spans="1:13" x14ac:dyDescent="0.2">
      <c r="A31" s="186">
        <v>40848</v>
      </c>
      <c r="B31" s="107">
        <v>27</v>
      </c>
      <c r="C31" s="495">
        <v>78273</v>
      </c>
      <c r="D31" s="250">
        <f t="shared" si="0"/>
        <v>0.34494653328734043</v>
      </c>
      <c r="E31" s="250"/>
      <c r="F31" s="250">
        <f t="shared" si="2"/>
        <v>0.38186242472955489</v>
      </c>
      <c r="G31" s="64"/>
      <c r="H31" s="251"/>
      <c r="I31" s="251"/>
      <c r="J31" s="251"/>
      <c r="K31" s="251"/>
      <c r="L31" s="251"/>
      <c r="M31" s="251"/>
    </row>
    <row r="32" spans="1:13" x14ac:dyDescent="0.2">
      <c r="A32" s="186">
        <v>40878</v>
      </c>
      <c r="B32" s="107">
        <v>35</v>
      </c>
      <c r="C32" s="495">
        <v>79423</v>
      </c>
      <c r="D32" s="250">
        <f t="shared" si="0"/>
        <v>0.44067839290885508</v>
      </c>
      <c r="E32" s="250"/>
      <c r="F32" s="250">
        <f t="shared" si="2"/>
        <v>0.38186242472955489</v>
      </c>
      <c r="G32" s="64"/>
      <c r="H32" s="251"/>
      <c r="I32" s="251"/>
      <c r="J32" s="251"/>
      <c r="K32" s="251"/>
      <c r="L32" s="251"/>
      <c r="M32" s="251"/>
    </row>
    <row r="33" spans="1:13" x14ac:dyDescent="0.2">
      <c r="A33" s="186">
        <v>40909</v>
      </c>
      <c r="B33" s="100">
        <v>23</v>
      </c>
      <c r="C33" s="490">
        <v>82291</v>
      </c>
      <c r="D33" s="250">
        <f t="shared" si="0"/>
        <v>0.27949593515694304</v>
      </c>
      <c r="E33" s="250"/>
      <c r="F33" s="250">
        <f t="shared" si="2"/>
        <v>0.38186242472955489</v>
      </c>
      <c r="G33" s="64"/>
      <c r="H33" s="251"/>
      <c r="I33" s="251"/>
      <c r="J33" s="251"/>
      <c r="K33" s="251"/>
      <c r="L33" s="251"/>
      <c r="M33" s="251"/>
    </row>
    <row r="34" spans="1:13" x14ac:dyDescent="0.2">
      <c r="A34" s="186">
        <v>40940</v>
      </c>
      <c r="B34" s="100">
        <v>24</v>
      </c>
      <c r="C34" s="490">
        <v>77249</v>
      </c>
      <c r="D34" s="250">
        <f t="shared" si="0"/>
        <v>0.31068363344509314</v>
      </c>
      <c r="E34" s="250"/>
      <c r="F34" s="250">
        <f t="shared" si="2"/>
        <v>0.38186242472955489</v>
      </c>
      <c r="G34" s="64"/>
      <c r="H34" s="251"/>
      <c r="I34" s="251"/>
      <c r="J34" s="251"/>
      <c r="K34" s="251"/>
      <c r="L34" s="251"/>
      <c r="M34" s="251"/>
    </row>
    <row r="35" spans="1:13" x14ac:dyDescent="0.2">
      <c r="A35" s="186">
        <v>40969</v>
      </c>
      <c r="B35" s="100">
        <v>30</v>
      </c>
      <c r="C35" s="490">
        <v>81904</v>
      </c>
      <c r="D35" s="250">
        <f t="shared" si="0"/>
        <v>0.36628247704629807</v>
      </c>
      <c r="E35" s="250"/>
      <c r="F35" s="250">
        <f t="shared" si="2"/>
        <v>0.38186242472955489</v>
      </c>
      <c r="G35" s="64"/>
      <c r="H35" s="251"/>
      <c r="I35" s="251"/>
      <c r="J35" s="251"/>
      <c r="K35" s="251"/>
      <c r="L35" s="251"/>
      <c r="M35" s="251"/>
    </row>
    <row r="36" spans="1:13" x14ac:dyDescent="0.2">
      <c r="A36" s="186">
        <v>41000</v>
      </c>
      <c r="B36" s="100">
        <v>23</v>
      </c>
      <c r="C36" s="490">
        <v>79310</v>
      </c>
      <c r="D36" s="250">
        <f t="shared" si="0"/>
        <v>0.2900012608750473</v>
      </c>
      <c r="E36" s="250"/>
      <c r="F36" s="250">
        <f t="shared" si="2"/>
        <v>0.38186242472955489</v>
      </c>
      <c r="G36" s="64">
        <f>$E$12*0.8</f>
        <v>0.30548993978364392</v>
      </c>
      <c r="H36" s="251"/>
      <c r="I36" s="251"/>
      <c r="J36" s="251"/>
      <c r="K36" s="251"/>
      <c r="L36" s="251"/>
      <c r="M36" s="251"/>
    </row>
    <row r="37" spans="1:13" x14ac:dyDescent="0.2">
      <c r="A37" s="186">
        <v>41030</v>
      </c>
      <c r="B37" s="100">
        <v>33</v>
      </c>
      <c r="C37" s="490">
        <v>80979</v>
      </c>
      <c r="D37" s="250">
        <f t="shared" si="0"/>
        <v>0.40751305894120698</v>
      </c>
      <c r="E37" s="250"/>
      <c r="F37" s="250">
        <f t="shared" si="2"/>
        <v>0.38186242472955489</v>
      </c>
      <c r="G37" s="64">
        <f t="shared" ref="G37:G100" si="3">$E$12*0.8</f>
        <v>0.30548993978364392</v>
      </c>
      <c r="H37" s="251"/>
      <c r="I37" s="251"/>
      <c r="J37" s="251"/>
      <c r="K37" s="251"/>
      <c r="L37" s="251"/>
      <c r="M37" s="251"/>
    </row>
    <row r="38" spans="1:13" x14ac:dyDescent="0.2">
      <c r="A38" s="186">
        <v>41061</v>
      </c>
      <c r="B38" s="100">
        <v>20</v>
      </c>
      <c r="C38" s="490">
        <v>78235</v>
      </c>
      <c r="D38" s="250">
        <f t="shared" si="0"/>
        <v>0.25564005879721352</v>
      </c>
      <c r="E38" s="250"/>
      <c r="F38" s="250">
        <f t="shared" si="2"/>
        <v>0.38186242472955489</v>
      </c>
      <c r="G38" s="64">
        <f t="shared" si="3"/>
        <v>0.30548993978364392</v>
      </c>
      <c r="H38" s="250"/>
      <c r="I38" s="250"/>
      <c r="J38" s="250"/>
      <c r="K38" s="250"/>
      <c r="L38" s="250"/>
      <c r="M38" s="250"/>
    </row>
    <row r="39" spans="1:13" x14ac:dyDescent="0.2">
      <c r="A39" s="186">
        <v>41091</v>
      </c>
      <c r="B39" s="100">
        <v>16</v>
      </c>
      <c r="C39" s="490">
        <v>78102</v>
      </c>
      <c r="D39" s="250">
        <f t="shared" si="0"/>
        <v>0.20486031087552176</v>
      </c>
      <c r="E39" s="250"/>
      <c r="F39" s="250">
        <f t="shared" si="2"/>
        <v>0.38186242472955489</v>
      </c>
      <c r="G39" s="64">
        <f t="shared" si="3"/>
        <v>0.30548993978364392</v>
      </c>
      <c r="H39" s="250"/>
      <c r="I39" s="250"/>
      <c r="J39" s="250"/>
      <c r="K39" s="250"/>
      <c r="L39" s="250"/>
      <c r="M39" s="250"/>
    </row>
    <row r="40" spans="1:13" x14ac:dyDescent="0.2">
      <c r="A40" s="186">
        <v>41122</v>
      </c>
      <c r="B40" s="100">
        <v>21</v>
      </c>
      <c r="C40" s="490">
        <v>79006</v>
      </c>
      <c r="D40" s="250">
        <f t="shared" si="0"/>
        <v>0.26580259727109334</v>
      </c>
      <c r="E40" s="250"/>
      <c r="F40" s="250">
        <f t="shared" si="2"/>
        <v>0.38186242472955489</v>
      </c>
      <c r="G40" s="64">
        <f t="shared" si="3"/>
        <v>0.30548993978364392</v>
      </c>
      <c r="H40" s="250"/>
      <c r="I40" s="250"/>
      <c r="J40" s="250"/>
      <c r="K40" s="250"/>
      <c r="L40" s="250"/>
      <c r="M40" s="250"/>
    </row>
    <row r="41" spans="1:13" x14ac:dyDescent="0.2">
      <c r="A41" s="186">
        <v>41153</v>
      </c>
      <c r="B41" s="100">
        <v>11</v>
      </c>
      <c r="C41" s="490">
        <v>76772</v>
      </c>
      <c r="D41" s="250">
        <f t="shared" si="0"/>
        <v>0.14328140467878914</v>
      </c>
      <c r="E41" s="250"/>
      <c r="F41" s="250">
        <f t="shared" si="2"/>
        <v>0.38186242472955489</v>
      </c>
      <c r="G41" s="64">
        <f t="shared" si="3"/>
        <v>0.30548993978364392</v>
      </c>
      <c r="H41" s="250"/>
      <c r="I41" s="250"/>
      <c r="J41" s="250"/>
      <c r="K41" s="250"/>
      <c r="L41" s="250"/>
      <c r="M41" s="250"/>
    </row>
    <row r="42" spans="1:13" x14ac:dyDescent="0.2">
      <c r="A42" s="186">
        <v>41183</v>
      </c>
      <c r="B42" s="100">
        <v>32</v>
      </c>
      <c r="C42" s="490">
        <v>80381</v>
      </c>
      <c r="D42" s="250">
        <f t="shared" si="0"/>
        <v>0.39810402955922419</v>
      </c>
      <c r="E42" s="250"/>
      <c r="F42" s="250">
        <f t="shared" si="2"/>
        <v>0.38186242472955489</v>
      </c>
      <c r="G42" s="64">
        <f t="shared" si="3"/>
        <v>0.30548993978364392</v>
      </c>
      <c r="H42" s="250"/>
      <c r="I42" s="250"/>
      <c r="J42" s="250"/>
      <c r="K42" s="250"/>
      <c r="L42" s="250"/>
      <c r="M42" s="250"/>
    </row>
    <row r="43" spans="1:13" x14ac:dyDescent="0.2">
      <c r="A43" s="186">
        <v>41214</v>
      </c>
      <c r="B43" s="100">
        <v>17</v>
      </c>
      <c r="C43" s="490">
        <v>78170</v>
      </c>
      <c r="D43" s="250">
        <f t="shared" si="0"/>
        <v>0.21747473455289754</v>
      </c>
      <c r="E43" s="250"/>
      <c r="F43" s="250"/>
      <c r="G43" s="64">
        <f t="shared" si="3"/>
        <v>0.30548993978364392</v>
      </c>
      <c r="H43" s="250">
        <f>MEDIAN($D$43:$D$54)</f>
        <v>0.27448835309958441</v>
      </c>
      <c r="I43" s="250"/>
      <c r="J43" s="250"/>
      <c r="K43" s="250"/>
      <c r="L43" s="250"/>
      <c r="M43" s="250"/>
    </row>
    <row r="44" spans="1:13" x14ac:dyDescent="0.2">
      <c r="A44" s="186">
        <v>41244</v>
      </c>
      <c r="B44" s="100">
        <v>22</v>
      </c>
      <c r="C44" s="490">
        <v>79758</v>
      </c>
      <c r="D44" s="250">
        <f t="shared" si="0"/>
        <v>0.27583439905714785</v>
      </c>
      <c r="E44" s="250"/>
      <c r="F44" s="250"/>
      <c r="G44" s="64">
        <f t="shared" si="3"/>
        <v>0.30548993978364392</v>
      </c>
      <c r="H44" s="250">
        <f t="shared" ref="H44:I59" si="4">MEDIAN($D$43:$D$54)</f>
        <v>0.27448835309958441</v>
      </c>
      <c r="I44" s="250"/>
      <c r="J44" s="250"/>
      <c r="K44" s="250"/>
      <c r="L44" s="250"/>
      <c r="M44" s="250"/>
    </row>
    <row r="45" spans="1:13" x14ac:dyDescent="0.2">
      <c r="A45" s="186">
        <v>41275</v>
      </c>
      <c r="B45" s="100">
        <v>30</v>
      </c>
      <c r="C45" s="490">
        <v>84817</v>
      </c>
      <c r="D45" s="250">
        <f t="shared" si="0"/>
        <v>0.35370267752926893</v>
      </c>
      <c r="E45" s="250"/>
      <c r="F45" s="250"/>
      <c r="G45" s="64">
        <f t="shared" si="3"/>
        <v>0.30548993978364392</v>
      </c>
      <c r="H45" s="250">
        <f t="shared" si="4"/>
        <v>0.27448835309958441</v>
      </c>
      <c r="I45" s="250"/>
      <c r="J45" s="250"/>
      <c r="K45" s="250"/>
      <c r="L45" s="250"/>
      <c r="M45" s="250"/>
    </row>
    <row r="46" spans="1:13" x14ac:dyDescent="0.2">
      <c r="A46" s="186">
        <v>41306</v>
      </c>
      <c r="B46" s="100">
        <v>19</v>
      </c>
      <c r="C46" s="490">
        <v>75228</v>
      </c>
      <c r="D46" s="250">
        <f t="shared" si="0"/>
        <v>0.25256553410964006</v>
      </c>
      <c r="E46" s="250"/>
      <c r="F46" s="250"/>
      <c r="G46" s="64">
        <f t="shared" si="3"/>
        <v>0.30548993978364392</v>
      </c>
      <c r="H46" s="250">
        <f t="shared" si="4"/>
        <v>0.27448835309958441</v>
      </c>
      <c r="I46" s="250"/>
      <c r="J46" s="250"/>
      <c r="K46" s="250"/>
      <c r="L46" s="250"/>
      <c r="M46" s="250"/>
    </row>
    <row r="47" spans="1:13" x14ac:dyDescent="0.2">
      <c r="A47" s="186">
        <v>41334</v>
      </c>
      <c r="B47" s="100">
        <v>29</v>
      </c>
      <c r="C47" s="490">
        <v>82192</v>
      </c>
      <c r="D47" s="250">
        <f t="shared" si="0"/>
        <v>0.35283239244695347</v>
      </c>
      <c r="E47" s="250"/>
      <c r="F47" s="250"/>
      <c r="G47" s="64">
        <f t="shared" si="3"/>
        <v>0.30548993978364392</v>
      </c>
      <c r="H47" s="250">
        <f t="shared" si="4"/>
        <v>0.27448835309958441</v>
      </c>
      <c r="I47" s="250"/>
      <c r="J47" s="250"/>
      <c r="K47" s="250"/>
      <c r="L47" s="250"/>
      <c r="M47" s="250"/>
    </row>
    <row r="48" spans="1:13" x14ac:dyDescent="0.2">
      <c r="A48" s="186">
        <v>41365</v>
      </c>
      <c r="B48" s="100">
        <v>19</v>
      </c>
      <c r="C48" s="490">
        <v>79664</v>
      </c>
      <c r="D48" s="250">
        <f t="shared" si="0"/>
        <v>0.23850170717011449</v>
      </c>
      <c r="E48" s="250"/>
      <c r="F48" s="250"/>
      <c r="G48" s="64">
        <f t="shared" si="3"/>
        <v>0.30548993978364392</v>
      </c>
      <c r="H48" s="250">
        <f t="shared" si="4"/>
        <v>0.27448835309958441</v>
      </c>
      <c r="I48" s="250"/>
      <c r="J48" s="250"/>
      <c r="K48" s="250"/>
      <c r="L48" s="250"/>
      <c r="M48" s="250"/>
    </row>
    <row r="49" spans="1:13" x14ac:dyDescent="0.2">
      <c r="A49" s="186">
        <v>41395</v>
      </c>
      <c r="B49" s="108">
        <v>14</v>
      </c>
      <c r="C49" s="490">
        <v>79466</v>
      </c>
      <c r="D49" s="250">
        <f t="shared" si="0"/>
        <v>0.17617597463065968</v>
      </c>
      <c r="E49" s="250"/>
      <c r="F49" s="250"/>
      <c r="G49" s="64">
        <f t="shared" si="3"/>
        <v>0.30548993978364392</v>
      </c>
      <c r="H49" s="250">
        <f t="shared" si="4"/>
        <v>0.27448835309958441</v>
      </c>
      <c r="I49" s="250"/>
      <c r="J49" s="250"/>
      <c r="K49" s="250"/>
      <c r="L49" s="250"/>
      <c r="M49" s="250"/>
    </row>
    <row r="50" spans="1:13" x14ac:dyDescent="0.2">
      <c r="A50" s="186">
        <v>41426</v>
      </c>
      <c r="B50" s="108">
        <v>14</v>
      </c>
      <c r="C50" s="490">
        <v>77888</v>
      </c>
      <c r="D50" s="250">
        <f t="shared" si="0"/>
        <v>0.17974527526705014</v>
      </c>
      <c r="E50" s="250"/>
      <c r="F50" s="250"/>
      <c r="G50" s="64">
        <f t="shared" si="3"/>
        <v>0.30548993978364392</v>
      </c>
      <c r="H50" s="250">
        <f t="shared" si="4"/>
        <v>0.27448835309958441</v>
      </c>
      <c r="I50" s="250"/>
      <c r="J50" s="250"/>
      <c r="K50" s="250"/>
      <c r="L50" s="250"/>
      <c r="M50" s="250"/>
    </row>
    <row r="51" spans="1:13" x14ac:dyDescent="0.2">
      <c r="A51" s="186">
        <v>41456</v>
      </c>
      <c r="B51" s="108">
        <v>27</v>
      </c>
      <c r="C51" s="490">
        <v>78943</v>
      </c>
      <c r="D51" s="250">
        <f t="shared" si="0"/>
        <v>0.34201892504718595</v>
      </c>
      <c r="E51" s="250"/>
      <c r="F51" s="250"/>
      <c r="G51" s="64">
        <f t="shared" si="3"/>
        <v>0.30548993978364392</v>
      </c>
      <c r="H51" s="250">
        <f t="shared" si="4"/>
        <v>0.27448835309958441</v>
      </c>
      <c r="I51" s="250"/>
      <c r="J51" s="250"/>
      <c r="K51" s="250"/>
      <c r="L51" s="250"/>
      <c r="M51" s="250"/>
    </row>
    <row r="52" spans="1:13" x14ac:dyDescent="0.2">
      <c r="A52" s="186">
        <v>41487</v>
      </c>
      <c r="B52" s="108">
        <v>22</v>
      </c>
      <c r="C52" s="490">
        <v>79211</v>
      </c>
      <c r="D52" s="250">
        <f t="shared" si="0"/>
        <v>0.27773920288848769</v>
      </c>
      <c r="E52" s="250"/>
      <c r="F52" s="250"/>
      <c r="G52" s="64">
        <f t="shared" si="3"/>
        <v>0.30548993978364392</v>
      </c>
      <c r="H52" s="250">
        <f t="shared" si="4"/>
        <v>0.27448835309958441</v>
      </c>
      <c r="I52" s="250"/>
      <c r="J52" s="250"/>
      <c r="K52" s="250"/>
      <c r="L52" s="250"/>
      <c r="M52" s="250"/>
    </row>
    <row r="53" spans="1:13" x14ac:dyDescent="0.2">
      <c r="A53" s="186">
        <v>41518</v>
      </c>
      <c r="B53" s="108">
        <v>21</v>
      </c>
      <c r="C53" s="490">
        <v>76883</v>
      </c>
      <c r="D53" s="250">
        <f t="shared" si="0"/>
        <v>0.27314230714202098</v>
      </c>
      <c r="E53" s="250"/>
      <c r="F53" s="250"/>
      <c r="G53" s="64">
        <f t="shared" si="3"/>
        <v>0.30548993978364392</v>
      </c>
      <c r="H53" s="250">
        <f t="shared" si="4"/>
        <v>0.27448835309958441</v>
      </c>
      <c r="I53" s="250"/>
      <c r="J53" s="250"/>
      <c r="K53" s="250"/>
      <c r="L53" s="250"/>
      <c r="M53" s="250"/>
    </row>
    <row r="54" spans="1:13" x14ac:dyDescent="0.2">
      <c r="A54" s="186">
        <v>41548</v>
      </c>
      <c r="B54" s="108">
        <v>30</v>
      </c>
      <c r="C54" s="490">
        <v>80707</v>
      </c>
      <c r="D54" s="250">
        <f t="shared" si="0"/>
        <v>0.37171496896180012</v>
      </c>
      <c r="E54" s="250"/>
      <c r="F54" s="250"/>
      <c r="G54" s="64">
        <f t="shared" si="3"/>
        <v>0.30548993978364392</v>
      </c>
      <c r="H54" s="250">
        <f t="shared" si="4"/>
        <v>0.27448835309958441</v>
      </c>
      <c r="I54" s="250"/>
      <c r="J54" s="250"/>
      <c r="K54" s="250"/>
      <c r="L54" s="250"/>
      <c r="M54" s="250"/>
    </row>
    <row r="55" spans="1:13" x14ac:dyDescent="0.2">
      <c r="A55" s="186">
        <v>41579</v>
      </c>
      <c r="B55" s="108">
        <v>26</v>
      </c>
      <c r="C55" s="490">
        <v>79131</v>
      </c>
      <c r="D55" s="250">
        <f t="shared" si="0"/>
        <v>0.32856908164941678</v>
      </c>
      <c r="E55" s="250"/>
      <c r="F55" s="250"/>
      <c r="G55" s="64">
        <f t="shared" si="3"/>
        <v>0.30548993978364392</v>
      </c>
      <c r="H55" s="250"/>
      <c r="I55" s="250">
        <f t="shared" si="4"/>
        <v>0.27448835309958441</v>
      </c>
      <c r="J55" s="250"/>
      <c r="K55" s="250"/>
      <c r="L55" s="250"/>
      <c r="M55" s="250"/>
    </row>
    <row r="56" spans="1:13" x14ac:dyDescent="0.2">
      <c r="A56" s="186">
        <v>41609</v>
      </c>
      <c r="B56" s="108">
        <v>22</v>
      </c>
      <c r="C56" s="490">
        <v>79425</v>
      </c>
      <c r="D56" s="250">
        <f t="shared" si="0"/>
        <v>0.27699087189172178</v>
      </c>
      <c r="E56" s="250"/>
      <c r="F56" s="250"/>
      <c r="G56" s="64">
        <f t="shared" si="3"/>
        <v>0.30548993978364392</v>
      </c>
      <c r="H56" s="250"/>
      <c r="I56" s="250">
        <f t="shared" si="4"/>
        <v>0.27448835309958441</v>
      </c>
      <c r="J56" s="250"/>
      <c r="K56" s="250"/>
      <c r="L56" s="250"/>
      <c r="M56" s="250"/>
    </row>
    <row r="57" spans="1:13" x14ac:dyDescent="0.2">
      <c r="A57" s="186">
        <v>41640</v>
      </c>
      <c r="B57" s="108">
        <v>28</v>
      </c>
      <c r="C57" s="490">
        <v>84839</v>
      </c>
      <c r="D57" s="250">
        <f t="shared" si="0"/>
        <v>0.33003689340987047</v>
      </c>
      <c r="E57" s="250"/>
      <c r="F57" s="250"/>
      <c r="G57" s="64">
        <f t="shared" si="3"/>
        <v>0.30548993978364392</v>
      </c>
      <c r="H57" s="250"/>
      <c r="I57" s="250">
        <f t="shared" si="4"/>
        <v>0.27448835309958441</v>
      </c>
      <c r="J57" s="250"/>
      <c r="K57" s="250"/>
      <c r="L57" s="250"/>
      <c r="M57" s="250"/>
    </row>
    <row r="58" spans="1:13" x14ac:dyDescent="0.2">
      <c r="A58" s="186">
        <v>41671</v>
      </c>
      <c r="B58" s="108">
        <v>17</v>
      </c>
      <c r="C58" s="490">
        <v>77390</v>
      </c>
      <c r="D58" s="250">
        <f t="shared" si="0"/>
        <v>0.2196666235947797</v>
      </c>
      <c r="E58" s="250"/>
      <c r="F58" s="250"/>
      <c r="G58" s="64">
        <f t="shared" si="3"/>
        <v>0.30548993978364392</v>
      </c>
      <c r="H58" s="250"/>
      <c r="I58" s="250">
        <f t="shared" si="4"/>
        <v>0.27448835309958441</v>
      </c>
      <c r="J58" s="250"/>
      <c r="K58" s="250"/>
      <c r="L58" s="250"/>
      <c r="M58" s="250"/>
    </row>
    <row r="59" spans="1:13" x14ac:dyDescent="0.2">
      <c r="A59" s="186">
        <v>41699</v>
      </c>
      <c r="B59" s="108">
        <v>28</v>
      </c>
      <c r="C59" s="490">
        <v>85693</v>
      </c>
      <c r="D59" s="250">
        <f t="shared" si="0"/>
        <v>0.32674780903924472</v>
      </c>
      <c r="E59" s="250"/>
      <c r="F59" s="250"/>
      <c r="G59" s="64">
        <f t="shared" si="3"/>
        <v>0.30548993978364392</v>
      </c>
      <c r="H59" s="250"/>
      <c r="I59" s="250">
        <f t="shared" si="4"/>
        <v>0.27448835309958441</v>
      </c>
      <c r="J59" s="250"/>
      <c r="K59" s="250"/>
      <c r="L59" s="250"/>
      <c r="M59" s="250"/>
    </row>
    <row r="60" spans="1:13" x14ac:dyDescent="0.2">
      <c r="A60" s="186">
        <v>41730</v>
      </c>
      <c r="B60" s="108">
        <v>37</v>
      </c>
      <c r="C60" s="490">
        <v>81335</v>
      </c>
      <c r="D60" s="250">
        <f t="shared" si="0"/>
        <v>0.45490871088707197</v>
      </c>
      <c r="E60" s="250"/>
      <c r="F60" s="250"/>
      <c r="G60" s="64">
        <f t="shared" si="3"/>
        <v>0.30548993978364392</v>
      </c>
      <c r="H60" s="250"/>
      <c r="I60" s="250">
        <f>MEDIAN($D$43:$D$54)</f>
        <v>0.27448835309958441</v>
      </c>
      <c r="J60" s="250"/>
      <c r="K60" s="250"/>
      <c r="L60" s="250"/>
      <c r="M60" s="250"/>
    </row>
    <row r="61" spans="1:13" x14ac:dyDescent="0.2">
      <c r="A61" s="186">
        <v>41760</v>
      </c>
      <c r="B61" s="108">
        <v>21</v>
      </c>
      <c r="C61" s="490">
        <v>87820</v>
      </c>
      <c r="D61" s="250">
        <f t="shared" si="0"/>
        <v>0.23912548394443178</v>
      </c>
      <c r="E61" s="250"/>
      <c r="F61" s="250"/>
      <c r="G61" s="64">
        <f t="shared" si="3"/>
        <v>0.30548993978364392</v>
      </c>
      <c r="H61" s="250"/>
      <c r="I61" s="250"/>
      <c r="J61" s="250">
        <f t="shared" ref="J61:J72" si="5">MEDIAN($D$61:$D$72)</f>
        <v>0.18194489612478679</v>
      </c>
      <c r="K61" s="250"/>
      <c r="L61" s="250"/>
      <c r="M61" s="250"/>
    </row>
    <row r="62" spans="1:13" x14ac:dyDescent="0.2">
      <c r="A62" s="186">
        <v>41791</v>
      </c>
      <c r="B62" s="108">
        <v>20</v>
      </c>
      <c r="C62" s="490">
        <v>88849</v>
      </c>
      <c r="D62" s="250">
        <f t="shared" si="0"/>
        <v>0.22510101408006841</v>
      </c>
      <c r="E62" s="250"/>
      <c r="F62" s="250"/>
      <c r="G62" s="64">
        <f t="shared" si="3"/>
        <v>0.30548993978364392</v>
      </c>
      <c r="H62" s="250"/>
      <c r="I62" s="250"/>
      <c r="J62" s="250">
        <f t="shared" si="5"/>
        <v>0.18194489612478679</v>
      </c>
      <c r="K62" s="250"/>
      <c r="L62" s="250"/>
      <c r="M62" s="250"/>
    </row>
    <row r="63" spans="1:13" x14ac:dyDescent="0.2">
      <c r="A63" s="186">
        <v>41821</v>
      </c>
      <c r="B63" s="108">
        <v>16</v>
      </c>
      <c r="C63" s="490">
        <v>93651</v>
      </c>
      <c r="D63" s="250">
        <f t="shared" si="0"/>
        <v>0.17084708118439737</v>
      </c>
      <c r="E63" s="250"/>
      <c r="F63" s="250"/>
      <c r="G63" s="64">
        <f t="shared" si="3"/>
        <v>0.30548993978364392</v>
      </c>
      <c r="H63" s="250"/>
      <c r="I63" s="250"/>
      <c r="J63" s="250">
        <f t="shared" si="5"/>
        <v>0.18194489612478679</v>
      </c>
      <c r="K63" s="250"/>
      <c r="L63" s="250"/>
      <c r="M63" s="250"/>
    </row>
    <row r="64" spans="1:13" x14ac:dyDescent="0.2">
      <c r="A64" s="186">
        <v>41852</v>
      </c>
      <c r="B64" s="108">
        <v>26</v>
      </c>
      <c r="C64" s="490">
        <v>97697</v>
      </c>
      <c r="D64" s="250">
        <f t="shared" si="0"/>
        <v>0.26612894971186424</v>
      </c>
      <c r="E64" s="250"/>
      <c r="F64" s="250"/>
      <c r="G64" s="64">
        <f t="shared" si="3"/>
        <v>0.30548993978364392</v>
      </c>
      <c r="H64" s="250"/>
      <c r="I64" s="250"/>
      <c r="J64" s="250">
        <f t="shared" si="5"/>
        <v>0.18194489612478679</v>
      </c>
      <c r="K64" s="250"/>
      <c r="L64" s="250"/>
      <c r="M64" s="250"/>
    </row>
    <row r="65" spans="1:13" x14ac:dyDescent="0.2">
      <c r="A65" s="186">
        <v>41883</v>
      </c>
      <c r="B65" s="108">
        <v>13</v>
      </c>
      <c r="C65" s="490">
        <v>95164</v>
      </c>
      <c r="D65" s="250">
        <f t="shared" si="0"/>
        <v>0.13660627968559541</v>
      </c>
      <c r="E65" s="250"/>
      <c r="F65" s="250"/>
      <c r="G65" s="64">
        <f t="shared" si="3"/>
        <v>0.30548993978364392</v>
      </c>
      <c r="H65" s="250"/>
      <c r="I65" s="250"/>
      <c r="J65" s="250">
        <f t="shared" si="5"/>
        <v>0.18194489612478679</v>
      </c>
      <c r="K65" s="250"/>
      <c r="L65" s="250"/>
      <c r="M65" s="250"/>
    </row>
    <row r="66" spans="1:13" x14ac:dyDescent="0.2">
      <c r="A66" s="186">
        <v>41913</v>
      </c>
      <c r="B66" s="108">
        <v>18</v>
      </c>
      <c r="C66" s="490">
        <v>98721</v>
      </c>
      <c r="D66" s="250">
        <f t="shared" si="0"/>
        <v>0.1823320266204759</v>
      </c>
      <c r="E66" s="250"/>
      <c r="F66" s="250"/>
      <c r="G66" s="64">
        <f t="shared" si="3"/>
        <v>0.30548993978364392</v>
      </c>
      <c r="H66" s="250"/>
      <c r="I66" s="250"/>
      <c r="J66" s="250">
        <f t="shared" si="5"/>
        <v>0.18194489612478679</v>
      </c>
      <c r="K66" s="250"/>
      <c r="L66" s="250"/>
      <c r="M66" s="250"/>
    </row>
    <row r="67" spans="1:13" x14ac:dyDescent="0.2">
      <c r="A67" s="186">
        <v>41944</v>
      </c>
      <c r="B67" s="108">
        <v>17</v>
      </c>
      <c r="C67" s="490">
        <v>95631</v>
      </c>
      <c r="D67" s="250">
        <f t="shared" si="0"/>
        <v>0.17776662379353977</v>
      </c>
      <c r="E67" s="250"/>
      <c r="F67" s="250"/>
      <c r="G67" s="64">
        <f t="shared" si="3"/>
        <v>0.30548993978364392</v>
      </c>
      <c r="H67" s="250"/>
      <c r="I67" s="250"/>
      <c r="J67" s="250">
        <f t="shared" si="5"/>
        <v>0.18194489612478679</v>
      </c>
      <c r="K67" s="250"/>
      <c r="L67" s="250"/>
      <c r="M67" s="250"/>
    </row>
    <row r="68" spans="1:13" x14ac:dyDescent="0.2">
      <c r="A68" s="186">
        <v>41974</v>
      </c>
      <c r="B68" s="108">
        <v>16</v>
      </c>
      <c r="C68" s="490">
        <v>96110</v>
      </c>
      <c r="D68" s="250">
        <f t="shared" si="0"/>
        <v>0.16647591301633544</v>
      </c>
      <c r="E68" s="250"/>
      <c r="F68" s="250"/>
      <c r="G68" s="64">
        <f t="shared" si="3"/>
        <v>0.30548993978364392</v>
      </c>
      <c r="H68" s="250"/>
      <c r="I68" s="250"/>
      <c r="J68" s="250">
        <f t="shared" si="5"/>
        <v>0.18194489612478679</v>
      </c>
      <c r="K68" s="250"/>
      <c r="L68" s="250"/>
      <c r="M68" s="250"/>
    </row>
    <row r="69" spans="1:13" x14ac:dyDescent="0.2">
      <c r="A69" s="186">
        <v>42005</v>
      </c>
      <c r="B69" s="108">
        <v>12</v>
      </c>
      <c r="C69" s="490">
        <v>99421</v>
      </c>
      <c r="D69" s="250">
        <f t="shared" si="0"/>
        <v>0.12069884632019393</v>
      </c>
      <c r="E69" s="250"/>
      <c r="F69" s="250"/>
      <c r="G69" s="64">
        <f t="shared" si="3"/>
        <v>0.30548993978364392</v>
      </c>
      <c r="H69" s="250"/>
      <c r="I69" s="250"/>
      <c r="J69" s="250">
        <f t="shared" si="5"/>
        <v>0.18194489612478679</v>
      </c>
      <c r="K69" s="250"/>
      <c r="L69" s="250"/>
      <c r="M69" s="250"/>
    </row>
    <row r="70" spans="1:13" x14ac:dyDescent="0.2">
      <c r="A70" s="186">
        <v>42036</v>
      </c>
      <c r="B70" s="108">
        <v>22</v>
      </c>
      <c r="C70" s="490">
        <v>90745</v>
      </c>
      <c r="D70" s="250">
        <f t="shared" si="0"/>
        <v>0.24243759986776131</v>
      </c>
      <c r="E70" s="250"/>
      <c r="F70" s="250"/>
      <c r="G70" s="64">
        <f t="shared" si="3"/>
        <v>0.30548993978364392</v>
      </c>
      <c r="H70" s="250"/>
      <c r="I70" s="250"/>
      <c r="J70" s="250">
        <f t="shared" si="5"/>
        <v>0.18194489612478679</v>
      </c>
      <c r="K70" s="250"/>
      <c r="L70" s="250"/>
      <c r="M70" s="250"/>
    </row>
    <row r="71" spans="1:13" x14ac:dyDescent="0.2">
      <c r="A71" s="186">
        <v>42064</v>
      </c>
      <c r="B71" s="108">
        <v>18</v>
      </c>
      <c r="C71" s="490">
        <v>99142</v>
      </c>
      <c r="D71" s="250">
        <f t="shared" si="0"/>
        <v>0.18155776562909767</v>
      </c>
      <c r="E71" s="250"/>
      <c r="F71" s="250"/>
      <c r="G71" s="64">
        <f t="shared" si="3"/>
        <v>0.30548993978364392</v>
      </c>
      <c r="H71" s="250"/>
      <c r="I71" s="250"/>
      <c r="J71" s="250">
        <f t="shared" si="5"/>
        <v>0.18194489612478679</v>
      </c>
      <c r="K71" s="250"/>
      <c r="L71" s="250"/>
      <c r="M71" s="250"/>
    </row>
    <row r="72" spans="1:13" x14ac:dyDescent="0.2">
      <c r="A72" s="186">
        <v>42095</v>
      </c>
      <c r="B72" s="108">
        <v>18</v>
      </c>
      <c r="C72" s="490">
        <v>94368</v>
      </c>
      <c r="D72" s="250">
        <f t="shared" si="0"/>
        <v>0.19074262461851474</v>
      </c>
      <c r="E72" s="250"/>
      <c r="F72" s="250"/>
      <c r="G72" s="64">
        <f t="shared" si="3"/>
        <v>0.30548993978364392</v>
      </c>
      <c r="H72" s="250"/>
      <c r="I72" s="250"/>
      <c r="J72" s="250">
        <f t="shared" si="5"/>
        <v>0.18194489612478679</v>
      </c>
      <c r="K72" s="250"/>
      <c r="L72" s="250"/>
      <c r="M72" s="250"/>
    </row>
    <row r="73" spans="1:13" x14ac:dyDescent="0.2">
      <c r="A73" s="186">
        <v>42125</v>
      </c>
      <c r="B73" s="108">
        <v>16</v>
      </c>
      <c r="C73" s="490">
        <v>94966</v>
      </c>
      <c r="D73" s="250">
        <f t="shared" si="0"/>
        <v>0.16848135122043681</v>
      </c>
      <c r="E73" s="250"/>
      <c r="F73" s="250"/>
      <c r="G73" s="64">
        <f t="shared" si="3"/>
        <v>0.30548993978364392</v>
      </c>
      <c r="H73" s="250"/>
      <c r="I73" s="250"/>
      <c r="J73" s="250"/>
      <c r="K73" s="250">
        <f t="shared" ref="K73:K91" si="6">MEDIAN($D$61:$D$72)</f>
        <v>0.18194489612478679</v>
      </c>
      <c r="L73" s="250"/>
      <c r="M73" s="250"/>
    </row>
    <row r="74" spans="1:13" x14ac:dyDescent="0.2">
      <c r="A74" s="186">
        <v>42156</v>
      </c>
      <c r="B74" s="108">
        <v>17</v>
      </c>
      <c r="C74" s="490">
        <v>90326</v>
      </c>
      <c r="D74" s="250">
        <f t="shared" si="0"/>
        <v>0.18820716072891525</v>
      </c>
      <c r="E74" s="250"/>
      <c r="F74" s="250"/>
      <c r="G74" s="64">
        <f t="shared" si="3"/>
        <v>0.30548993978364392</v>
      </c>
      <c r="H74" s="250"/>
      <c r="I74" s="250"/>
      <c r="J74" s="250"/>
      <c r="K74" s="250">
        <f t="shared" si="6"/>
        <v>0.18194489612478679</v>
      </c>
      <c r="L74" s="250"/>
      <c r="M74" s="250"/>
    </row>
    <row r="75" spans="1:13" x14ac:dyDescent="0.2">
      <c r="A75" s="186">
        <v>42186</v>
      </c>
      <c r="B75" s="108">
        <v>24</v>
      </c>
      <c r="C75" s="490">
        <v>91566</v>
      </c>
      <c r="D75" s="250">
        <f t="shared" si="0"/>
        <v>0.26210602188585286</v>
      </c>
      <c r="E75" s="250"/>
      <c r="F75" s="250"/>
      <c r="G75" s="64">
        <f t="shared" si="3"/>
        <v>0.30548993978364392</v>
      </c>
      <c r="H75" s="250"/>
      <c r="I75" s="250"/>
      <c r="J75" s="250"/>
      <c r="K75" s="250">
        <f t="shared" si="6"/>
        <v>0.18194489612478679</v>
      </c>
      <c r="L75" s="250"/>
      <c r="M75" s="250"/>
    </row>
    <row r="76" spans="1:13" x14ac:dyDescent="0.2">
      <c r="A76" s="186">
        <v>42217</v>
      </c>
      <c r="B76" s="108">
        <v>14</v>
      </c>
      <c r="C76" s="490">
        <v>91708</v>
      </c>
      <c r="D76" s="250">
        <f t="shared" ref="D76:D93" si="7">B76/C76*1000</f>
        <v>0.15265843764993239</v>
      </c>
      <c r="E76" s="250"/>
      <c r="F76" s="250"/>
      <c r="G76" s="64">
        <f t="shared" si="3"/>
        <v>0.30548993978364392</v>
      </c>
      <c r="H76" s="250"/>
      <c r="I76" s="250"/>
      <c r="J76" s="250"/>
      <c r="K76" s="250">
        <f t="shared" si="6"/>
        <v>0.18194489612478679</v>
      </c>
      <c r="L76" s="250"/>
      <c r="M76" s="250"/>
    </row>
    <row r="77" spans="1:13" x14ac:dyDescent="0.2">
      <c r="A77" s="186">
        <v>42248</v>
      </c>
      <c r="B77" s="108">
        <v>17</v>
      </c>
      <c r="C77" s="490">
        <v>88875</v>
      </c>
      <c r="D77" s="250">
        <f t="shared" si="7"/>
        <v>0.19127988748241914</v>
      </c>
      <c r="E77" s="250"/>
      <c r="F77" s="250"/>
      <c r="G77" s="64">
        <f t="shared" si="3"/>
        <v>0.30548993978364392</v>
      </c>
      <c r="H77" s="250"/>
      <c r="I77" s="250"/>
      <c r="J77" s="250"/>
      <c r="K77" s="250">
        <f t="shared" si="6"/>
        <v>0.18194489612478679</v>
      </c>
      <c r="L77" s="250"/>
      <c r="M77" s="250"/>
    </row>
    <row r="78" spans="1:13" x14ac:dyDescent="0.2">
      <c r="A78" s="186">
        <v>42278</v>
      </c>
      <c r="B78" s="108">
        <v>34</v>
      </c>
      <c r="C78" s="490">
        <v>92263</v>
      </c>
      <c r="D78" s="250">
        <f t="shared" si="7"/>
        <v>0.36851175444110856</v>
      </c>
      <c r="E78" s="250"/>
      <c r="F78" s="250"/>
      <c r="G78" s="64">
        <f t="shared" si="3"/>
        <v>0.30548993978364392</v>
      </c>
      <c r="H78" s="250"/>
      <c r="I78" s="250"/>
      <c r="J78" s="250"/>
      <c r="K78" s="250">
        <f t="shared" si="6"/>
        <v>0.18194489612478679</v>
      </c>
      <c r="L78" s="250"/>
      <c r="M78" s="250"/>
    </row>
    <row r="79" spans="1:13" x14ac:dyDescent="0.2">
      <c r="A79" s="186">
        <v>42309</v>
      </c>
      <c r="B79" s="108">
        <v>19</v>
      </c>
      <c r="C79" s="490">
        <v>90342</v>
      </c>
      <c r="D79" s="250">
        <f t="shared" si="7"/>
        <v>0.21031192579309735</v>
      </c>
      <c r="E79" s="250"/>
      <c r="F79" s="250"/>
      <c r="G79" s="64">
        <f t="shared" si="3"/>
        <v>0.30548993978364392</v>
      </c>
      <c r="H79" s="250"/>
      <c r="I79" s="250"/>
      <c r="J79" s="250"/>
      <c r="K79" s="250">
        <f t="shared" si="6"/>
        <v>0.18194489612478679</v>
      </c>
      <c r="L79" s="250"/>
      <c r="M79" s="250"/>
    </row>
    <row r="80" spans="1:13" x14ac:dyDescent="0.2">
      <c r="A80" s="186">
        <v>42339</v>
      </c>
      <c r="B80" s="108">
        <v>16</v>
      </c>
      <c r="C80" s="490">
        <v>90868</v>
      </c>
      <c r="D80" s="250">
        <f t="shared" si="7"/>
        <v>0.17607958797376416</v>
      </c>
      <c r="E80" s="250"/>
      <c r="F80" s="250"/>
      <c r="G80" s="64">
        <f t="shared" si="3"/>
        <v>0.30548993978364392</v>
      </c>
      <c r="H80" s="250"/>
      <c r="I80" s="250"/>
      <c r="J80" s="250"/>
      <c r="K80" s="250">
        <f t="shared" si="6"/>
        <v>0.18194489612478679</v>
      </c>
      <c r="L80" s="250"/>
      <c r="M80" s="250"/>
    </row>
    <row r="81" spans="1:13" x14ac:dyDescent="0.2">
      <c r="A81" s="186">
        <v>42370</v>
      </c>
      <c r="B81" s="108">
        <v>24</v>
      </c>
      <c r="C81" s="490">
        <v>94260</v>
      </c>
      <c r="D81" s="250">
        <f t="shared" si="7"/>
        <v>0.25461489497135581</v>
      </c>
      <c r="E81" s="250"/>
      <c r="F81" s="250"/>
      <c r="G81" s="64">
        <f t="shared" si="3"/>
        <v>0.30548993978364392</v>
      </c>
      <c r="H81" s="250"/>
      <c r="I81" s="250"/>
      <c r="J81" s="250"/>
      <c r="K81" s="250">
        <f t="shared" si="6"/>
        <v>0.18194489612478679</v>
      </c>
      <c r="L81" s="250"/>
      <c r="M81" s="250"/>
    </row>
    <row r="82" spans="1:13" x14ac:dyDescent="0.2">
      <c r="A82" s="186">
        <v>42401</v>
      </c>
      <c r="B82" s="108">
        <v>16</v>
      </c>
      <c r="C82" s="490">
        <v>89156</v>
      </c>
      <c r="D82" s="250">
        <f t="shared" si="7"/>
        <v>0.17946072053479295</v>
      </c>
      <c r="E82" s="250"/>
      <c r="F82" s="250"/>
      <c r="G82" s="64">
        <f t="shared" si="3"/>
        <v>0.30548993978364392</v>
      </c>
      <c r="H82" s="250"/>
      <c r="I82" s="250"/>
      <c r="J82" s="250"/>
      <c r="K82" s="250">
        <f t="shared" si="6"/>
        <v>0.18194489612478679</v>
      </c>
      <c r="L82" s="250"/>
      <c r="M82" s="250"/>
    </row>
    <row r="83" spans="1:13" x14ac:dyDescent="0.2">
      <c r="A83" s="186">
        <v>42430</v>
      </c>
      <c r="B83" s="108">
        <v>13</v>
      </c>
      <c r="C83" s="490">
        <v>93777</v>
      </c>
      <c r="D83" s="250">
        <f t="shared" si="7"/>
        <v>0.13862674216492318</v>
      </c>
      <c r="E83" s="250"/>
      <c r="F83" s="250"/>
      <c r="G83" s="64">
        <f t="shared" si="3"/>
        <v>0.30548993978364392</v>
      </c>
      <c r="H83" s="250"/>
      <c r="I83" s="250"/>
      <c r="J83" s="250"/>
      <c r="K83" s="250">
        <f t="shared" si="6"/>
        <v>0.18194489612478679</v>
      </c>
      <c r="L83" s="250"/>
      <c r="M83" s="250"/>
    </row>
    <row r="84" spans="1:13" x14ac:dyDescent="0.2">
      <c r="A84" s="186">
        <v>42461</v>
      </c>
      <c r="B84" s="108">
        <v>24</v>
      </c>
      <c r="C84" s="490">
        <v>88882</v>
      </c>
      <c r="D84" s="250">
        <f t="shared" si="7"/>
        <v>0.27002092662181321</v>
      </c>
      <c r="E84" s="250"/>
      <c r="F84" s="250"/>
      <c r="G84" s="64">
        <f t="shared" si="3"/>
        <v>0.30548993978364392</v>
      </c>
      <c r="H84" s="250"/>
      <c r="I84" s="250"/>
      <c r="J84" s="250"/>
      <c r="K84" s="250">
        <f t="shared" si="6"/>
        <v>0.18194489612478679</v>
      </c>
      <c r="L84" s="250"/>
      <c r="M84" s="250"/>
    </row>
    <row r="85" spans="1:13" x14ac:dyDescent="0.2">
      <c r="A85" s="186">
        <v>42491</v>
      </c>
      <c r="B85" s="108">
        <v>23</v>
      </c>
      <c r="C85" s="490">
        <v>96545</v>
      </c>
      <c r="D85" s="250">
        <f t="shared" si="7"/>
        <v>0.23823087679320523</v>
      </c>
      <c r="E85" s="250"/>
      <c r="F85" s="250"/>
      <c r="G85" s="64">
        <f t="shared" si="3"/>
        <v>0.30548993978364392</v>
      </c>
      <c r="H85" s="250"/>
      <c r="I85" s="250"/>
      <c r="J85" s="250"/>
      <c r="K85" s="250">
        <f t="shared" si="6"/>
        <v>0.18194489612478679</v>
      </c>
      <c r="L85" s="250"/>
      <c r="M85" s="250"/>
    </row>
    <row r="86" spans="1:13" x14ac:dyDescent="0.2">
      <c r="A86" s="186">
        <v>42522</v>
      </c>
      <c r="B86" s="108">
        <v>24</v>
      </c>
      <c r="C86" s="490">
        <v>92594</v>
      </c>
      <c r="D86" s="250">
        <f t="shared" si="7"/>
        <v>0.25919606021988462</v>
      </c>
      <c r="E86" s="250"/>
      <c r="F86" s="250"/>
      <c r="G86" s="64">
        <f t="shared" si="3"/>
        <v>0.30548993978364392</v>
      </c>
      <c r="H86" s="250"/>
      <c r="I86" s="250"/>
      <c r="J86" s="250"/>
      <c r="K86" s="250">
        <f t="shared" si="6"/>
        <v>0.18194489612478679</v>
      </c>
      <c r="L86" s="250"/>
      <c r="M86" s="250"/>
    </row>
    <row r="87" spans="1:13" x14ac:dyDescent="0.2">
      <c r="A87" s="186">
        <v>42552</v>
      </c>
      <c r="B87" s="108">
        <v>18</v>
      </c>
      <c r="C87" s="490">
        <v>94491</v>
      </c>
      <c r="D87" s="250">
        <f t="shared" si="7"/>
        <v>0.19049433279359937</v>
      </c>
      <c r="E87" s="250"/>
      <c r="F87" s="250"/>
      <c r="G87" s="64">
        <f t="shared" si="3"/>
        <v>0.30548993978364392</v>
      </c>
      <c r="H87" s="250"/>
      <c r="I87" s="250"/>
      <c r="J87" s="250"/>
      <c r="K87" s="250">
        <f t="shared" si="6"/>
        <v>0.18194489612478679</v>
      </c>
      <c r="L87" s="250"/>
      <c r="M87" s="250"/>
    </row>
    <row r="88" spans="1:13" x14ac:dyDescent="0.2">
      <c r="A88" s="186">
        <v>42583</v>
      </c>
      <c r="B88" s="108">
        <v>22</v>
      </c>
      <c r="C88" s="490">
        <v>95180</v>
      </c>
      <c r="D88" s="250">
        <f t="shared" si="7"/>
        <v>0.2311409960075646</v>
      </c>
      <c r="E88" s="250"/>
      <c r="F88" s="250"/>
      <c r="G88" s="64">
        <f t="shared" si="3"/>
        <v>0.30548993978364392</v>
      </c>
      <c r="H88" s="250"/>
      <c r="I88" s="250"/>
      <c r="J88" s="250"/>
      <c r="K88" s="250">
        <f t="shared" si="6"/>
        <v>0.18194489612478679</v>
      </c>
      <c r="L88" s="250"/>
      <c r="M88" s="250"/>
    </row>
    <row r="89" spans="1:13" x14ac:dyDescent="0.2">
      <c r="A89" s="186">
        <v>42614</v>
      </c>
      <c r="B89" s="108">
        <v>19</v>
      </c>
      <c r="C89" s="490">
        <v>92992</v>
      </c>
      <c r="D89" s="250">
        <f t="shared" si="7"/>
        <v>0.20431865106675845</v>
      </c>
      <c r="E89" s="250"/>
      <c r="F89" s="250"/>
      <c r="G89" s="64">
        <f t="shared" si="3"/>
        <v>0.30548993978364392</v>
      </c>
      <c r="H89" s="250"/>
      <c r="I89" s="250"/>
      <c r="J89" s="250"/>
      <c r="K89" s="250">
        <f t="shared" si="6"/>
        <v>0.18194489612478679</v>
      </c>
      <c r="L89" s="250"/>
      <c r="M89" s="250"/>
    </row>
    <row r="90" spans="1:13" x14ac:dyDescent="0.2">
      <c r="A90" s="186">
        <v>42644</v>
      </c>
      <c r="B90" s="108">
        <v>16</v>
      </c>
      <c r="C90" s="490">
        <v>96102</v>
      </c>
      <c r="D90" s="250">
        <f t="shared" si="7"/>
        <v>0.16648977128467671</v>
      </c>
      <c r="E90" s="250"/>
      <c r="F90" s="250"/>
      <c r="G90" s="64">
        <f t="shared" si="3"/>
        <v>0.30548993978364392</v>
      </c>
      <c r="H90" s="250"/>
      <c r="I90" s="250"/>
      <c r="J90" s="250"/>
      <c r="K90" s="250">
        <f t="shared" si="6"/>
        <v>0.18194489612478679</v>
      </c>
      <c r="L90" s="250"/>
      <c r="M90" s="250"/>
    </row>
    <row r="91" spans="1:13" x14ac:dyDescent="0.2">
      <c r="A91" s="186">
        <v>42675</v>
      </c>
      <c r="B91" s="108">
        <v>17</v>
      </c>
      <c r="C91" s="490">
        <v>93796</v>
      </c>
      <c r="D91" s="250">
        <f t="shared" si="7"/>
        <v>0.18124440274638579</v>
      </c>
      <c r="E91" s="250"/>
      <c r="F91" s="250"/>
      <c r="G91" s="64">
        <f t="shared" si="3"/>
        <v>0.30548993978364392</v>
      </c>
      <c r="H91" s="250"/>
      <c r="I91" s="250"/>
      <c r="J91" s="250"/>
      <c r="K91" s="250">
        <f t="shared" si="6"/>
        <v>0.18194489612478679</v>
      </c>
      <c r="L91" s="250"/>
      <c r="M91" s="250"/>
    </row>
    <row r="92" spans="1:13" x14ac:dyDescent="0.2">
      <c r="A92" s="186">
        <v>42705</v>
      </c>
      <c r="B92" s="108">
        <v>24</v>
      </c>
      <c r="C92" s="490">
        <v>94115</v>
      </c>
      <c r="D92" s="250">
        <f t="shared" si="7"/>
        <v>0.25500717207671464</v>
      </c>
      <c r="E92" s="250"/>
      <c r="F92" s="250"/>
      <c r="G92" s="64">
        <f t="shared" si="3"/>
        <v>0.30548993978364392</v>
      </c>
      <c r="H92" s="250"/>
      <c r="I92" s="250"/>
      <c r="J92" s="250"/>
      <c r="K92" s="250"/>
      <c r="L92" s="250">
        <f>MEDIAN($D$92:$D$103)</f>
        <v>0.25500717207671464</v>
      </c>
      <c r="M92" s="250"/>
    </row>
    <row r="93" spans="1:13" x14ac:dyDescent="0.2">
      <c r="A93" s="186">
        <v>42736</v>
      </c>
      <c r="B93" s="108">
        <v>31</v>
      </c>
      <c r="C93" s="490">
        <v>96473</v>
      </c>
      <c r="D93" s="250">
        <f t="shared" si="7"/>
        <v>0.32133343007888215</v>
      </c>
      <c r="E93" s="250"/>
      <c r="F93" s="250"/>
      <c r="G93" s="64">
        <f t="shared" si="3"/>
        <v>0.30548993978364392</v>
      </c>
      <c r="H93" s="250"/>
      <c r="I93" s="250"/>
      <c r="J93" s="250"/>
      <c r="K93" s="250"/>
      <c r="L93" s="250">
        <f t="shared" ref="L93:L100" si="8">MEDIAN($D$92:$D$103)</f>
        <v>0.25500717207671464</v>
      </c>
      <c r="M93" s="250"/>
    </row>
    <row r="94" spans="1:13" x14ac:dyDescent="0.2">
      <c r="A94" s="186">
        <v>42767</v>
      </c>
      <c r="B94" s="108">
        <v>28</v>
      </c>
      <c r="C94" s="490">
        <v>87701</v>
      </c>
      <c r="D94" s="250">
        <f>B94/C94*1000</f>
        <v>0.31926659901255405</v>
      </c>
      <c r="E94" s="250"/>
      <c r="F94" s="250"/>
      <c r="G94" s="64">
        <f t="shared" si="3"/>
        <v>0.30548993978364392</v>
      </c>
      <c r="H94" s="250"/>
      <c r="I94" s="250"/>
      <c r="J94" s="250"/>
      <c r="K94" s="250"/>
      <c r="L94" s="250">
        <f t="shared" si="8"/>
        <v>0.25500717207671464</v>
      </c>
      <c r="M94" s="250"/>
    </row>
    <row r="95" spans="1:13" x14ac:dyDescent="0.2">
      <c r="A95" s="186">
        <v>42795</v>
      </c>
      <c r="B95" s="154">
        <v>24</v>
      </c>
      <c r="C95" s="490">
        <v>95668</v>
      </c>
      <c r="D95" s="250">
        <f>B95/C95*1000</f>
        <v>0.25086758372705603</v>
      </c>
      <c r="E95" s="252"/>
      <c r="F95" s="250"/>
      <c r="G95" s="64">
        <f>$E$12*0.8</f>
        <v>0.30548993978364392</v>
      </c>
      <c r="H95" s="250"/>
      <c r="I95" s="250"/>
      <c r="J95" s="250"/>
      <c r="K95" s="250"/>
      <c r="L95" s="250">
        <f t="shared" si="8"/>
        <v>0.25500717207671464</v>
      </c>
      <c r="M95" s="250"/>
    </row>
    <row r="96" spans="1:13" x14ac:dyDescent="0.2">
      <c r="A96" s="186">
        <v>42826</v>
      </c>
      <c r="B96" s="154">
        <v>19</v>
      </c>
      <c r="C96" s="490">
        <v>91595</v>
      </c>
      <c r="D96" s="250">
        <f>B96/C96*1000</f>
        <v>0.20743490365194606</v>
      </c>
      <c r="E96" s="186"/>
      <c r="F96" s="186"/>
      <c r="G96" s="64">
        <f t="shared" si="3"/>
        <v>0.30548993978364392</v>
      </c>
      <c r="H96" s="186"/>
      <c r="I96" s="186"/>
      <c r="J96" s="186"/>
      <c r="K96" s="250"/>
      <c r="L96" s="250">
        <f t="shared" si="8"/>
        <v>0.25500717207671464</v>
      </c>
      <c r="M96" s="250"/>
    </row>
    <row r="97" spans="1:13" x14ac:dyDescent="0.2">
      <c r="A97" s="186">
        <v>42856</v>
      </c>
      <c r="B97" s="154">
        <v>26</v>
      </c>
      <c r="C97" s="490">
        <v>93901</v>
      </c>
      <c r="D97" s="250">
        <v>0.28000000000000003</v>
      </c>
      <c r="E97" s="186"/>
      <c r="F97" s="186"/>
      <c r="G97" s="64">
        <f t="shared" si="3"/>
        <v>0.30548993978364392</v>
      </c>
      <c r="H97" s="186"/>
      <c r="I97" s="186"/>
      <c r="J97" s="186"/>
      <c r="K97" s="250"/>
      <c r="L97" s="250">
        <f t="shared" si="8"/>
        <v>0.25500717207671464</v>
      </c>
      <c r="M97" s="250"/>
    </row>
    <row r="98" spans="1:13" x14ac:dyDescent="0.2">
      <c r="A98" s="186">
        <v>42887</v>
      </c>
      <c r="B98" s="154">
        <v>19</v>
      </c>
      <c r="C98" s="490">
        <v>89767</v>
      </c>
      <c r="D98" s="250">
        <f>B98/C98*1000</f>
        <v>0.21165907293326056</v>
      </c>
      <c r="E98" s="186"/>
      <c r="F98" s="186"/>
      <c r="G98" s="64">
        <f t="shared" si="3"/>
        <v>0.30548993978364392</v>
      </c>
      <c r="H98" s="186"/>
      <c r="I98" s="186"/>
      <c r="J98" s="186"/>
      <c r="K98" s="250"/>
      <c r="L98" s="250">
        <f t="shared" si="8"/>
        <v>0.25500717207671464</v>
      </c>
      <c r="M98" s="250"/>
    </row>
    <row r="99" spans="1:13" x14ac:dyDescent="0.2">
      <c r="A99" s="186">
        <v>42917</v>
      </c>
      <c r="B99" s="154">
        <v>28</v>
      </c>
      <c r="C99" s="490">
        <v>91404</v>
      </c>
      <c r="D99" s="250">
        <f>B99/C99*1000</f>
        <v>0.30633232681283096</v>
      </c>
      <c r="E99" s="186"/>
      <c r="F99" s="186"/>
      <c r="G99" s="64">
        <f t="shared" si="3"/>
        <v>0.30548993978364392</v>
      </c>
      <c r="H99" s="186"/>
      <c r="I99" s="186"/>
      <c r="J99" s="186"/>
      <c r="K99" s="250"/>
      <c r="L99" s="250">
        <f t="shared" si="8"/>
        <v>0.25500717207671464</v>
      </c>
      <c r="M99" s="250"/>
    </row>
    <row r="100" spans="1:13" x14ac:dyDescent="0.2">
      <c r="A100" s="186">
        <v>42948</v>
      </c>
      <c r="B100" s="154">
        <v>21</v>
      </c>
      <c r="C100" s="490">
        <v>92426</v>
      </c>
      <c r="D100" s="250">
        <f>B100/C100*1000</f>
        <v>0.22720879406227684</v>
      </c>
      <c r="E100" s="186"/>
      <c r="F100" s="186"/>
      <c r="G100" s="64">
        <f t="shared" si="3"/>
        <v>0.30548993978364392</v>
      </c>
      <c r="H100" s="186"/>
      <c r="I100" s="186"/>
      <c r="J100" s="186"/>
      <c r="K100" s="250"/>
      <c r="L100" s="250">
        <f t="shared" si="8"/>
        <v>0.25500717207671464</v>
      </c>
      <c r="M100" s="250"/>
    </row>
    <row r="101" spans="1:13" x14ac:dyDescent="0.2">
      <c r="A101" s="186"/>
      <c r="B101" s="154"/>
      <c r="C101" s="490"/>
      <c r="D101" s="250"/>
      <c r="E101" s="186"/>
      <c r="F101" s="186"/>
      <c r="G101" s="64">
        <f t="shared" ref="G101:G119" si="9">$E$12*0.8</f>
        <v>0.30548993978364392</v>
      </c>
      <c r="H101" s="186"/>
      <c r="I101" s="186"/>
      <c r="J101" s="186"/>
      <c r="K101" s="186"/>
      <c r="L101" s="186"/>
      <c r="M101" s="186"/>
    </row>
    <row r="102" spans="1:13" x14ac:dyDescent="0.2">
      <c r="A102" s="186"/>
      <c r="B102" s="154"/>
      <c r="C102" s="490"/>
      <c r="D102" s="250"/>
      <c r="E102" s="186"/>
      <c r="F102" s="186"/>
      <c r="G102" s="64">
        <f t="shared" si="9"/>
        <v>0.30548993978364392</v>
      </c>
      <c r="H102" s="186"/>
      <c r="I102" s="186"/>
      <c r="J102" s="186"/>
      <c r="K102" s="186"/>
      <c r="L102" s="186"/>
      <c r="M102" s="186"/>
    </row>
    <row r="103" spans="1:13" x14ac:dyDescent="0.2">
      <c r="A103" s="186"/>
      <c r="B103" s="154"/>
      <c r="C103" s="490"/>
      <c r="D103" s="250"/>
      <c r="E103" s="186"/>
      <c r="F103" s="186"/>
      <c r="G103" s="64">
        <f t="shared" si="9"/>
        <v>0.30548993978364392</v>
      </c>
      <c r="H103" s="186"/>
      <c r="I103" s="186"/>
      <c r="J103" s="186"/>
      <c r="K103" s="186"/>
      <c r="L103" s="186"/>
      <c r="M103" s="186"/>
    </row>
    <row r="104" spans="1:13" x14ac:dyDescent="0.2">
      <c r="A104" s="186"/>
      <c r="B104" s="154"/>
      <c r="C104" s="490"/>
      <c r="D104" s="250"/>
      <c r="E104" s="186"/>
      <c r="F104" s="186"/>
      <c r="G104" s="64">
        <f t="shared" si="9"/>
        <v>0.30548993978364392</v>
      </c>
      <c r="H104" s="186"/>
      <c r="I104" s="186"/>
      <c r="J104" s="186"/>
      <c r="K104" s="186"/>
      <c r="L104" s="186"/>
      <c r="M104" s="186"/>
    </row>
    <row r="105" spans="1:13" x14ac:dyDescent="0.2">
      <c r="A105" s="186"/>
      <c r="B105" s="154"/>
      <c r="C105" s="490"/>
      <c r="D105" s="250"/>
      <c r="E105" s="186"/>
      <c r="F105" s="186"/>
      <c r="G105" s="64">
        <f t="shared" si="9"/>
        <v>0.30548993978364392</v>
      </c>
      <c r="H105" s="186"/>
      <c r="I105" s="186"/>
      <c r="J105" s="186"/>
      <c r="K105" s="186"/>
      <c r="L105" s="186"/>
      <c r="M105" s="186"/>
    </row>
    <row r="106" spans="1:13" x14ac:dyDescent="0.2">
      <c r="A106" s="186"/>
      <c r="B106" s="154"/>
      <c r="C106" s="490"/>
      <c r="D106" s="250"/>
      <c r="E106" s="186"/>
      <c r="F106" s="186"/>
      <c r="G106" s="64">
        <f t="shared" si="9"/>
        <v>0.30548993978364392</v>
      </c>
      <c r="H106" s="186"/>
      <c r="I106" s="186"/>
      <c r="J106" s="186"/>
      <c r="K106" s="186"/>
      <c r="L106" s="186"/>
      <c r="M106" s="186"/>
    </row>
    <row r="107" spans="1:13" x14ac:dyDescent="0.2">
      <c r="A107" s="186"/>
      <c r="B107" s="154"/>
      <c r="C107" s="490"/>
      <c r="D107" s="250"/>
      <c r="E107" s="186"/>
      <c r="F107" s="186"/>
      <c r="G107" s="64">
        <f t="shared" si="9"/>
        <v>0.30548993978364392</v>
      </c>
      <c r="H107" s="186"/>
      <c r="I107" s="186"/>
      <c r="J107" s="186"/>
      <c r="K107" s="186"/>
      <c r="L107" s="186"/>
      <c r="M107" s="186"/>
    </row>
    <row r="108" spans="1:13" x14ac:dyDescent="0.2">
      <c r="A108" s="186"/>
      <c r="B108" s="154"/>
      <c r="C108" s="490"/>
      <c r="D108" s="250"/>
      <c r="E108" s="186"/>
      <c r="F108" s="186"/>
      <c r="G108" s="64">
        <f t="shared" si="9"/>
        <v>0.30548993978364392</v>
      </c>
      <c r="H108" s="186"/>
      <c r="I108" s="186"/>
      <c r="J108" s="186"/>
      <c r="K108" s="186"/>
      <c r="L108" s="186"/>
      <c r="M108" s="186"/>
    </row>
    <row r="109" spans="1:13" x14ac:dyDescent="0.2">
      <c r="A109" s="186"/>
      <c r="B109" s="154"/>
      <c r="C109" s="490"/>
      <c r="D109" s="250"/>
      <c r="E109" s="186"/>
      <c r="F109" s="186"/>
      <c r="G109" s="64">
        <f t="shared" si="9"/>
        <v>0.30548993978364392</v>
      </c>
      <c r="H109" s="186"/>
      <c r="I109" s="186"/>
      <c r="J109" s="186"/>
      <c r="K109" s="186"/>
      <c r="L109" s="186"/>
      <c r="M109" s="186"/>
    </row>
    <row r="110" spans="1:13" x14ac:dyDescent="0.2">
      <c r="A110" s="186"/>
      <c r="B110" s="154"/>
      <c r="C110" s="490"/>
      <c r="D110" s="250"/>
      <c r="E110" s="186"/>
      <c r="F110" s="186"/>
      <c r="G110" s="64">
        <f t="shared" si="9"/>
        <v>0.30548993978364392</v>
      </c>
      <c r="H110" s="186"/>
      <c r="I110" s="186"/>
      <c r="J110" s="186"/>
      <c r="K110" s="186"/>
      <c r="L110" s="186"/>
      <c r="M110" s="186"/>
    </row>
    <row r="111" spans="1:13" x14ac:dyDescent="0.2">
      <c r="A111" s="186"/>
      <c r="B111" s="154"/>
      <c r="C111" s="490"/>
      <c r="D111" s="250"/>
      <c r="E111" s="186"/>
      <c r="F111" s="186"/>
      <c r="G111" s="64">
        <f t="shared" si="9"/>
        <v>0.30548993978364392</v>
      </c>
      <c r="H111" s="186"/>
      <c r="I111" s="186"/>
      <c r="J111" s="186"/>
      <c r="K111" s="186"/>
      <c r="L111" s="186"/>
      <c r="M111" s="186"/>
    </row>
    <row r="112" spans="1:13" x14ac:dyDescent="0.2">
      <c r="A112" s="186"/>
      <c r="B112" s="154"/>
      <c r="C112" s="490"/>
      <c r="D112" s="250"/>
      <c r="E112" s="186"/>
      <c r="F112" s="186"/>
      <c r="G112" s="64">
        <f t="shared" si="9"/>
        <v>0.30548993978364392</v>
      </c>
      <c r="H112" s="186"/>
      <c r="I112" s="186"/>
      <c r="J112" s="186"/>
      <c r="K112" s="186"/>
      <c r="L112" s="186"/>
      <c r="M112" s="186"/>
    </row>
    <row r="113" spans="1:13" x14ac:dyDescent="0.2">
      <c r="A113" s="186"/>
      <c r="B113" s="154"/>
      <c r="C113" s="490"/>
      <c r="D113" s="250"/>
      <c r="E113" s="186"/>
      <c r="F113" s="186"/>
      <c r="G113" s="64">
        <f t="shared" si="9"/>
        <v>0.30548993978364392</v>
      </c>
      <c r="H113" s="186"/>
      <c r="I113" s="186"/>
      <c r="J113" s="186"/>
      <c r="K113" s="186"/>
      <c r="L113" s="186"/>
      <c r="M113" s="186"/>
    </row>
    <row r="114" spans="1:13" x14ac:dyDescent="0.2">
      <c r="A114" s="186"/>
      <c r="B114" s="154"/>
      <c r="C114" s="490"/>
      <c r="D114" s="250"/>
      <c r="E114" s="186"/>
      <c r="F114" s="186"/>
      <c r="G114" s="64">
        <f t="shared" si="9"/>
        <v>0.30548993978364392</v>
      </c>
      <c r="H114" s="186"/>
      <c r="I114" s="186"/>
      <c r="J114" s="186"/>
      <c r="K114" s="186"/>
      <c r="L114" s="186"/>
      <c r="M114" s="186"/>
    </row>
    <row r="115" spans="1:13" x14ac:dyDescent="0.2">
      <c r="A115" s="186"/>
      <c r="B115" s="154"/>
      <c r="C115" s="490"/>
      <c r="D115" s="250"/>
      <c r="E115" s="186"/>
      <c r="F115" s="186"/>
      <c r="G115" s="64">
        <f t="shared" si="9"/>
        <v>0.30548993978364392</v>
      </c>
      <c r="H115" s="186"/>
      <c r="I115" s="186"/>
      <c r="J115" s="186"/>
      <c r="K115" s="186"/>
      <c r="L115" s="186"/>
      <c r="M115" s="186"/>
    </row>
    <row r="116" spans="1:13" x14ac:dyDescent="0.2">
      <c r="A116" s="186"/>
      <c r="B116" s="154"/>
      <c r="C116" s="490"/>
      <c r="D116" s="250"/>
      <c r="E116" s="186"/>
      <c r="F116" s="186"/>
      <c r="G116" s="64">
        <f t="shared" si="9"/>
        <v>0.30548993978364392</v>
      </c>
      <c r="H116" s="186"/>
      <c r="I116" s="186"/>
      <c r="J116" s="186"/>
      <c r="K116" s="186"/>
      <c r="L116" s="186"/>
      <c r="M116" s="186"/>
    </row>
    <row r="117" spans="1:13" x14ac:dyDescent="0.2">
      <c r="A117" s="186"/>
      <c r="B117" s="154"/>
      <c r="C117" s="490"/>
      <c r="D117" s="250"/>
      <c r="E117" s="186"/>
      <c r="F117" s="186"/>
      <c r="G117" s="64">
        <f t="shared" si="9"/>
        <v>0.30548993978364392</v>
      </c>
      <c r="H117" s="186"/>
      <c r="I117" s="186"/>
      <c r="J117" s="186"/>
      <c r="K117" s="186"/>
      <c r="L117" s="186"/>
      <c r="M117" s="186"/>
    </row>
    <row r="118" spans="1:13" x14ac:dyDescent="0.2">
      <c r="A118" s="186"/>
      <c r="B118" s="154"/>
      <c r="C118" s="490"/>
      <c r="D118" s="250"/>
      <c r="E118" s="186"/>
      <c r="F118" s="186"/>
      <c r="G118" s="64">
        <f t="shared" si="9"/>
        <v>0.30548993978364392</v>
      </c>
      <c r="H118" s="186"/>
      <c r="I118" s="186"/>
      <c r="J118" s="186"/>
      <c r="K118" s="186"/>
      <c r="L118" s="186"/>
      <c r="M118" s="186"/>
    </row>
    <row r="119" spans="1:13" x14ac:dyDescent="0.2">
      <c r="A119" s="186"/>
      <c r="B119" s="154"/>
      <c r="C119" s="490"/>
      <c r="D119" s="250"/>
      <c r="E119" s="186"/>
      <c r="F119" s="186"/>
      <c r="G119" s="64">
        <f t="shared" si="9"/>
        <v>0.30548993978364392</v>
      </c>
      <c r="H119" s="186"/>
      <c r="I119" s="186"/>
      <c r="J119" s="186"/>
      <c r="K119" s="186"/>
      <c r="L119" s="186"/>
      <c r="M119" s="186"/>
    </row>
  </sheetData>
  <phoneticPr fontId="0" type="noConversion"/>
  <dataValidations count="4">
    <dataValidation type="date" showInputMessage="1" showErrorMessage="1" errorTitle="Incorrect Date Entered" error="You have either entered a date in the wrong format, use dd/mm/yy; or entered a date earlier than 01/01/03." sqref="B98:C119 E96:F119 H96:J119 A12:A119 K101:M119">
      <formula1>37622</formula1>
      <formula2>NOW()</formula2>
    </dataValidation>
    <dataValidation type="textLength" showInputMessage="1" showErrorMessage="1" errorTitle="NO TEXT ENTERED" error="Text required to provide titles for chart" promptTitle="Cell Function:" prompt="Y-Axis Title" sqref="D11">
      <formula1>1</formula1>
      <formula2>250</formula2>
    </dataValidation>
    <dataValidation type="textLength" showErrorMessage="1" errorTitle="NO TEXT ENTERED" error="Text required to provide titles for chart" sqref="B11:C11">
      <formula1>1</formula1>
      <formula2>250</formula2>
    </dataValidation>
    <dataValidation type="textLength" showInputMessage="1" showErrorMessage="1" errorTitle="NO TEXT ENTERED" error="Text required to provide titles for chart" promptTitle="Cell Function:" prompt="X-Axis Title" sqref="A11">
      <formula1>1</formula1>
      <formula2>250</formula2>
    </dataValidation>
  </dataValidations>
  <hyperlinks>
    <hyperlink ref="A1" location="Content!A1" display="Return to Contents"/>
  </hyperlinks>
  <pageMargins left="0.70866141732283472" right="0.70866141732283472" top="0.74803149606299213" bottom="0.74803149606299213" header="0.31496062992125984" footer="0.31496062992125984"/>
  <pageSetup paperSize="9" scale="50" fitToHeight="4" orientation="landscape" copies="19"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sheetPr>
  <dimension ref="A1:AA26"/>
  <sheetViews>
    <sheetView workbookViewId="0"/>
  </sheetViews>
  <sheetFormatPr defaultColWidth="9.140625" defaultRowHeight="12.75" x14ac:dyDescent="0.2"/>
  <cols>
    <col min="1" max="1" width="26" style="117" bestFit="1" customWidth="1"/>
    <col min="2" max="6" width="9.140625" style="117"/>
    <col min="7" max="8" width="7.5703125" style="117" customWidth="1"/>
    <col min="9" max="10" width="7.5703125" style="117" bestFit="1" customWidth="1"/>
    <col min="11" max="16384" width="9.140625" style="117"/>
  </cols>
  <sheetData>
    <row r="1" spans="1:27" x14ac:dyDescent="0.2">
      <c r="A1" s="116" t="s">
        <v>360</v>
      </c>
    </row>
    <row r="3" spans="1:27" x14ac:dyDescent="0.2">
      <c r="A3" s="118" t="s">
        <v>454</v>
      </c>
      <c r="B3" s="981" t="s">
        <v>606</v>
      </c>
      <c r="C3" s="982"/>
      <c r="D3" s="982"/>
      <c r="E3" s="982"/>
      <c r="F3" s="982"/>
      <c r="G3" s="982"/>
      <c r="H3" s="982"/>
      <c r="I3" s="982"/>
      <c r="J3" s="982"/>
      <c r="K3" s="982"/>
      <c r="L3" s="982"/>
      <c r="M3" s="982"/>
      <c r="N3" s="982"/>
      <c r="O3" s="982"/>
      <c r="P3" s="982"/>
      <c r="Q3" s="982"/>
      <c r="R3" s="982"/>
      <c r="S3" s="982"/>
      <c r="T3" s="982"/>
      <c r="U3" s="982"/>
      <c r="V3" s="982"/>
      <c r="W3" s="982"/>
      <c r="X3" s="982"/>
      <c r="Y3" s="982"/>
      <c r="Z3" s="982"/>
      <c r="AA3" s="982"/>
    </row>
    <row r="4" spans="1:27" x14ac:dyDescent="0.2">
      <c r="A4" s="118"/>
      <c r="B4" s="580" t="s">
        <v>607</v>
      </c>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27" x14ac:dyDescent="0.2">
      <c r="A5" s="118"/>
      <c r="B5" s="580" t="s">
        <v>608</v>
      </c>
      <c r="C5" s="579"/>
      <c r="D5" s="579"/>
      <c r="E5" s="579"/>
      <c r="F5" s="579"/>
      <c r="G5" s="579"/>
      <c r="H5" s="579"/>
      <c r="I5" s="579"/>
      <c r="J5" s="579"/>
      <c r="K5" s="579"/>
      <c r="L5" s="579"/>
      <c r="M5" s="579"/>
      <c r="N5" s="579"/>
      <c r="O5" s="579"/>
      <c r="P5" s="579"/>
      <c r="Q5" s="579"/>
      <c r="R5" s="579"/>
      <c r="S5" s="579"/>
      <c r="T5" s="579"/>
      <c r="U5" s="579"/>
      <c r="V5" s="579"/>
      <c r="W5" s="579"/>
      <c r="X5" s="579"/>
      <c r="Y5" s="579"/>
      <c r="Z5" s="579"/>
      <c r="AA5" s="579"/>
    </row>
    <row r="6" spans="1:27" ht="25.5" x14ac:dyDescent="0.2">
      <c r="A6" s="259" t="s">
        <v>149</v>
      </c>
      <c r="B6" s="136">
        <v>0.91492099999999998</v>
      </c>
    </row>
    <row r="7" spans="1:27" ht="25.5" x14ac:dyDescent="0.2">
      <c r="A7" s="259" t="s">
        <v>150</v>
      </c>
      <c r="B7" s="136">
        <v>0.74836999999999998</v>
      </c>
    </row>
    <row r="8" spans="1:27" x14ac:dyDescent="0.2">
      <c r="A8" s="118" t="s">
        <v>119</v>
      </c>
      <c r="B8" s="122" t="s">
        <v>69</v>
      </c>
    </row>
    <row r="9" spans="1:27" x14ac:dyDescent="0.2">
      <c r="A9" s="118" t="s">
        <v>202</v>
      </c>
      <c r="B9" s="122"/>
    </row>
    <row r="10" spans="1:27" x14ac:dyDescent="0.2">
      <c r="A10" s="118" t="s">
        <v>209</v>
      </c>
      <c r="B10" s="122" t="s">
        <v>182</v>
      </c>
    </row>
    <row r="11" spans="1:27" x14ac:dyDescent="0.2">
      <c r="A11" s="118" t="s">
        <v>456</v>
      </c>
      <c r="B11" s="122">
        <v>2018</v>
      </c>
    </row>
    <row r="12" spans="1:27" ht="25.5" x14ac:dyDescent="0.2">
      <c r="A12" s="260" t="s">
        <v>158</v>
      </c>
      <c r="B12" s="139" t="s">
        <v>82</v>
      </c>
    </row>
    <row r="13" spans="1:27" ht="25.5" x14ac:dyDescent="0.2">
      <c r="A13" s="260" t="s">
        <v>203</v>
      </c>
      <c r="B13" s="139" t="s">
        <v>82</v>
      </c>
    </row>
    <row r="14" spans="1:27" x14ac:dyDescent="0.2">
      <c r="A14" s="137" t="s">
        <v>148</v>
      </c>
      <c r="B14" s="138" t="s">
        <v>69</v>
      </c>
    </row>
    <row r="15" spans="1:27" x14ac:dyDescent="0.2">
      <c r="A15" s="137"/>
      <c r="B15" s="138"/>
    </row>
    <row r="16" spans="1:27" x14ac:dyDescent="0.2">
      <c r="A16" s="375" t="s">
        <v>1</v>
      </c>
      <c r="G16" s="375"/>
    </row>
    <row r="17" spans="1:5" x14ac:dyDescent="0.2">
      <c r="A17" s="146"/>
      <c r="B17" s="135" t="s">
        <v>67</v>
      </c>
      <c r="C17" s="135" t="s">
        <v>68</v>
      </c>
      <c r="D17" s="135" t="s">
        <v>69</v>
      </c>
    </row>
    <row r="18" spans="1:5" x14ac:dyDescent="0.2">
      <c r="A18" s="168" t="s">
        <v>386</v>
      </c>
      <c r="B18" s="257">
        <v>0.92599999999999993</v>
      </c>
      <c r="C18" s="257">
        <v>0.92400000000000004</v>
      </c>
      <c r="D18" s="257">
        <v>0.91799999999999993</v>
      </c>
    </row>
    <row r="19" spans="1:5" x14ac:dyDescent="0.2">
      <c r="A19" s="168" t="s">
        <v>387</v>
      </c>
      <c r="B19" s="507">
        <v>0.91799999999999993</v>
      </c>
      <c r="C19" s="507">
        <v>0.92400000000000004</v>
      </c>
      <c r="D19" s="507">
        <v>0.91492099999999998</v>
      </c>
    </row>
    <row r="20" spans="1:5" x14ac:dyDescent="0.2">
      <c r="A20" s="65" t="s">
        <v>332</v>
      </c>
      <c r="B20" s="261">
        <v>0.9</v>
      </c>
      <c r="C20" s="261">
        <v>0.9</v>
      </c>
      <c r="D20" s="261">
        <v>0.9</v>
      </c>
      <c r="E20" s="207"/>
    </row>
    <row r="22" spans="1:5" x14ac:dyDescent="0.2">
      <c r="A22" s="375" t="s">
        <v>70</v>
      </c>
    </row>
    <row r="23" spans="1:5" x14ac:dyDescent="0.2">
      <c r="A23" s="255"/>
      <c r="B23" s="256" t="s">
        <v>67</v>
      </c>
      <c r="C23" s="256" t="s">
        <v>68</v>
      </c>
      <c r="D23" s="256" t="s">
        <v>69</v>
      </c>
    </row>
    <row r="24" spans="1:5" x14ac:dyDescent="0.2">
      <c r="A24" s="168" t="s">
        <v>386</v>
      </c>
      <c r="B24" s="258">
        <v>0.79599999999999993</v>
      </c>
      <c r="C24" s="257">
        <v>0.78099999999999992</v>
      </c>
      <c r="D24" s="257">
        <v>0.76400000000000001</v>
      </c>
    </row>
    <row r="25" spans="1:5" x14ac:dyDescent="0.2">
      <c r="A25" s="168" t="s">
        <v>387</v>
      </c>
      <c r="B25" s="507">
        <v>0.8</v>
      </c>
      <c r="C25" s="507">
        <v>0.76700000000000002</v>
      </c>
      <c r="D25" s="507">
        <v>0.74836999999999998</v>
      </c>
    </row>
    <row r="26" spans="1:5" x14ac:dyDescent="0.2">
      <c r="A26" s="262" t="s">
        <v>332</v>
      </c>
      <c r="B26" s="263">
        <v>0.9</v>
      </c>
      <c r="C26" s="263">
        <v>0.9</v>
      </c>
      <c r="D26" s="263">
        <v>0.9</v>
      </c>
    </row>
  </sheetData>
  <mergeCells count="1">
    <mergeCell ref="B3:AA3"/>
  </mergeCells>
  <phoneticPr fontId="0" type="noConversion"/>
  <hyperlinks>
    <hyperlink ref="A1" location="Content!A1" display="Return to Contents"/>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78"/>
  <sheetViews>
    <sheetView workbookViewId="0"/>
  </sheetViews>
  <sheetFormatPr defaultColWidth="9.140625" defaultRowHeight="12.75" x14ac:dyDescent="0.2"/>
  <cols>
    <col min="1" max="1" width="24.42578125" style="117" bestFit="1" customWidth="1"/>
    <col min="2" max="2" width="9.28515625" style="117" customWidth="1"/>
    <col min="3" max="3" width="11.28515625" style="117" bestFit="1" customWidth="1"/>
    <col min="4" max="4" width="7" style="117" customWidth="1"/>
    <col min="5" max="5" width="11.28515625" style="117" customWidth="1"/>
    <col min="6" max="6" width="5.140625" style="117" customWidth="1"/>
    <col min="7" max="7" width="6.85546875" style="117" customWidth="1"/>
    <col min="8" max="8" width="9.85546875" style="117" bestFit="1" customWidth="1"/>
    <col min="9" max="9" width="8.85546875" style="117" bestFit="1" customWidth="1"/>
    <col min="10" max="10" width="9.5703125" style="271" bestFit="1" customWidth="1"/>
    <col min="11" max="11" width="9.140625" style="271" customWidth="1"/>
    <col min="12" max="12" width="9.5703125" style="271" bestFit="1" customWidth="1"/>
    <col min="13" max="13" width="9.140625" style="271" customWidth="1"/>
    <col min="14" max="14" width="9.5703125" style="271" bestFit="1" customWidth="1"/>
    <col min="15" max="15" width="9.140625" style="271"/>
    <col min="16" max="16384" width="9.140625" style="117"/>
  </cols>
  <sheetData>
    <row r="1" spans="1:14" x14ac:dyDescent="0.2">
      <c r="A1" s="298" t="s">
        <v>360</v>
      </c>
    </row>
    <row r="2" spans="1:14" x14ac:dyDescent="0.2">
      <c r="A2" s="116"/>
    </row>
    <row r="3" spans="1:14" x14ac:dyDescent="0.2">
      <c r="A3" s="118" t="s">
        <v>454</v>
      </c>
      <c r="B3" s="117" t="s">
        <v>51</v>
      </c>
    </row>
    <row r="4" spans="1:14" x14ac:dyDescent="0.2">
      <c r="A4" s="118" t="s">
        <v>154</v>
      </c>
      <c r="B4" s="122">
        <f>VLOOKUP(MAX(A11:A82),A11:F82,3,0)</f>
        <v>67</v>
      </c>
    </row>
    <row r="5" spans="1:14" x14ac:dyDescent="0.2">
      <c r="A5" s="118" t="s">
        <v>155</v>
      </c>
      <c r="B5" s="187">
        <f>VLOOKUP(MAX(A11:A82),A11:F82,6,0)</f>
        <v>0.19655164321085197</v>
      </c>
    </row>
    <row r="6" spans="1:14" x14ac:dyDescent="0.2">
      <c r="A6" s="118" t="s">
        <v>119</v>
      </c>
      <c r="B6" s="138">
        <f>MAX(A11:A82)</f>
        <v>42948</v>
      </c>
    </row>
    <row r="7" spans="1:14" x14ac:dyDescent="0.2">
      <c r="A7" s="118" t="s">
        <v>201</v>
      </c>
      <c r="B7" s="138"/>
    </row>
    <row r="8" spans="1:14" x14ac:dyDescent="0.2">
      <c r="A8" s="118" t="s">
        <v>456</v>
      </c>
      <c r="B8" s="173" t="s">
        <v>140</v>
      </c>
    </row>
    <row r="9" spans="1:14" x14ac:dyDescent="0.2">
      <c r="I9" s="199"/>
    </row>
    <row r="10" spans="1:14" ht="38.25" x14ac:dyDescent="0.2">
      <c r="A10" s="5" t="s">
        <v>450</v>
      </c>
      <c r="B10" s="6" t="s">
        <v>451</v>
      </c>
      <c r="C10" s="198" t="s">
        <v>152</v>
      </c>
      <c r="D10" s="198" t="s">
        <v>189</v>
      </c>
      <c r="E10" s="198" t="s">
        <v>190</v>
      </c>
      <c r="F10" s="264" t="s">
        <v>153</v>
      </c>
      <c r="G10" s="198" t="s">
        <v>536</v>
      </c>
      <c r="H10" s="582" t="s">
        <v>610</v>
      </c>
      <c r="I10" s="185" t="s">
        <v>131</v>
      </c>
      <c r="J10" s="185" t="s">
        <v>184</v>
      </c>
      <c r="K10" s="185" t="s">
        <v>318</v>
      </c>
      <c r="L10" s="185" t="s">
        <v>319</v>
      </c>
      <c r="M10" s="185" t="s">
        <v>320</v>
      </c>
      <c r="N10" s="185" t="s">
        <v>321</v>
      </c>
    </row>
    <row r="11" spans="1:14" x14ac:dyDescent="0.2">
      <c r="A11" s="265">
        <v>41365</v>
      </c>
      <c r="B11" s="266">
        <v>42</v>
      </c>
      <c r="C11" s="267">
        <f>B11</f>
        <v>42</v>
      </c>
      <c r="D11" s="267">
        <f>D13/3</f>
        <v>68149</v>
      </c>
      <c r="E11" s="267">
        <f>D11</f>
        <v>68149</v>
      </c>
      <c r="F11" s="268">
        <f t="shared" ref="F11:F52" si="0">C11/E11*1000</f>
        <v>0.61629664411803553</v>
      </c>
      <c r="G11" s="268">
        <v>0.32</v>
      </c>
      <c r="H11" s="268">
        <f>(313/12)</f>
        <v>26.083333333333332</v>
      </c>
      <c r="I11" s="154">
        <f>MEDIAN($B$11:$B$22)</f>
        <v>35.5</v>
      </c>
      <c r="J11" s="154"/>
      <c r="K11" s="154"/>
      <c r="L11" s="154"/>
      <c r="M11" s="154"/>
      <c r="N11" s="154"/>
    </row>
    <row r="12" spans="1:14" x14ac:dyDescent="0.2">
      <c r="A12" s="265">
        <v>41395</v>
      </c>
      <c r="B12" s="266">
        <v>25</v>
      </c>
      <c r="C12" s="267">
        <f t="shared" ref="C12:C22" si="1">C11+B12</f>
        <v>67</v>
      </c>
      <c r="D12" s="267">
        <f>D13/3*2</f>
        <v>136298</v>
      </c>
      <c r="E12" s="267">
        <f>D12</f>
        <v>136298</v>
      </c>
      <c r="F12" s="268">
        <f t="shared" si="0"/>
        <v>0.4915699423322426</v>
      </c>
      <c r="G12" s="268">
        <v>0.32</v>
      </c>
      <c r="H12" s="268">
        <f t="shared" ref="H12:H22" si="2">(313/12)</f>
        <v>26.083333333333332</v>
      </c>
      <c r="I12" s="154">
        <f t="shared" ref="I12:J27" si="3">MEDIAN($B$11:$B$22)</f>
        <v>35.5</v>
      </c>
      <c r="J12" s="154"/>
      <c r="K12" s="154"/>
      <c r="L12" s="154"/>
      <c r="M12" s="154"/>
      <c r="N12" s="154"/>
    </row>
    <row r="13" spans="1:14" x14ac:dyDescent="0.2">
      <c r="A13" s="265">
        <v>41426</v>
      </c>
      <c r="B13" s="266">
        <v>37</v>
      </c>
      <c r="C13" s="267">
        <f t="shared" si="1"/>
        <v>104</v>
      </c>
      <c r="D13" s="267">
        <v>204447</v>
      </c>
      <c r="E13" s="267">
        <f>D13</f>
        <v>204447</v>
      </c>
      <c r="F13" s="268">
        <f t="shared" si="0"/>
        <v>0.5086892935577435</v>
      </c>
      <c r="G13" s="268">
        <v>0.32</v>
      </c>
      <c r="H13" s="268">
        <f t="shared" si="2"/>
        <v>26.083333333333332</v>
      </c>
      <c r="I13" s="154">
        <f t="shared" si="3"/>
        <v>35.5</v>
      </c>
      <c r="J13" s="154"/>
      <c r="K13" s="154"/>
      <c r="L13" s="154"/>
      <c r="M13" s="154"/>
      <c r="N13" s="154"/>
    </row>
    <row r="14" spans="1:14" x14ac:dyDescent="0.2">
      <c r="A14" s="265">
        <v>41456</v>
      </c>
      <c r="B14" s="266">
        <v>34</v>
      </c>
      <c r="C14" s="267">
        <f t="shared" si="1"/>
        <v>138</v>
      </c>
      <c r="D14" s="267">
        <f>D16/3</f>
        <v>67194</v>
      </c>
      <c r="E14" s="267">
        <f>E13+D14</f>
        <v>271641</v>
      </c>
      <c r="F14" s="268">
        <f t="shared" si="0"/>
        <v>0.50802345743094746</v>
      </c>
      <c r="G14" s="268">
        <v>0.32</v>
      </c>
      <c r="H14" s="268">
        <f t="shared" si="2"/>
        <v>26.083333333333332</v>
      </c>
      <c r="I14" s="154">
        <f t="shared" si="3"/>
        <v>35.5</v>
      </c>
      <c r="J14" s="154"/>
      <c r="K14" s="154"/>
      <c r="L14" s="154"/>
      <c r="M14" s="154"/>
      <c r="N14" s="154"/>
    </row>
    <row r="15" spans="1:14" x14ac:dyDescent="0.2">
      <c r="A15" s="265">
        <v>41487</v>
      </c>
      <c r="B15" s="266">
        <v>39</v>
      </c>
      <c r="C15" s="267">
        <f t="shared" si="1"/>
        <v>177</v>
      </c>
      <c r="D15" s="267">
        <f>D16/3*2</f>
        <v>134388</v>
      </c>
      <c r="E15" s="267">
        <f>E13+D15</f>
        <v>338835</v>
      </c>
      <c r="F15" s="268">
        <f t="shared" si="0"/>
        <v>0.52237814865642573</v>
      </c>
      <c r="G15" s="268">
        <v>0.32</v>
      </c>
      <c r="H15" s="268">
        <f t="shared" si="2"/>
        <v>26.083333333333332</v>
      </c>
      <c r="I15" s="154">
        <f t="shared" si="3"/>
        <v>35.5</v>
      </c>
      <c r="J15" s="154"/>
      <c r="K15" s="154"/>
      <c r="L15" s="154"/>
      <c r="M15" s="154"/>
      <c r="N15" s="154"/>
    </row>
    <row r="16" spans="1:14" x14ac:dyDescent="0.2">
      <c r="A16" s="265">
        <v>41518</v>
      </c>
      <c r="B16" s="266">
        <v>38</v>
      </c>
      <c r="C16" s="267">
        <f t="shared" si="1"/>
        <v>215</v>
      </c>
      <c r="D16" s="267">
        <v>201582</v>
      </c>
      <c r="E16" s="267">
        <f>E13+D16</f>
        <v>406029</v>
      </c>
      <c r="F16" s="268">
        <f t="shared" si="0"/>
        <v>0.52951882747291446</v>
      </c>
      <c r="G16" s="268">
        <v>0.32</v>
      </c>
      <c r="H16" s="268">
        <f t="shared" si="2"/>
        <v>26.083333333333332</v>
      </c>
      <c r="I16" s="154">
        <f t="shared" si="3"/>
        <v>35.5</v>
      </c>
      <c r="J16" s="154"/>
      <c r="K16" s="154"/>
      <c r="L16" s="154"/>
      <c r="M16" s="154"/>
      <c r="N16" s="154"/>
    </row>
    <row r="17" spans="1:32" x14ac:dyDescent="0.2">
      <c r="A17" s="265">
        <v>41548</v>
      </c>
      <c r="B17" s="266">
        <v>52</v>
      </c>
      <c r="C17" s="267">
        <f t="shared" si="1"/>
        <v>267</v>
      </c>
      <c r="D17" s="267">
        <f>D19/3</f>
        <v>68029</v>
      </c>
      <c r="E17" s="267">
        <f>E16+D17</f>
        <v>474058</v>
      </c>
      <c r="F17" s="268">
        <f t="shared" si="0"/>
        <v>0.56322222175345638</v>
      </c>
      <c r="G17" s="268">
        <v>0.32</v>
      </c>
      <c r="H17" s="268">
        <f t="shared" si="2"/>
        <v>26.083333333333332</v>
      </c>
      <c r="I17" s="154">
        <f t="shared" si="3"/>
        <v>35.5</v>
      </c>
      <c r="J17" s="154"/>
      <c r="K17" s="154"/>
      <c r="L17" s="154"/>
      <c r="M17" s="154"/>
      <c r="N17" s="154"/>
    </row>
    <row r="18" spans="1:32" x14ac:dyDescent="0.2">
      <c r="A18" s="265">
        <v>41579</v>
      </c>
      <c r="B18" s="266">
        <v>34</v>
      </c>
      <c r="C18" s="267">
        <f t="shared" si="1"/>
        <v>301</v>
      </c>
      <c r="D18" s="267">
        <f>D19/3*2</f>
        <v>136058</v>
      </c>
      <c r="E18" s="267">
        <f>E16+D18</f>
        <v>542087</v>
      </c>
      <c r="F18" s="268">
        <f t="shared" si="0"/>
        <v>0.5552614248266422</v>
      </c>
      <c r="G18" s="268">
        <v>0.32</v>
      </c>
      <c r="H18" s="268">
        <f t="shared" si="2"/>
        <v>26.083333333333332</v>
      </c>
      <c r="I18" s="154">
        <f t="shared" si="3"/>
        <v>35.5</v>
      </c>
      <c r="J18" s="154"/>
      <c r="K18" s="154"/>
      <c r="L18" s="154"/>
      <c r="M18" s="154"/>
      <c r="N18" s="154"/>
    </row>
    <row r="19" spans="1:32" x14ac:dyDescent="0.2">
      <c r="A19" s="265">
        <v>41609</v>
      </c>
      <c r="B19" s="266">
        <v>32</v>
      </c>
      <c r="C19" s="267">
        <f t="shared" si="1"/>
        <v>333</v>
      </c>
      <c r="D19" s="267">
        <v>204087</v>
      </c>
      <c r="E19" s="267">
        <f>E16+D19</f>
        <v>610116</v>
      </c>
      <c r="F19" s="268">
        <f t="shared" si="0"/>
        <v>0.54579784827803235</v>
      </c>
      <c r="G19" s="268">
        <v>0.32</v>
      </c>
      <c r="H19" s="268">
        <f t="shared" si="2"/>
        <v>26.083333333333332</v>
      </c>
      <c r="I19" s="154">
        <f t="shared" si="3"/>
        <v>35.5</v>
      </c>
      <c r="J19" s="154"/>
      <c r="K19" s="154"/>
      <c r="L19" s="154"/>
      <c r="M19" s="154"/>
      <c r="N19" s="154"/>
    </row>
    <row r="20" spans="1:32" x14ac:dyDescent="0.2">
      <c r="A20" s="265">
        <v>41640</v>
      </c>
      <c r="B20" s="266">
        <v>37</v>
      </c>
      <c r="C20" s="267">
        <f t="shared" si="1"/>
        <v>370</v>
      </c>
      <c r="D20" s="267">
        <f>D22/3</f>
        <v>69691</v>
      </c>
      <c r="E20" s="267">
        <f>E19+D20</f>
        <v>679807</v>
      </c>
      <c r="F20" s="268">
        <f t="shared" si="0"/>
        <v>0.5442721242941011</v>
      </c>
      <c r="G20" s="268">
        <v>0.32</v>
      </c>
      <c r="H20" s="268">
        <f t="shared" si="2"/>
        <v>26.083333333333332</v>
      </c>
      <c r="I20" s="154">
        <f t="shared" si="3"/>
        <v>35.5</v>
      </c>
      <c r="J20" s="154"/>
      <c r="K20" s="154"/>
      <c r="L20" s="154"/>
      <c r="M20" s="154"/>
      <c r="N20" s="154"/>
    </row>
    <row r="21" spans="1:32" x14ac:dyDescent="0.2">
      <c r="A21" s="265">
        <v>41671</v>
      </c>
      <c r="B21" s="266">
        <v>33</v>
      </c>
      <c r="C21" s="267">
        <f t="shared" si="1"/>
        <v>403</v>
      </c>
      <c r="D21" s="267">
        <f>D22/3*2</f>
        <v>139382</v>
      </c>
      <c r="E21" s="267">
        <f>E19+D21</f>
        <v>749498</v>
      </c>
      <c r="F21" s="268">
        <f t="shared" si="0"/>
        <v>0.53769322933483477</v>
      </c>
      <c r="G21" s="268">
        <v>0.32</v>
      </c>
      <c r="H21" s="268">
        <f t="shared" si="2"/>
        <v>26.083333333333332</v>
      </c>
      <c r="I21" s="154">
        <f t="shared" si="3"/>
        <v>35.5</v>
      </c>
      <c r="J21" s="154"/>
      <c r="K21" s="154"/>
      <c r="L21" s="154"/>
      <c r="M21" s="154"/>
      <c r="N21" s="154"/>
    </row>
    <row r="22" spans="1:32" x14ac:dyDescent="0.2">
      <c r="A22" s="265">
        <v>41699</v>
      </c>
      <c r="B22" s="266">
        <v>22</v>
      </c>
      <c r="C22" s="267">
        <f t="shared" si="1"/>
        <v>425</v>
      </c>
      <c r="D22" s="267">
        <v>209073</v>
      </c>
      <c r="E22" s="267">
        <f>E19+D22</f>
        <v>819189</v>
      </c>
      <c r="F22" s="268">
        <f t="shared" si="0"/>
        <v>0.51880579451140085</v>
      </c>
      <c r="G22" s="268">
        <v>0.32</v>
      </c>
      <c r="H22" s="268">
        <f t="shared" si="2"/>
        <v>26.083333333333332</v>
      </c>
      <c r="I22" s="154">
        <f t="shared" si="3"/>
        <v>35.5</v>
      </c>
      <c r="J22" s="154">
        <f t="shared" si="3"/>
        <v>35.5</v>
      </c>
      <c r="K22" s="154"/>
      <c r="L22" s="154"/>
      <c r="M22" s="154"/>
      <c r="N22" s="154"/>
    </row>
    <row r="23" spans="1:32" x14ac:dyDescent="0.2">
      <c r="A23" s="265">
        <v>41730</v>
      </c>
      <c r="B23" s="266">
        <v>34</v>
      </c>
      <c r="C23" s="267">
        <f>B23</f>
        <v>34</v>
      </c>
      <c r="D23" s="267">
        <f>D25/3</f>
        <v>71251</v>
      </c>
      <c r="E23" s="267">
        <f>D23</f>
        <v>71251</v>
      </c>
      <c r="F23" s="268">
        <f t="shared" si="0"/>
        <v>0.47718628510477046</v>
      </c>
      <c r="G23" s="268">
        <v>0.32</v>
      </c>
      <c r="H23" s="268">
        <f>(262/12)</f>
        <v>21.833333333333332</v>
      </c>
      <c r="I23" s="154" t="s">
        <v>385</v>
      </c>
      <c r="J23" s="154">
        <f t="shared" si="3"/>
        <v>35.5</v>
      </c>
      <c r="K23" s="154"/>
      <c r="L23" s="154"/>
      <c r="M23" s="154"/>
      <c r="N23" s="154"/>
    </row>
    <row r="24" spans="1:32" x14ac:dyDescent="0.2">
      <c r="A24" s="265">
        <v>41760</v>
      </c>
      <c r="B24" s="266">
        <v>39</v>
      </c>
      <c r="C24" s="267">
        <f t="shared" ref="C24:C34" si="4">C23+B24</f>
        <v>73</v>
      </c>
      <c r="D24" s="267">
        <f>D25/3*2</f>
        <v>142502</v>
      </c>
      <c r="E24" s="267">
        <f>D24</f>
        <v>142502</v>
      </c>
      <c r="F24" s="268">
        <f t="shared" si="0"/>
        <v>0.51227351195070936</v>
      </c>
      <c r="G24" s="268">
        <v>0.32</v>
      </c>
      <c r="H24" s="268">
        <f t="shared" ref="H24:H34" si="5">(262/12)</f>
        <v>21.833333333333332</v>
      </c>
      <c r="I24" s="154" t="s">
        <v>385</v>
      </c>
      <c r="J24" s="154">
        <f t="shared" si="3"/>
        <v>35.5</v>
      </c>
      <c r="K24" s="154"/>
      <c r="L24" s="154"/>
      <c r="M24" s="154"/>
      <c r="N24" s="154"/>
      <c r="Q24" s="451"/>
      <c r="AF24" s="451"/>
    </row>
    <row r="25" spans="1:32" x14ac:dyDescent="0.2">
      <c r="A25" s="265">
        <v>41791</v>
      </c>
      <c r="B25" s="266">
        <v>34</v>
      </c>
      <c r="C25" s="267">
        <f t="shared" si="4"/>
        <v>107</v>
      </c>
      <c r="D25" s="267">
        <v>213753</v>
      </c>
      <c r="E25" s="267">
        <f>D25</f>
        <v>213753</v>
      </c>
      <c r="F25" s="268">
        <f t="shared" si="0"/>
        <v>0.5005777696687298</v>
      </c>
      <c r="G25" s="268">
        <v>0.32</v>
      </c>
      <c r="H25" s="268">
        <f t="shared" si="5"/>
        <v>21.833333333333332</v>
      </c>
      <c r="I25" s="154" t="s">
        <v>385</v>
      </c>
      <c r="J25" s="154">
        <f t="shared" si="3"/>
        <v>35.5</v>
      </c>
      <c r="K25" s="154"/>
      <c r="L25" s="154"/>
      <c r="M25" s="154"/>
      <c r="N25" s="154"/>
    </row>
    <row r="26" spans="1:32" x14ac:dyDescent="0.2">
      <c r="A26" s="265">
        <v>41821</v>
      </c>
      <c r="B26" s="266">
        <v>39</v>
      </c>
      <c r="C26" s="267">
        <f t="shared" si="4"/>
        <v>146</v>
      </c>
      <c r="D26" s="267">
        <f>D28/3</f>
        <v>67192</v>
      </c>
      <c r="E26" s="267">
        <f>E25+D26</f>
        <v>280945</v>
      </c>
      <c r="F26" s="268">
        <f t="shared" si="0"/>
        <v>0.51967466941928131</v>
      </c>
      <c r="G26" s="268">
        <v>0.32</v>
      </c>
      <c r="H26" s="268">
        <f t="shared" si="5"/>
        <v>21.833333333333332</v>
      </c>
      <c r="I26" s="154" t="s">
        <v>385</v>
      </c>
      <c r="J26" s="154">
        <f t="shared" si="3"/>
        <v>35.5</v>
      </c>
      <c r="K26" s="154"/>
      <c r="L26" s="154"/>
      <c r="M26" s="154"/>
      <c r="N26" s="154"/>
    </row>
    <row r="27" spans="1:32" x14ac:dyDescent="0.2">
      <c r="A27" s="265">
        <v>41852</v>
      </c>
      <c r="B27" s="266">
        <v>38</v>
      </c>
      <c r="C27" s="267">
        <f t="shared" si="4"/>
        <v>184</v>
      </c>
      <c r="D27" s="267">
        <f>D28/3*2</f>
        <v>134384</v>
      </c>
      <c r="E27" s="267">
        <f>E25+D27</f>
        <v>348137</v>
      </c>
      <c r="F27" s="268">
        <f t="shared" si="0"/>
        <v>0.52852756242513732</v>
      </c>
      <c r="G27" s="268">
        <v>0.32</v>
      </c>
      <c r="H27" s="268">
        <f t="shared" si="5"/>
        <v>21.833333333333332</v>
      </c>
      <c r="I27" s="154" t="s">
        <v>385</v>
      </c>
      <c r="J27" s="154">
        <f t="shared" si="3"/>
        <v>35.5</v>
      </c>
      <c r="K27" s="154"/>
      <c r="L27" s="154"/>
      <c r="M27" s="154"/>
      <c r="N27" s="154"/>
    </row>
    <row r="28" spans="1:32" x14ac:dyDescent="0.2">
      <c r="A28" s="265">
        <v>41883</v>
      </c>
      <c r="B28" s="266">
        <v>29</v>
      </c>
      <c r="C28" s="267">
        <f t="shared" si="4"/>
        <v>213</v>
      </c>
      <c r="D28" s="267">
        <v>201576</v>
      </c>
      <c r="E28" s="267">
        <f>E25+D28</f>
        <v>415329</v>
      </c>
      <c r="F28" s="268">
        <f t="shared" si="0"/>
        <v>0.51284644221809694</v>
      </c>
      <c r="G28" s="268">
        <v>0.32</v>
      </c>
      <c r="H28" s="268">
        <f t="shared" si="5"/>
        <v>21.833333333333332</v>
      </c>
      <c r="I28" s="154" t="s">
        <v>385</v>
      </c>
      <c r="J28" s="154"/>
      <c r="K28" s="154">
        <f>MEDIAN($B$28:$B$39)</f>
        <v>29.5</v>
      </c>
      <c r="L28" s="154"/>
      <c r="M28" s="154"/>
      <c r="N28" s="154"/>
    </row>
    <row r="29" spans="1:32" x14ac:dyDescent="0.2">
      <c r="A29" s="265">
        <v>41913</v>
      </c>
      <c r="B29" s="266">
        <v>32</v>
      </c>
      <c r="C29" s="267">
        <f t="shared" si="4"/>
        <v>245</v>
      </c>
      <c r="D29" s="270">
        <f>D31/3</f>
        <v>69088.666666666672</v>
      </c>
      <c r="E29" s="270">
        <f>E28+D29</f>
        <v>484417.66666666669</v>
      </c>
      <c r="F29" s="268">
        <f t="shared" si="0"/>
        <v>0.50576190105920982</v>
      </c>
      <c r="G29" s="268">
        <v>0.32</v>
      </c>
      <c r="H29" s="268">
        <f t="shared" si="5"/>
        <v>21.833333333333332</v>
      </c>
      <c r="I29" s="154"/>
      <c r="J29" s="154"/>
      <c r="K29" s="154">
        <f t="shared" ref="K29:L41" si="6">MEDIAN($B$28:$B$39)</f>
        <v>29.5</v>
      </c>
      <c r="L29" s="154"/>
      <c r="M29" s="154"/>
      <c r="N29" s="154"/>
    </row>
    <row r="30" spans="1:32" x14ac:dyDescent="0.2">
      <c r="A30" s="265">
        <v>41944</v>
      </c>
      <c r="B30" s="266">
        <v>33</v>
      </c>
      <c r="C30" s="267">
        <f t="shared" si="4"/>
        <v>278</v>
      </c>
      <c r="D30" s="270">
        <f>D31/3*2</f>
        <v>138177.33333333334</v>
      </c>
      <c r="E30" s="270">
        <f>E28+D30</f>
        <v>553506.33333333337</v>
      </c>
      <c r="F30" s="268">
        <f t="shared" si="0"/>
        <v>0.50225260897345947</v>
      </c>
      <c r="G30" s="268">
        <v>0.32</v>
      </c>
      <c r="H30" s="268">
        <f t="shared" si="5"/>
        <v>21.833333333333332</v>
      </c>
      <c r="I30" s="154"/>
      <c r="J30" s="154"/>
      <c r="K30" s="154">
        <f t="shared" si="6"/>
        <v>29.5</v>
      </c>
      <c r="L30" s="154"/>
      <c r="M30" s="154"/>
      <c r="N30" s="154"/>
    </row>
    <row r="31" spans="1:32" x14ac:dyDescent="0.2">
      <c r="A31" s="265">
        <v>41974</v>
      </c>
      <c r="B31" s="266">
        <v>33</v>
      </c>
      <c r="C31" s="267">
        <f t="shared" si="4"/>
        <v>311</v>
      </c>
      <c r="D31" s="267">
        <v>207266</v>
      </c>
      <c r="E31" s="267">
        <f>E28+D31</f>
        <v>622595</v>
      </c>
      <c r="F31" s="268">
        <f t="shared" si="0"/>
        <v>0.49952216127659232</v>
      </c>
      <c r="G31" s="268">
        <v>0.32</v>
      </c>
      <c r="H31" s="268">
        <f t="shared" si="5"/>
        <v>21.833333333333332</v>
      </c>
      <c r="I31" s="154"/>
      <c r="J31" s="154"/>
      <c r="K31" s="154">
        <f t="shared" si="6"/>
        <v>29.5</v>
      </c>
      <c r="L31" s="154"/>
      <c r="M31" s="154"/>
      <c r="N31" s="154"/>
    </row>
    <row r="32" spans="1:32" x14ac:dyDescent="0.2">
      <c r="A32" s="265">
        <v>42005</v>
      </c>
      <c r="B32" s="266">
        <v>30</v>
      </c>
      <c r="C32" s="267">
        <f t="shared" si="4"/>
        <v>341</v>
      </c>
      <c r="D32" s="270">
        <f>D34/3</f>
        <v>69223</v>
      </c>
      <c r="E32" s="270">
        <f>E31+D32</f>
        <v>691818</v>
      </c>
      <c r="F32" s="268">
        <f t="shared" si="0"/>
        <v>0.49290420312856847</v>
      </c>
      <c r="G32" s="268">
        <v>0.32</v>
      </c>
      <c r="H32" s="268">
        <f t="shared" si="5"/>
        <v>21.833333333333332</v>
      </c>
      <c r="I32" s="154"/>
      <c r="J32" s="154"/>
      <c r="K32" s="154">
        <f t="shared" si="6"/>
        <v>29.5</v>
      </c>
      <c r="L32" s="154"/>
      <c r="M32" s="154"/>
      <c r="N32" s="154"/>
    </row>
    <row r="33" spans="1:14" x14ac:dyDescent="0.2">
      <c r="A33" s="265">
        <v>42036</v>
      </c>
      <c r="B33" s="266">
        <v>21</v>
      </c>
      <c r="C33" s="267">
        <f t="shared" si="4"/>
        <v>362</v>
      </c>
      <c r="D33" s="270">
        <f>D34/3*2</f>
        <v>138446</v>
      </c>
      <c r="E33" s="270">
        <f>E31+D33</f>
        <v>761041</v>
      </c>
      <c r="F33" s="268">
        <f t="shared" si="0"/>
        <v>0.47566425461965911</v>
      </c>
      <c r="G33" s="268">
        <v>0.32</v>
      </c>
      <c r="H33" s="268">
        <f t="shared" si="5"/>
        <v>21.833333333333332</v>
      </c>
      <c r="I33" s="154"/>
      <c r="J33" s="154"/>
      <c r="K33" s="154">
        <f t="shared" si="6"/>
        <v>29.5</v>
      </c>
      <c r="L33" s="154"/>
      <c r="M33" s="154"/>
      <c r="N33" s="154"/>
    </row>
    <row r="34" spans="1:14" x14ac:dyDescent="0.2">
      <c r="A34" s="265">
        <v>42064</v>
      </c>
      <c r="B34" s="266">
        <v>31</v>
      </c>
      <c r="C34" s="267">
        <f t="shared" si="4"/>
        <v>393</v>
      </c>
      <c r="D34" s="267">
        <v>207669</v>
      </c>
      <c r="E34" s="267">
        <f>E31+D34</f>
        <v>830264</v>
      </c>
      <c r="F34" s="268">
        <f t="shared" si="0"/>
        <v>0.47334341847894162</v>
      </c>
      <c r="G34" s="268">
        <v>0.32</v>
      </c>
      <c r="H34" s="268">
        <f t="shared" si="5"/>
        <v>21.833333333333332</v>
      </c>
      <c r="I34" s="154"/>
      <c r="J34" s="154"/>
      <c r="K34" s="154">
        <f t="shared" si="6"/>
        <v>29.5</v>
      </c>
      <c r="L34" s="154"/>
      <c r="M34" s="154"/>
      <c r="N34" s="154"/>
    </row>
    <row r="35" spans="1:14" x14ac:dyDescent="0.2">
      <c r="A35" s="265">
        <v>42095</v>
      </c>
      <c r="B35" s="266">
        <v>29</v>
      </c>
      <c r="C35" s="267">
        <f>B35</f>
        <v>29</v>
      </c>
      <c r="D35" s="270">
        <f>D37/3</f>
        <v>69531</v>
      </c>
      <c r="E35" s="270">
        <f>D35</f>
        <v>69531</v>
      </c>
      <c r="F35" s="268">
        <f t="shared" si="0"/>
        <v>0.41708015129942039</v>
      </c>
      <c r="G35" s="268">
        <v>0.32</v>
      </c>
      <c r="H35" s="268">
        <f>(262/12)</f>
        <v>21.833333333333332</v>
      </c>
      <c r="I35" s="154"/>
      <c r="J35" s="154"/>
      <c r="K35" s="154">
        <f t="shared" si="6"/>
        <v>29.5</v>
      </c>
      <c r="L35" s="154"/>
      <c r="M35" s="154"/>
      <c r="N35" s="154"/>
    </row>
    <row r="36" spans="1:14" x14ac:dyDescent="0.2">
      <c r="A36" s="265">
        <v>42125</v>
      </c>
      <c r="B36" s="266">
        <v>22</v>
      </c>
      <c r="C36" s="267">
        <f t="shared" ref="C36:C46" si="7">C35+B36</f>
        <v>51</v>
      </c>
      <c r="D36" s="270">
        <f>D37/3*2</f>
        <v>139062</v>
      </c>
      <c r="E36" s="270">
        <f>D36</f>
        <v>139062</v>
      </c>
      <c r="F36" s="268">
        <f t="shared" si="0"/>
        <v>0.3667428916598352</v>
      </c>
      <c r="G36" s="268">
        <v>0.32</v>
      </c>
      <c r="H36" s="268">
        <f t="shared" ref="H36:H63" si="8">(262/12)</f>
        <v>21.833333333333332</v>
      </c>
      <c r="I36" s="154"/>
      <c r="J36" s="154"/>
      <c r="K36" s="154">
        <f t="shared" si="6"/>
        <v>29.5</v>
      </c>
      <c r="L36" s="154"/>
      <c r="M36" s="154"/>
      <c r="N36" s="154"/>
    </row>
    <row r="37" spans="1:14" x14ac:dyDescent="0.2">
      <c r="A37" s="265">
        <v>42156</v>
      </c>
      <c r="B37" s="266">
        <v>24</v>
      </c>
      <c r="C37" s="267">
        <f t="shared" si="7"/>
        <v>75</v>
      </c>
      <c r="D37" s="267">
        <v>208593</v>
      </c>
      <c r="E37" s="267">
        <f>D37</f>
        <v>208593</v>
      </c>
      <c r="F37" s="268">
        <f t="shared" si="0"/>
        <v>0.35955185456846583</v>
      </c>
      <c r="G37" s="268">
        <v>0.32</v>
      </c>
      <c r="H37" s="268">
        <f t="shared" si="8"/>
        <v>21.833333333333332</v>
      </c>
      <c r="I37" s="154"/>
      <c r="J37" s="154"/>
      <c r="K37" s="154">
        <f t="shared" si="6"/>
        <v>29.5</v>
      </c>
      <c r="L37" s="154"/>
      <c r="M37" s="154"/>
      <c r="N37" s="154"/>
    </row>
    <row r="38" spans="1:14" x14ac:dyDescent="0.2">
      <c r="A38" s="265">
        <v>42186</v>
      </c>
      <c r="B38" s="266">
        <v>26</v>
      </c>
      <c r="C38" s="267">
        <f t="shared" si="7"/>
        <v>101</v>
      </c>
      <c r="D38" s="270">
        <f>D40/3</f>
        <v>68213</v>
      </c>
      <c r="E38" s="270">
        <f>E37+D38</f>
        <v>276806</v>
      </c>
      <c r="F38" s="268">
        <f t="shared" si="0"/>
        <v>0.36487648389124516</v>
      </c>
      <c r="G38" s="268">
        <v>0.32</v>
      </c>
      <c r="H38" s="268">
        <f t="shared" si="8"/>
        <v>21.833333333333332</v>
      </c>
      <c r="I38" s="154"/>
      <c r="J38" s="154"/>
      <c r="K38" s="154">
        <f t="shared" si="6"/>
        <v>29.5</v>
      </c>
      <c r="L38" s="154"/>
      <c r="M38" s="154"/>
      <c r="N38" s="154"/>
    </row>
    <row r="39" spans="1:14" x14ac:dyDescent="0.2">
      <c r="A39" s="265">
        <v>42217</v>
      </c>
      <c r="B39" s="266">
        <v>36</v>
      </c>
      <c r="C39" s="267">
        <f t="shared" si="7"/>
        <v>137</v>
      </c>
      <c r="D39" s="270">
        <f>D40/3*2</f>
        <v>136426</v>
      </c>
      <c r="E39" s="270">
        <f>E37+D39</f>
        <v>345019</v>
      </c>
      <c r="F39" s="268">
        <f t="shared" si="0"/>
        <v>0.39707958112451774</v>
      </c>
      <c r="G39" s="268">
        <v>0.32</v>
      </c>
      <c r="H39" s="268">
        <f t="shared" si="8"/>
        <v>21.833333333333332</v>
      </c>
      <c r="I39" s="154"/>
      <c r="J39" s="154"/>
      <c r="K39" s="154">
        <f t="shared" si="6"/>
        <v>29.5</v>
      </c>
      <c r="L39" s="154">
        <f t="shared" si="6"/>
        <v>29.5</v>
      </c>
      <c r="M39" s="154"/>
      <c r="N39" s="154"/>
    </row>
    <row r="40" spans="1:14" x14ac:dyDescent="0.2">
      <c r="A40" s="265">
        <v>42248</v>
      </c>
      <c r="B40" s="266">
        <v>40</v>
      </c>
      <c r="C40" s="267">
        <f t="shared" si="7"/>
        <v>177</v>
      </c>
      <c r="D40" s="267">
        <v>204639</v>
      </c>
      <c r="E40" s="267">
        <f>E37+D40</f>
        <v>413232</v>
      </c>
      <c r="F40" s="268">
        <f t="shared" si="0"/>
        <v>0.42833081658729233</v>
      </c>
      <c r="G40" s="268">
        <v>0.32</v>
      </c>
      <c r="H40" s="268">
        <f t="shared" si="8"/>
        <v>21.833333333333332</v>
      </c>
      <c r="I40" s="154"/>
      <c r="J40" s="154"/>
      <c r="K40" s="194"/>
      <c r="L40" s="154">
        <f t="shared" si="6"/>
        <v>29.5</v>
      </c>
      <c r="M40" s="154"/>
      <c r="N40" s="154"/>
    </row>
    <row r="41" spans="1:14" x14ac:dyDescent="0.2">
      <c r="A41" s="265">
        <v>42278</v>
      </c>
      <c r="B41" s="4">
        <v>30</v>
      </c>
      <c r="C41" s="267">
        <f t="shared" si="7"/>
        <v>207</v>
      </c>
      <c r="D41" s="270">
        <f>D43/3</f>
        <v>70508</v>
      </c>
      <c r="E41" s="270">
        <f>E40+D41</f>
        <v>483740</v>
      </c>
      <c r="F41" s="268">
        <f t="shared" si="0"/>
        <v>0.42791582254930338</v>
      </c>
      <c r="G41" s="268">
        <v>0.32</v>
      </c>
      <c r="H41" s="268">
        <f t="shared" si="8"/>
        <v>21.833333333333332</v>
      </c>
      <c r="I41" s="154"/>
      <c r="J41" s="154"/>
      <c r="K41" s="194"/>
      <c r="L41" s="154">
        <f t="shared" si="6"/>
        <v>29.5</v>
      </c>
      <c r="M41" s="154"/>
      <c r="N41" s="154"/>
    </row>
    <row r="42" spans="1:14" x14ac:dyDescent="0.2">
      <c r="A42" s="265">
        <v>42309</v>
      </c>
      <c r="B42" s="4">
        <v>24</v>
      </c>
      <c r="C42" s="267">
        <f t="shared" si="7"/>
        <v>231</v>
      </c>
      <c r="D42" s="270">
        <f>D43/3*2</f>
        <v>141016</v>
      </c>
      <c r="E42" s="270">
        <f>E40+D42</f>
        <v>554248</v>
      </c>
      <c r="F42" s="268">
        <f t="shared" si="0"/>
        <v>0.41678093561005186</v>
      </c>
      <c r="G42" s="268">
        <v>0.32</v>
      </c>
      <c r="H42" s="268">
        <f t="shared" si="8"/>
        <v>21.833333333333332</v>
      </c>
      <c r="I42" s="154"/>
      <c r="J42" s="154"/>
      <c r="K42" s="194"/>
      <c r="L42" s="154"/>
      <c r="M42" s="154">
        <f>MEDIAN($B$42:$B$53)</f>
        <v>21</v>
      </c>
      <c r="N42" s="154"/>
    </row>
    <row r="43" spans="1:14" x14ac:dyDescent="0.2">
      <c r="A43" s="265">
        <v>42339</v>
      </c>
      <c r="B43" s="4">
        <v>29</v>
      </c>
      <c r="C43" s="267">
        <f>C42+B43</f>
        <v>260</v>
      </c>
      <c r="D43" s="267">
        <v>211524</v>
      </c>
      <c r="E43" s="267">
        <f>E40+D43</f>
        <v>624756</v>
      </c>
      <c r="F43" s="268">
        <f t="shared" si="0"/>
        <v>0.41616246982822097</v>
      </c>
      <c r="G43" s="268">
        <v>0.32</v>
      </c>
      <c r="H43" s="268">
        <f t="shared" si="8"/>
        <v>21.833333333333332</v>
      </c>
      <c r="I43" s="154"/>
      <c r="J43" s="154"/>
      <c r="K43" s="154"/>
      <c r="L43" s="154"/>
      <c r="M43" s="154">
        <f t="shared" ref="M43:N58" si="9">MEDIAN($B$42:$B$53)</f>
        <v>21</v>
      </c>
      <c r="N43" s="154"/>
    </row>
    <row r="44" spans="1:14" x14ac:dyDescent="0.2">
      <c r="A44" s="265">
        <v>42370</v>
      </c>
      <c r="B44" s="4">
        <v>17</v>
      </c>
      <c r="C44" s="267">
        <f t="shared" si="7"/>
        <v>277</v>
      </c>
      <c r="D44" s="270">
        <f>D46/3</f>
        <v>70257</v>
      </c>
      <c r="E44" s="270">
        <f>E43+D44</f>
        <v>695013</v>
      </c>
      <c r="F44" s="268">
        <f t="shared" si="0"/>
        <v>0.39855369611791436</v>
      </c>
      <c r="G44" s="268">
        <v>0.32</v>
      </c>
      <c r="H44" s="268">
        <f t="shared" si="8"/>
        <v>21.833333333333332</v>
      </c>
      <c r="I44" s="154"/>
      <c r="J44" s="154"/>
      <c r="K44" s="154"/>
      <c r="L44" s="154"/>
      <c r="M44" s="154">
        <f t="shared" si="9"/>
        <v>21</v>
      </c>
      <c r="N44" s="154"/>
    </row>
    <row r="45" spans="1:14" x14ac:dyDescent="0.2">
      <c r="A45" s="265">
        <v>42401</v>
      </c>
      <c r="B45" s="4">
        <v>27</v>
      </c>
      <c r="C45" s="267">
        <f t="shared" si="7"/>
        <v>304</v>
      </c>
      <c r="D45" s="270">
        <f>D46/3*2</f>
        <v>140514</v>
      </c>
      <c r="E45" s="270">
        <f>E43+D45</f>
        <v>765270</v>
      </c>
      <c r="F45" s="268">
        <f t="shared" si="0"/>
        <v>0.39724541665033258</v>
      </c>
      <c r="G45" s="268">
        <v>0.32</v>
      </c>
      <c r="H45" s="268">
        <f t="shared" si="8"/>
        <v>21.833333333333332</v>
      </c>
      <c r="I45" s="154"/>
      <c r="J45" s="154"/>
      <c r="K45" s="154"/>
      <c r="L45" s="154"/>
      <c r="M45" s="154">
        <f t="shared" si="9"/>
        <v>21</v>
      </c>
      <c r="N45" s="154"/>
    </row>
    <row r="46" spans="1:14" x14ac:dyDescent="0.2">
      <c r="A46" s="265">
        <v>42430</v>
      </c>
      <c r="B46" s="4">
        <v>21</v>
      </c>
      <c r="C46" s="267">
        <f t="shared" si="7"/>
        <v>325</v>
      </c>
      <c r="D46" s="267">
        <v>210771</v>
      </c>
      <c r="E46" s="267">
        <f>E43+D46</f>
        <v>835527</v>
      </c>
      <c r="F46" s="268">
        <f t="shared" si="0"/>
        <v>0.38897605942117969</v>
      </c>
      <c r="G46" s="268">
        <v>0.32</v>
      </c>
      <c r="H46" s="268">
        <f t="shared" si="8"/>
        <v>21.833333333333332</v>
      </c>
      <c r="I46" s="154"/>
      <c r="J46" s="154"/>
      <c r="K46" s="154"/>
      <c r="L46" s="154"/>
      <c r="M46" s="154">
        <f t="shared" si="9"/>
        <v>21</v>
      </c>
      <c r="N46" s="154"/>
    </row>
    <row r="47" spans="1:14" x14ac:dyDescent="0.2">
      <c r="A47" s="265">
        <v>42461</v>
      </c>
      <c r="B47" s="4">
        <v>20</v>
      </c>
      <c r="C47" s="267">
        <f>B47</f>
        <v>20</v>
      </c>
      <c r="D47" s="270">
        <f>D49/3</f>
        <v>69314</v>
      </c>
      <c r="E47" s="267">
        <f>D47</f>
        <v>69314</v>
      </c>
      <c r="F47" s="268">
        <f t="shared" si="0"/>
        <v>0.28854199728770524</v>
      </c>
      <c r="G47" s="268">
        <v>0.32</v>
      </c>
      <c r="H47" s="268">
        <f t="shared" si="8"/>
        <v>21.833333333333332</v>
      </c>
      <c r="I47" s="154"/>
      <c r="J47" s="154"/>
      <c r="K47" s="154"/>
      <c r="L47" s="154"/>
      <c r="M47" s="154">
        <f t="shared" si="9"/>
        <v>21</v>
      </c>
      <c r="N47" s="154"/>
    </row>
    <row r="48" spans="1:14" x14ac:dyDescent="0.2">
      <c r="A48" s="265">
        <v>42491</v>
      </c>
      <c r="B48" s="4">
        <v>28</v>
      </c>
      <c r="C48" s="267">
        <f t="shared" ref="C48:C58" si="10">C47+B48</f>
        <v>48</v>
      </c>
      <c r="D48" s="270">
        <f>D49/3*2</f>
        <v>138628</v>
      </c>
      <c r="E48" s="270">
        <f>D48</f>
        <v>138628</v>
      </c>
      <c r="F48" s="268">
        <f t="shared" si="0"/>
        <v>0.34625039674524627</v>
      </c>
      <c r="G48" s="268">
        <v>0.32</v>
      </c>
      <c r="H48" s="268">
        <f t="shared" si="8"/>
        <v>21.833333333333332</v>
      </c>
      <c r="I48" s="154"/>
      <c r="J48" s="154"/>
      <c r="K48" s="154"/>
      <c r="L48" s="154"/>
      <c r="M48" s="154">
        <f t="shared" si="9"/>
        <v>21</v>
      </c>
      <c r="N48" s="154"/>
    </row>
    <row r="49" spans="1:14" x14ac:dyDescent="0.2">
      <c r="A49" s="265">
        <v>42522</v>
      </c>
      <c r="B49" s="4">
        <v>25</v>
      </c>
      <c r="C49" s="267">
        <f t="shared" si="10"/>
        <v>73</v>
      </c>
      <c r="D49" s="267">
        <v>207942</v>
      </c>
      <c r="E49" s="267">
        <f>D49</f>
        <v>207942</v>
      </c>
      <c r="F49" s="268">
        <f t="shared" si="0"/>
        <v>0.3510594300333747</v>
      </c>
      <c r="G49" s="268">
        <v>0.32</v>
      </c>
      <c r="H49" s="268">
        <f t="shared" si="8"/>
        <v>21.833333333333332</v>
      </c>
      <c r="I49" s="154"/>
      <c r="J49" s="154"/>
      <c r="K49" s="154"/>
      <c r="L49" s="154"/>
      <c r="M49" s="154">
        <f t="shared" si="9"/>
        <v>21</v>
      </c>
      <c r="N49" s="154"/>
    </row>
    <row r="50" spans="1:14" x14ac:dyDescent="0.2">
      <c r="A50" s="265">
        <v>42552</v>
      </c>
      <c r="B50" s="4">
        <v>21</v>
      </c>
      <c r="C50" s="267">
        <f t="shared" si="10"/>
        <v>94</v>
      </c>
      <c r="D50" s="270">
        <f>D52/3</f>
        <v>67944.666666666672</v>
      </c>
      <c r="E50" s="270">
        <f>E49+D50</f>
        <v>275886.66666666669</v>
      </c>
      <c r="F50" s="268">
        <f t="shared" si="0"/>
        <v>0.34071961916729093</v>
      </c>
      <c r="G50" s="268">
        <v>0.32</v>
      </c>
      <c r="H50" s="268">
        <f t="shared" si="8"/>
        <v>21.833333333333332</v>
      </c>
      <c r="I50" s="154"/>
      <c r="J50" s="154"/>
      <c r="K50" s="154"/>
      <c r="L50" s="154"/>
      <c r="M50" s="154">
        <f t="shared" si="9"/>
        <v>21</v>
      </c>
      <c r="N50" s="154"/>
    </row>
    <row r="51" spans="1:14" x14ac:dyDescent="0.2">
      <c r="A51" s="265">
        <v>42584</v>
      </c>
      <c r="B51" s="4">
        <v>17</v>
      </c>
      <c r="C51" s="267">
        <f t="shared" si="10"/>
        <v>111</v>
      </c>
      <c r="D51" s="270">
        <f>D52/3*2</f>
        <v>135889.33333333334</v>
      </c>
      <c r="E51" s="270">
        <f>E49+D51</f>
        <v>343831.33333333337</v>
      </c>
      <c r="F51" s="268">
        <f t="shared" si="0"/>
        <v>0.32283270673411574</v>
      </c>
      <c r="G51" s="268">
        <v>0.32</v>
      </c>
      <c r="H51" s="268">
        <f t="shared" si="8"/>
        <v>21.833333333333332</v>
      </c>
      <c r="I51" s="154"/>
      <c r="J51" s="154"/>
      <c r="K51" s="154"/>
      <c r="L51" s="154"/>
      <c r="M51" s="154">
        <f t="shared" si="9"/>
        <v>21</v>
      </c>
      <c r="N51" s="154"/>
    </row>
    <row r="52" spans="1:14" x14ac:dyDescent="0.2">
      <c r="A52" s="265">
        <v>42616</v>
      </c>
      <c r="B52" s="4">
        <v>14</v>
      </c>
      <c r="C52" s="267">
        <f t="shared" si="10"/>
        <v>125</v>
      </c>
      <c r="D52" s="267">
        <v>203834</v>
      </c>
      <c r="E52" s="267">
        <f>E49+D52</f>
        <v>411776</v>
      </c>
      <c r="F52" s="268">
        <f t="shared" si="0"/>
        <v>0.30356310226919492</v>
      </c>
      <c r="G52" s="268">
        <v>0.32</v>
      </c>
      <c r="H52" s="268">
        <f t="shared" si="8"/>
        <v>21.833333333333332</v>
      </c>
      <c r="I52" s="154"/>
      <c r="J52" s="154"/>
      <c r="K52" s="154"/>
      <c r="L52" s="154"/>
      <c r="M52" s="154">
        <f t="shared" si="9"/>
        <v>21</v>
      </c>
      <c r="N52" s="154"/>
    </row>
    <row r="53" spans="1:14" x14ac:dyDescent="0.2">
      <c r="A53" s="265">
        <v>42648</v>
      </c>
      <c r="B53" s="4">
        <v>15</v>
      </c>
      <c r="C53" s="267">
        <f t="shared" si="10"/>
        <v>140</v>
      </c>
      <c r="D53" s="270">
        <f>D55/3</f>
        <v>66170.666666666672</v>
      </c>
      <c r="E53" s="270">
        <f>E52+D53</f>
        <v>477946.66666666669</v>
      </c>
      <c r="F53" s="268">
        <f t="shared" ref="F53:F63" si="11">C53/E53*1000</f>
        <v>0.29291971210176865</v>
      </c>
      <c r="G53" s="268">
        <v>0.32</v>
      </c>
      <c r="H53" s="268">
        <f t="shared" si="8"/>
        <v>21.833333333333332</v>
      </c>
      <c r="I53" s="154"/>
      <c r="J53" s="154"/>
      <c r="K53" s="154"/>
      <c r="L53" s="154"/>
      <c r="M53" s="154">
        <f t="shared" si="9"/>
        <v>21</v>
      </c>
      <c r="N53" s="154">
        <f t="shared" si="9"/>
        <v>21</v>
      </c>
    </row>
    <row r="54" spans="1:14" x14ac:dyDescent="0.2">
      <c r="A54" s="265">
        <v>42675</v>
      </c>
      <c r="B54" s="4">
        <v>18</v>
      </c>
      <c r="C54" s="267">
        <f t="shared" si="10"/>
        <v>158</v>
      </c>
      <c r="D54" s="270">
        <f>D55/3*2</f>
        <v>132341.33333333334</v>
      </c>
      <c r="E54" s="270">
        <f>E52+D54</f>
        <v>544117.33333333337</v>
      </c>
      <c r="F54" s="268">
        <f t="shared" si="11"/>
        <v>0.29037854580384626</v>
      </c>
      <c r="G54" s="268">
        <v>0.32</v>
      </c>
      <c r="H54" s="268">
        <f t="shared" si="8"/>
        <v>21.833333333333332</v>
      </c>
      <c r="I54" s="154"/>
      <c r="J54" s="154"/>
      <c r="K54" s="154"/>
      <c r="L54" s="154"/>
      <c r="M54" s="194"/>
      <c r="N54" s="154">
        <f t="shared" si="9"/>
        <v>21</v>
      </c>
    </row>
    <row r="55" spans="1:14" x14ac:dyDescent="0.2">
      <c r="A55" s="265">
        <v>42705</v>
      </c>
      <c r="B55" s="4">
        <v>7</v>
      </c>
      <c r="C55" s="267">
        <f t="shared" si="10"/>
        <v>165</v>
      </c>
      <c r="D55" s="267">
        <v>198512</v>
      </c>
      <c r="E55" s="267">
        <f>E52+D55</f>
        <v>610288</v>
      </c>
      <c r="F55" s="268">
        <f t="shared" si="11"/>
        <v>0.27036415593949087</v>
      </c>
      <c r="G55" s="268">
        <v>0.32</v>
      </c>
      <c r="H55" s="268">
        <f t="shared" si="8"/>
        <v>21.833333333333332</v>
      </c>
      <c r="I55" s="154"/>
      <c r="J55" s="154"/>
      <c r="K55" s="154"/>
      <c r="L55" s="154"/>
      <c r="M55" s="194"/>
      <c r="N55" s="154">
        <f t="shared" si="9"/>
        <v>21</v>
      </c>
    </row>
    <row r="56" spans="1:14" x14ac:dyDescent="0.2">
      <c r="A56" s="265">
        <v>42736</v>
      </c>
      <c r="B56" s="4">
        <v>17</v>
      </c>
      <c r="C56" s="267">
        <f t="shared" si="10"/>
        <v>182</v>
      </c>
      <c r="D56" s="270">
        <f>D58/3</f>
        <v>66800</v>
      </c>
      <c r="E56" s="270">
        <f>E55+D56</f>
        <v>677088</v>
      </c>
      <c r="F56" s="268">
        <f t="shared" si="11"/>
        <v>0.26879814736046126</v>
      </c>
      <c r="G56" s="268">
        <v>0.32</v>
      </c>
      <c r="H56" s="268">
        <f t="shared" si="8"/>
        <v>21.833333333333332</v>
      </c>
      <c r="I56" s="154"/>
      <c r="J56" s="154"/>
      <c r="K56" s="154"/>
      <c r="L56" s="154"/>
      <c r="M56" s="194"/>
      <c r="N56" s="154">
        <f t="shared" si="9"/>
        <v>21</v>
      </c>
    </row>
    <row r="57" spans="1:14" x14ac:dyDescent="0.2">
      <c r="A57" s="265">
        <v>42767</v>
      </c>
      <c r="B57" s="4">
        <v>19</v>
      </c>
      <c r="C57" s="267">
        <f t="shared" si="10"/>
        <v>201</v>
      </c>
      <c r="D57" s="270">
        <f>D58/3*2</f>
        <v>133600</v>
      </c>
      <c r="E57" s="270">
        <f>E55+D57</f>
        <v>743888</v>
      </c>
      <c r="F57" s="268">
        <f t="shared" si="11"/>
        <v>0.27020196588733786</v>
      </c>
      <c r="G57" s="268">
        <v>0.32</v>
      </c>
      <c r="H57" s="268">
        <f t="shared" si="8"/>
        <v>21.833333333333332</v>
      </c>
      <c r="I57" s="154"/>
      <c r="J57" s="154"/>
      <c r="K57" s="154"/>
      <c r="L57" s="154"/>
      <c r="M57" s="194"/>
      <c r="N57" s="154">
        <f t="shared" si="9"/>
        <v>21</v>
      </c>
    </row>
    <row r="58" spans="1:14" x14ac:dyDescent="0.2">
      <c r="A58" s="265">
        <v>42795</v>
      </c>
      <c r="B58" s="4">
        <v>21</v>
      </c>
      <c r="C58" s="267">
        <f t="shared" si="10"/>
        <v>222</v>
      </c>
      <c r="D58" s="267">
        <v>200400</v>
      </c>
      <c r="E58" s="267">
        <f>E55+D58</f>
        <v>810688</v>
      </c>
      <c r="F58" s="268">
        <f t="shared" si="11"/>
        <v>0.27384147785584589</v>
      </c>
      <c r="G58" s="268">
        <v>0.32</v>
      </c>
      <c r="H58" s="268">
        <f t="shared" si="8"/>
        <v>21.833333333333332</v>
      </c>
      <c r="I58" s="154"/>
      <c r="J58" s="154"/>
      <c r="K58" s="154"/>
      <c r="L58" s="154"/>
      <c r="M58" s="194"/>
      <c r="N58" s="154">
        <f t="shared" si="9"/>
        <v>21</v>
      </c>
    </row>
    <row r="59" spans="1:14" x14ac:dyDescent="0.2">
      <c r="A59" s="265">
        <v>42826</v>
      </c>
      <c r="B59" s="266">
        <v>17</v>
      </c>
      <c r="C59" s="267">
        <f>B59</f>
        <v>17</v>
      </c>
      <c r="D59" s="270">
        <f>D61/3</f>
        <v>68538</v>
      </c>
      <c r="E59" s="267">
        <f>D59</f>
        <v>68538</v>
      </c>
      <c r="F59" s="268">
        <f t="shared" si="11"/>
        <v>0.24803758498934894</v>
      </c>
      <c r="G59" s="268">
        <v>0.32</v>
      </c>
      <c r="H59" s="268">
        <f t="shared" si="8"/>
        <v>21.833333333333332</v>
      </c>
      <c r="I59" s="154"/>
      <c r="J59" s="154"/>
      <c r="K59" s="154"/>
      <c r="L59" s="154"/>
      <c r="M59" s="194"/>
      <c r="N59" s="154">
        <f t="shared" ref="N59:N63" si="12">MEDIAN($B$42:$B$53)</f>
        <v>21</v>
      </c>
    </row>
    <row r="60" spans="1:14" x14ac:dyDescent="0.2">
      <c r="A60" s="265">
        <v>42856</v>
      </c>
      <c r="B60" s="266">
        <v>11</v>
      </c>
      <c r="C60" s="267">
        <f t="shared" ref="C60:C63" si="13">C59+B60</f>
        <v>28</v>
      </c>
      <c r="D60" s="270">
        <f>D61/3*2</f>
        <v>137076</v>
      </c>
      <c r="E60" s="270">
        <f>D60</f>
        <v>137076</v>
      </c>
      <c r="F60" s="268">
        <f t="shared" si="11"/>
        <v>0.20426624646181682</v>
      </c>
      <c r="G60" s="268">
        <v>0.32</v>
      </c>
      <c r="H60" s="268">
        <f t="shared" si="8"/>
        <v>21.833333333333332</v>
      </c>
      <c r="I60" s="154"/>
      <c r="J60" s="154"/>
      <c r="K60" s="154"/>
      <c r="L60" s="154"/>
      <c r="M60" s="154"/>
      <c r="N60" s="154">
        <f t="shared" si="12"/>
        <v>21</v>
      </c>
    </row>
    <row r="61" spans="1:14" x14ac:dyDescent="0.2">
      <c r="A61" s="265">
        <v>42887</v>
      </c>
      <c r="B61" s="266">
        <v>15</v>
      </c>
      <c r="C61" s="267">
        <f t="shared" si="13"/>
        <v>43</v>
      </c>
      <c r="D61" s="267">
        <v>205614</v>
      </c>
      <c r="E61" s="267">
        <f>D61</f>
        <v>205614</v>
      </c>
      <c r="F61" s="268">
        <f t="shared" si="11"/>
        <v>0.20912972852043149</v>
      </c>
      <c r="G61" s="268">
        <v>0.32</v>
      </c>
      <c r="H61" s="268">
        <f t="shared" si="8"/>
        <v>21.833333333333332</v>
      </c>
      <c r="I61" s="154"/>
      <c r="J61" s="154"/>
      <c r="K61" s="154"/>
      <c r="L61" s="154"/>
      <c r="M61" s="154"/>
      <c r="N61" s="154">
        <f t="shared" si="12"/>
        <v>21</v>
      </c>
    </row>
    <row r="62" spans="1:14" x14ac:dyDescent="0.2">
      <c r="A62" s="265">
        <v>42917</v>
      </c>
      <c r="B62" s="266">
        <v>9</v>
      </c>
      <c r="C62" s="267">
        <f t="shared" si="13"/>
        <v>52</v>
      </c>
      <c r="D62" s="270">
        <f>D64/3</f>
        <v>67631.666666666672</v>
      </c>
      <c r="E62" s="270">
        <f>E61+D62</f>
        <v>273245.66666666669</v>
      </c>
      <c r="F62" s="268">
        <f t="shared" si="11"/>
        <v>0.1903049392671064</v>
      </c>
      <c r="G62" s="268">
        <v>0.32</v>
      </c>
      <c r="H62" s="268">
        <f t="shared" si="8"/>
        <v>21.833333333333332</v>
      </c>
      <c r="I62" s="154"/>
      <c r="J62" s="154"/>
      <c r="K62" s="154"/>
      <c r="L62" s="154"/>
      <c r="M62" s="154"/>
      <c r="N62" s="154">
        <f t="shared" si="12"/>
        <v>21</v>
      </c>
    </row>
    <row r="63" spans="1:14" x14ac:dyDescent="0.2">
      <c r="A63" s="265">
        <v>42948</v>
      </c>
      <c r="B63" s="266">
        <v>15</v>
      </c>
      <c r="C63" s="267">
        <f t="shared" si="13"/>
        <v>67</v>
      </c>
      <c r="D63" s="270">
        <f>D64/3*2</f>
        <v>135263.33333333334</v>
      </c>
      <c r="E63" s="270">
        <f>E61+D63</f>
        <v>340877.33333333337</v>
      </c>
      <c r="F63" s="268">
        <f t="shared" si="11"/>
        <v>0.19655164321085197</v>
      </c>
      <c r="G63" s="268">
        <v>0.32</v>
      </c>
      <c r="H63" s="268">
        <f t="shared" si="8"/>
        <v>21.833333333333332</v>
      </c>
      <c r="I63" s="154"/>
      <c r="J63" s="154"/>
      <c r="K63" s="154"/>
      <c r="L63" s="154"/>
      <c r="M63" s="154"/>
      <c r="N63" s="154">
        <f t="shared" si="12"/>
        <v>21</v>
      </c>
    </row>
    <row r="64" spans="1:14" x14ac:dyDescent="0.2">
      <c r="A64" s="265"/>
      <c r="B64" s="266"/>
      <c r="C64" s="267"/>
      <c r="D64" s="267">
        <v>202895</v>
      </c>
      <c r="E64" s="267"/>
      <c r="F64" s="268"/>
      <c r="G64" s="268"/>
      <c r="H64" s="268"/>
      <c r="I64" s="154"/>
      <c r="J64" s="154"/>
      <c r="K64" s="154"/>
      <c r="L64" s="154"/>
      <c r="M64" s="154"/>
      <c r="N64" s="154"/>
    </row>
    <row r="65" spans="1:14" x14ac:dyDescent="0.2">
      <c r="A65" s="265"/>
      <c r="B65" s="4"/>
      <c r="C65" s="267"/>
      <c r="D65" s="270">
        <f>D67/3</f>
        <v>62579.333333333336</v>
      </c>
      <c r="E65" s="270"/>
      <c r="F65" s="268"/>
      <c r="G65" s="268"/>
      <c r="H65" s="268"/>
      <c r="I65" s="154"/>
      <c r="J65" s="154"/>
      <c r="K65" s="154"/>
      <c r="L65" s="154"/>
      <c r="M65" s="154"/>
      <c r="N65" s="154"/>
    </row>
    <row r="66" spans="1:14" x14ac:dyDescent="0.2">
      <c r="A66" s="265"/>
      <c r="B66" s="4"/>
      <c r="C66" s="267"/>
      <c r="D66" s="270">
        <f>D67/3*2</f>
        <v>125158.66666666667</v>
      </c>
      <c r="E66" s="270"/>
      <c r="F66" s="268"/>
      <c r="G66" s="268"/>
      <c r="H66" s="268"/>
      <c r="I66" s="154"/>
      <c r="J66" s="154"/>
      <c r="K66" s="154"/>
      <c r="L66" s="154"/>
      <c r="M66" s="154"/>
      <c r="N66" s="154"/>
    </row>
    <row r="67" spans="1:14" x14ac:dyDescent="0.2">
      <c r="A67" s="265"/>
      <c r="B67" s="4"/>
      <c r="C67" s="267"/>
      <c r="D67" s="267">
        <v>187738</v>
      </c>
      <c r="E67" s="267"/>
      <c r="F67" s="268"/>
      <c r="G67" s="268"/>
      <c r="H67" s="268"/>
      <c r="I67" s="154"/>
      <c r="J67" s="154"/>
      <c r="K67" s="154"/>
      <c r="L67" s="154"/>
      <c r="M67" s="154"/>
      <c r="N67" s="154"/>
    </row>
    <row r="68" spans="1:14" x14ac:dyDescent="0.2">
      <c r="A68" s="265"/>
      <c r="B68" s="4"/>
      <c r="C68" s="267"/>
      <c r="D68" s="270"/>
      <c r="E68" s="270"/>
      <c r="F68" s="268"/>
      <c r="G68" s="268"/>
      <c r="H68" s="268"/>
      <c r="I68" s="154"/>
      <c r="J68" s="154"/>
      <c r="K68" s="154"/>
      <c r="L68" s="154"/>
      <c r="M68" s="154"/>
      <c r="N68" s="154"/>
    </row>
    <row r="69" spans="1:14" x14ac:dyDescent="0.2">
      <c r="A69" s="265"/>
      <c r="B69" s="4"/>
      <c r="C69" s="267"/>
      <c r="D69" s="270"/>
      <c r="E69" s="270"/>
      <c r="F69" s="268"/>
      <c r="G69" s="268"/>
      <c r="H69" s="268"/>
      <c r="I69" s="154"/>
      <c r="J69" s="154"/>
      <c r="K69" s="154"/>
      <c r="L69" s="154"/>
      <c r="M69" s="154"/>
      <c r="N69" s="154"/>
    </row>
    <row r="70" spans="1:14" x14ac:dyDescent="0.2">
      <c r="A70" s="265"/>
      <c r="B70" s="4"/>
      <c r="C70" s="267"/>
      <c r="D70" s="267"/>
      <c r="E70" s="267"/>
      <c r="F70" s="268"/>
      <c r="G70" s="268"/>
      <c r="H70" s="268"/>
      <c r="I70" s="154"/>
      <c r="J70" s="154"/>
      <c r="K70" s="154"/>
      <c r="L70" s="154"/>
      <c r="M70" s="154"/>
      <c r="N70" s="154"/>
    </row>
    <row r="71" spans="1:14" x14ac:dyDescent="0.2">
      <c r="A71" s="265"/>
      <c r="B71" s="4"/>
      <c r="C71" s="267"/>
      <c r="D71" s="270"/>
      <c r="E71" s="267"/>
      <c r="F71" s="268"/>
      <c r="G71" s="268"/>
      <c r="H71" s="268"/>
      <c r="I71" s="154"/>
      <c r="J71" s="154"/>
      <c r="K71" s="154"/>
      <c r="L71" s="154"/>
      <c r="M71" s="154"/>
      <c r="N71" s="154"/>
    </row>
    <row r="72" spans="1:14" x14ac:dyDescent="0.2">
      <c r="A72" s="265"/>
      <c r="B72" s="4"/>
      <c r="C72" s="267"/>
      <c r="D72" s="270"/>
      <c r="E72" s="270"/>
      <c r="F72" s="268"/>
      <c r="G72" s="268"/>
      <c r="H72" s="268"/>
      <c r="I72" s="154"/>
      <c r="J72" s="154"/>
      <c r="K72" s="154"/>
      <c r="L72" s="154"/>
      <c r="M72" s="154"/>
      <c r="N72" s="154"/>
    </row>
    <row r="73" spans="1:14" x14ac:dyDescent="0.2">
      <c r="A73" s="265"/>
      <c r="B73" s="4"/>
      <c r="C73" s="267"/>
      <c r="D73" s="267"/>
      <c r="E73" s="267"/>
      <c r="F73" s="268"/>
      <c r="G73" s="268"/>
      <c r="H73" s="268"/>
      <c r="I73" s="154"/>
      <c r="J73" s="154"/>
      <c r="K73" s="154"/>
      <c r="L73" s="154"/>
      <c r="M73" s="154"/>
      <c r="N73" s="154"/>
    </row>
    <row r="74" spans="1:14" x14ac:dyDescent="0.2">
      <c r="A74" s="265"/>
      <c r="B74" s="4"/>
      <c r="C74" s="267"/>
      <c r="D74" s="270"/>
      <c r="E74" s="270"/>
      <c r="F74" s="268"/>
      <c r="G74" s="268"/>
      <c r="H74" s="268"/>
      <c r="I74" s="154"/>
      <c r="J74" s="154"/>
      <c r="K74" s="154"/>
      <c r="L74" s="154"/>
      <c r="M74" s="154"/>
      <c r="N74" s="154"/>
    </row>
    <row r="75" spans="1:14" x14ac:dyDescent="0.2">
      <c r="A75" s="265"/>
      <c r="B75" s="4"/>
      <c r="C75" s="267"/>
      <c r="D75" s="270"/>
      <c r="E75" s="270"/>
      <c r="F75" s="268"/>
      <c r="G75" s="268"/>
      <c r="H75" s="268"/>
      <c r="I75" s="154"/>
      <c r="J75" s="154"/>
      <c r="K75" s="154"/>
      <c r="L75" s="154"/>
      <c r="M75" s="154"/>
      <c r="N75" s="154"/>
    </row>
    <row r="76" spans="1:14" x14ac:dyDescent="0.2">
      <c r="A76" s="265"/>
      <c r="B76" s="4"/>
      <c r="C76" s="267"/>
      <c r="D76" s="267"/>
      <c r="E76" s="267"/>
      <c r="F76" s="268"/>
      <c r="G76" s="268"/>
      <c r="H76" s="268"/>
      <c r="I76" s="154"/>
      <c r="J76" s="154"/>
      <c r="K76" s="154"/>
      <c r="L76" s="154"/>
      <c r="M76" s="154"/>
      <c r="N76" s="154"/>
    </row>
    <row r="77" spans="1:14" x14ac:dyDescent="0.2">
      <c r="A77" s="265"/>
      <c r="B77" s="4"/>
      <c r="C77" s="267"/>
      <c r="D77" s="270"/>
      <c r="E77" s="270"/>
      <c r="F77" s="268"/>
      <c r="G77" s="268"/>
      <c r="H77" s="268"/>
      <c r="I77" s="154"/>
      <c r="J77" s="154"/>
      <c r="K77" s="154"/>
      <c r="L77" s="154"/>
      <c r="M77" s="154"/>
      <c r="N77" s="154"/>
    </row>
    <row r="78" spans="1:14" x14ac:dyDescent="0.2">
      <c r="A78" s="265"/>
      <c r="B78" s="4"/>
      <c r="C78" s="267"/>
      <c r="D78" s="270"/>
      <c r="E78" s="270"/>
      <c r="F78" s="268"/>
      <c r="G78" s="268"/>
      <c r="H78" s="268"/>
      <c r="I78" s="154"/>
      <c r="J78" s="154"/>
      <c r="K78" s="154"/>
      <c r="L78" s="154"/>
      <c r="M78" s="154"/>
      <c r="N78" s="154"/>
    </row>
    <row r="79" spans="1:14" x14ac:dyDescent="0.2">
      <c r="A79" s="265"/>
      <c r="B79" s="4"/>
      <c r="C79" s="267"/>
      <c r="D79" s="267"/>
      <c r="E79" s="267"/>
      <c r="F79" s="268"/>
      <c r="G79" s="268"/>
      <c r="H79" s="268"/>
      <c r="I79" s="154"/>
      <c r="J79" s="154"/>
      <c r="K79" s="154"/>
      <c r="L79" s="154"/>
      <c r="M79" s="154"/>
      <c r="N79" s="154"/>
    </row>
    <row r="80" spans="1:14" x14ac:dyDescent="0.2">
      <c r="A80" s="265"/>
      <c r="B80" s="4"/>
      <c r="C80" s="267"/>
      <c r="D80" s="270"/>
      <c r="E80" s="270"/>
      <c r="F80" s="268"/>
      <c r="G80" s="268"/>
      <c r="H80" s="268"/>
      <c r="I80" s="154"/>
      <c r="J80" s="154"/>
      <c r="K80" s="154"/>
      <c r="L80" s="154"/>
      <c r="M80" s="154"/>
      <c r="N80" s="154"/>
    </row>
    <row r="81" spans="1:16" x14ac:dyDescent="0.2">
      <c r="A81" s="265"/>
      <c r="B81" s="4"/>
      <c r="C81" s="267"/>
      <c r="D81" s="270"/>
      <c r="E81" s="270"/>
      <c r="F81" s="268"/>
      <c r="G81" s="268"/>
      <c r="H81" s="268"/>
      <c r="I81" s="154"/>
      <c r="J81" s="154"/>
      <c r="K81" s="154"/>
      <c r="L81" s="154"/>
      <c r="M81" s="154"/>
      <c r="N81" s="154"/>
    </row>
    <row r="82" spans="1:16" x14ac:dyDescent="0.2">
      <c r="A82" s="265"/>
      <c r="B82" s="4"/>
      <c r="C82" s="267"/>
      <c r="D82" s="267"/>
      <c r="E82" s="267"/>
      <c r="F82" s="268"/>
      <c r="G82" s="268"/>
      <c r="H82" s="268"/>
      <c r="I82" s="154"/>
      <c r="J82" s="154"/>
      <c r="K82" s="154"/>
      <c r="L82" s="154"/>
      <c r="M82" s="154"/>
      <c r="N82" s="154"/>
    </row>
    <row r="84" spans="1:16" x14ac:dyDescent="0.2">
      <c r="A84" s="137" t="s">
        <v>609</v>
      </c>
      <c r="N84" s="137"/>
    </row>
    <row r="85" spans="1:16" x14ac:dyDescent="0.2">
      <c r="P85" s="271"/>
    </row>
    <row r="86" spans="1:16" x14ac:dyDescent="0.2">
      <c r="P86" s="271"/>
    </row>
    <row r="87" spans="1:16" x14ac:dyDescent="0.2">
      <c r="P87" s="271"/>
    </row>
    <row r="88" spans="1:16" x14ac:dyDescent="0.2">
      <c r="P88" s="271"/>
    </row>
    <row r="89" spans="1:16" x14ac:dyDescent="0.2">
      <c r="P89" s="271"/>
    </row>
    <row r="90" spans="1:16" x14ac:dyDescent="0.2">
      <c r="P90" s="271"/>
    </row>
    <row r="91" spans="1:16" x14ac:dyDescent="0.2">
      <c r="P91" s="271"/>
    </row>
    <row r="92" spans="1:16" x14ac:dyDescent="0.2">
      <c r="P92" s="271"/>
    </row>
    <row r="93" spans="1:16" x14ac:dyDescent="0.2">
      <c r="P93" s="271"/>
    </row>
    <row r="94" spans="1:16" x14ac:dyDescent="0.2">
      <c r="P94" s="271"/>
    </row>
    <row r="95" spans="1:16" x14ac:dyDescent="0.2">
      <c r="P95" s="271"/>
    </row>
    <row r="96" spans="1:16" x14ac:dyDescent="0.2">
      <c r="P96" s="271"/>
    </row>
    <row r="97" spans="1:16" x14ac:dyDescent="0.2">
      <c r="P97" s="271"/>
    </row>
    <row r="98" spans="1:16" x14ac:dyDescent="0.2">
      <c r="P98" s="271"/>
    </row>
    <row r="99" spans="1:16" x14ac:dyDescent="0.2">
      <c r="P99" s="271"/>
    </row>
    <row r="100" spans="1:16" x14ac:dyDescent="0.2">
      <c r="P100" s="271"/>
    </row>
    <row r="101" spans="1:16" x14ac:dyDescent="0.2">
      <c r="P101" s="271"/>
    </row>
    <row r="102" spans="1:16" x14ac:dyDescent="0.2">
      <c r="P102" s="271"/>
    </row>
    <row r="103" spans="1:16" x14ac:dyDescent="0.2">
      <c r="P103" s="271"/>
    </row>
    <row r="104" spans="1:16" x14ac:dyDescent="0.2">
      <c r="P104" s="271"/>
    </row>
    <row r="105" spans="1:16" x14ac:dyDescent="0.2">
      <c r="P105" s="271"/>
    </row>
    <row r="106" spans="1:16" x14ac:dyDescent="0.2">
      <c r="P106" s="271"/>
    </row>
    <row r="107" spans="1:16" x14ac:dyDescent="0.2">
      <c r="P107" s="271"/>
    </row>
    <row r="108" spans="1:16" x14ac:dyDescent="0.2">
      <c r="P108" s="271"/>
    </row>
    <row r="109" spans="1:16" x14ac:dyDescent="0.2">
      <c r="A109" s="137"/>
      <c r="L109" s="581"/>
      <c r="P109" s="271"/>
    </row>
    <row r="110" spans="1:16" x14ac:dyDescent="0.2">
      <c r="P110" s="271"/>
    </row>
    <row r="111" spans="1:16" x14ac:dyDescent="0.2">
      <c r="P111" s="271"/>
    </row>
    <row r="112" spans="1:16" x14ac:dyDescent="0.2">
      <c r="P112" s="271"/>
    </row>
    <row r="113" spans="16:16" x14ac:dyDescent="0.2">
      <c r="P113" s="271"/>
    </row>
    <row r="114" spans="16:16" x14ac:dyDescent="0.2">
      <c r="P114" s="271"/>
    </row>
    <row r="115" spans="16:16" x14ac:dyDescent="0.2">
      <c r="P115" s="271"/>
    </row>
    <row r="116" spans="16:16" x14ac:dyDescent="0.2">
      <c r="P116" s="271"/>
    </row>
    <row r="117" spans="16:16" x14ac:dyDescent="0.2">
      <c r="P117" s="271"/>
    </row>
    <row r="118" spans="16:16" x14ac:dyDescent="0.2">
      <c r="P118" s="271"/>
    </row>
    <row r="119" spans="16:16" x14ac:dyDescent="0.2">
      <c r="P119" s="271"/>
    </row>
    <row r="120" spans="16:16" x14ac:dyDescent="0.2">
      <c r="P120" s="271"/>
    </row>
    <row r="121" spans="16:16" x14ac:dyDescent="0.2">
      <c r="P121" s="271"/>
    </row>
    <row r="122" spans="16:16" x14ac:dyDescent="0.2">
      <c r="P122" s="271"/>
    </row>
    <row r="123" spans="16:16" x14ac:dyDescent="0.2">
      <c r="P123" s="271"/>
    </row>
    <row r="124" spans="16:16" x14ac:dyDescent="0.2">
      <c r="P124" s="271"/>
    </row>
    <row r="125" spans="16:16" x14ac:dyDescent="0.2">
      <c r="P125" s="271"/>
    </row>
    <row r="126" spans="16:16" x14ac:dyDescent="0.2">
      <c r="P126" s="271"/>
    </row>
    <row r="127" spans="16:16" x14ac:dyDescent="0.2">
      <c r="P127" s="271"/>
    </row>
    <row r="128" spans="16:16" x14ac:dyDescent="0.2">
      <c r="P128" s="271"/>
    </row>
    <row r="129" spans="10:16" x14ac:dyDescent="0.2">
      <c r="P129" s="271"/>
    </row>
    <row r="130" spans="10:16" x14ac:dyDescent="0.2">
      <c r="P130" s="271"/>
    </row>
    <row r="131" spans="10:16" x14ac:dyDescent="0.2">
      <c r="P131" s="271"/>
    </row>
    <row r="132" spans="10:16" x14ac:dyDescent="0.2">
      <c r="J132" s="117"/>
    </row>
    <row r="133" spans="10:16" x14ac:dyDescent="0.2">
      <c r="J133" s="117"/>
    </row>
    <row r="134" spans="10:16" x14ac:dyDescent="0.2">
      <c r="J134" s="117"/>
    </row>
    <row r="135" spans="10:16" x14ac:dyDescent="0.2">
      <c r="J135" s="117"/>
    </row>
    <row r="136" spans="10:16" x14ac:dyDescent="0.2">
      <c r="J136" s="117"/>
    </row>
    <row r="137" spans="10:16" x14ac:dyDescent="0.2">
      <c r="J137" s="117"/>
    </row>
    <row r="138" spans="10:16" x14ac:dyDescent="0.2">
      <c r="J138" s="117"/>
    </row>
    <row r="139" spans="10:16" x14ac:dyDescent="0.2">
      <c r="J139" s="117"/>
    </row>
    <row r="140" spans="10:16" x14ac:dyDescent="0.2">
      <c r="J140" s="117"/>
    </row>
    <row r="141" spans="10:16" x14ac:dyDescent="0.2">
      <c r="J141" s="117"/>
    </row>
    <row r="142" spans="10:16" x14ac:dyDescent="0.2">
      <c r="J142" s="117"/>
    </row>
    <row r="143" spans="10:16" x14ac:dyDescent="0.2">
      <c r="J143" s="117"/>
    </row>
    <row r="144" spans="10:16" x14ac:dyDescent="0.2">
      <c r="J144" s="117"/>
    </row>
    <row r="145" spans="10:10" x14ac:dyDescent="0.2">
      <c r="J145" s="117"/>
    </row>
    <row r="146" spans="10:10" x14ac:dyDescent="0.2">
      <c r="J146" s="117"/>
    </row>
    <row r="147" spans="10:10" x14ac:dyDescent="0.2">
      <c r="J147" s="117"/>
    </row>
    <row r="148" spans="10:10" x14ac:dyDescent="0.2">
      <c r="J148" s="117"/>
    </row>
    <row r="149" spans="10:10" x14ac:dyDescent="0.2">
      <c r="J149" s="117"/>
    </row>
    <row r="150" spans="10:10" x14ac:dyDescent="0.2">
      <c r="J150" s="117"/>
    </row>
    <row r="151" spans="10:10" x14ac:dyDescent="0.2">
      <c r="J151" s="117"/>
    </row>
    <row r="152" spans="10:10" x14ac:dyDescent="0.2">
      <c r="J152" s="117"/>
    </row>
    <row r="153" spans="10:10" x14ac:dyDescent="0.2">
      <c r="J153" s="117"/>
    </row>
    <row r="154" spans="10:10" x14ac:dyDescent="0.2">
      <c r="J154" s="117"/>
    </row>
    <row r="155" spans="10:10" x14ac:dyDescent="0.2">
      <c r="J155" s="117"/>
    </row>
    <row r="156" spans="10:10" x14ac:dyDescent="0.2">
      <c r="J156" s="117"/>
    </row>
    <row r="157" spans="10:10" x14ac:dyDescent="0.2">
      <c r="J157" s="117"/>
    </row>
    <row r="158" spans="10:10" x14ac:dyDescent="0.2">
      <c r="J158" s="117"/>
    </row>
    <row r="159" spans="10:10" x14ac:dyDescent="0.2">
      <c r="J159" s="117"/>
    </row>
    <row r="160" spans="10:10" x14ac:dyDescent="0.2">
      <c r="J160" s="117"/>
    </row>
    <row r="161" spans="10:10" x14ac:dyDescent="0.2">
      <c r="J161" s="117"/>
    </row>
    <row r="162" spans="10:10" x14ac:dyDescent="0.2">
      <c r="J162" s="117"/>
    </row>
    <row r="163" spans="10:10" x14ac:dyDescent="0.2">
      <c r="J163" s="117"/>
    </row>
    <row r="164" spans="10:10" x14ac:dyDescent="0.2">
      <c r="J164" s="117"/>
    </row>
    <row r="165" spans="10:10" x14ac:dyDescent="0.2">
      <c r="J165" s="117"/>
    </row>
    <row r="166" spans="10:10" x14ac:dyDescent="0.2">
      <c r="J166" s="117"/>
    </row>
    <row r="167" spans="10:10" x14ac:dyDescent="0.2">
      <c r="J167" s="117"/>
    </row>
    <row r="168" spans="10:10" x14ac:dyDescent="0.2">
      <c r="J168" s="117"/>
    </row>
    <row r="169" spans="10:10" x14ac:dyDescent="0.2">
      <c r="J169" s="117"/>
    </row>
    <row r="170" spans="10:10" x14ac:dyDescent="0.2">
      <c r="J170" s="117"/>
    </row>
    <row r="171" spans="10:10" x14ac:dyDescent="0.2">
      <c r="J171" s="117"/>
    </row>
    <row r="172" spans="10:10" x14ac:dyDescent="0.2">
      <c r="J172" s="117"/>
    </row>
    <row r="173" spans="10:10" x14ac:dyDescent="0.2">
      <c r="J173" s="117"/>
    </row>
    <row r="174" spans="10:10" x14ac:dyDescent="0.2">
      <c r="J174" s="117"/>
    </row>
    <row r="175" spans="10:10" x14ac:dyDescent="0.2">
      <c r="J175" s="117"/>
    </row>
    <row r="176" spans="10:10" x14ac:dyDescent="0.2">
      <c r="J176" s="117"/>
    </row>
    <row r="177" spans="10:10" x14ac:dyDescent="0.2">
      <c r="J177" s="117"/>
    </row>
    <row r="178" spans="10:10" x14ac:dyDescent="0.2">
      <c r="J178" s="117"/>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B109"/>
  <sheetViews>
    <sheetView workbookViewId="0"/>
  </sheetViews>
  <sheetFormatPr defaultColWidth="9.140625" defaultRowHeight="12.75" x14ac:dyDescent="0.2"/>
  <cols>
    <col min="1" max="1" width="24.42578125" style="117" bestFit="1" customWidth="1"/>
    <col min="2" max="2" width="9.5703125" style="117" customWidth="1"/>
    <col min="3" max="3" width="11.28515625" style="117" bestFit="1" customWidth="1"/>
    <col min="4" max="5" width="11.28515625" style="117" customWidth="1"/>
    <col min="6" max="6" width="5.140625" style="117" bestFit="1" customWidth="1"/>
    <col min="7" max="7" width="6.85546875" style="117" bestFit="1" customWidth="1"/>
    <col min="8" max="8" width="9.85546875" style="117" bestFit="1" customWidth="1"/>
    <col min="9" max="9" width="8.85546875" style="117" bestFit="1" customWidth="1"/>
    <col min="10" max="10" width="9.5703125" style="117" bestFit="1" customWidth="1"/>
    <col min="11" max="11" width="8.85546875" style="117" bestFit="1" customWidth="1"/>
    <col min="12" max="16384" width="9.140625" style="117"/>
  </cols>
  <sheetData>
    <row r="1" spans="1:10" x14ac:dyDescent="0.2">
      <c r="A1" s="116" t="s">
        <v>360</v>
      </c>
    </row>
    <row r="2" spans="1:10" x14ac:dyDescent="0.2">
      <c r="A2" s="116"/>
    </row>
    <row r="3" spans="1:10" x14ac:dyDescent="0.2">
      <c r="A3" s="118" t="s">
        <v>454</v>
      </c>
      <c r="B3" s="117" t="s">
        <v>52</v>
      </c>
    </row>
    <row r="4" spans="1:10" x14ac:dyDescent="0.2">
      <c r="A4" s="118" t="s">
        <v>154</v>
      </c>
      <c r="B4" s="273">
        <f>VLOOKUP(MAX(A11:A82),A11:F82,3,0)</f>
        <v>83</v>
      </c>
    </row>
    <row r="5" spans="1:10" x14ac:dyDescent="0.2">
      <c r="A5" s="118" t="s">
        <v>155</v>
      </c>
      <c r="B5" s="187">
        <f>VLOOKUP(MAX(A11:A82),A11:F82,6,0)</f>
        <v>0.25719420744933585</v>
      </c>
    </row>
    <row r="6" spans="1:10" x14ac:dyDescent="0.2">
      <c r="A6" s="118" t="s">
        <v>119</v>
      </c>
      <c r="B6" s="138">
        <f>MAX(A11:A82)</f>
        <v>42948</v>
      </c>
      <c r="C6" s="138"/>
      <c r="D6" s="138"/>
      <c r="E6" s="138"/>
      <c r="F6" s="138"/>
      <c r="G6" s="138"/>
      <c r="H6" s="138"/>
    </row>
    <row r="7" spans="1:10" x14ac:dyDescent="0.2">
      <c r="A7" s="118" t="s">
        <v>201</v>
      </c>
      <c r="B7" s="419" t="s">
        <v>186</v>
      </c>
      <c r="C7" s="138"/>
      <c r="D7" s="138"/>
      <c r="E7" s="138"/>
      <c r="F7" s="138"/>
      <c r="G7" s="138"/>
      <c r="H7" s="138"/>
    </row>
    <row r="8" spans="1:10" x14ac:dyDescent="0.2">
      <c r="A8" s="118" t="s">
        <v>456</v>
      </c>
      <c r="B8" s="173" t="s">
        <v>140</v>
      </c>
      <c r="C8" s="173"/>
      <c r="D8" s="173"/>
      <c r="E8" s="173"/>
      <c r="F8" s="173"/>
      <c r="G8" s="173"/>
      <c r="H8" s="173"/>
    </row>
    <row r="10" spans="1:10" ht="38.25" x14ac:dyDescent="0.2">
      <c r="A10" s="5" t="s">
        <v>450</v>
      </c>
      <c r="B10" s="6" t="s">
        <v>451</v>
      </c>
      <c r="C10" s="6" t="s">
        <v>152</v>
      </c>
      <c r="D10" s="6" t="s">
        <v>191</v>
      </c>
      <c r="E10" s="6" t="s">
        <v>192</v>
      </c>
      <c r="F10" s="264" t="s">
        <v>153</v>
      </c>
      <c r="G10" s="198" t="s">
        <v>536</v>
      </c>
      <c r="H10" s="582" t="s">
        <v>610</v>
      </c>
      <c r="I10" s="198" t="s">
        <v>131</v>
      </c>
      <c r="J10" s="198" t="s">
        <v>184</v>
      </c>
    </row>
    <row r="11" spans="1:10" x14ac:dyDescent="0.2">
      <c r="A11" s="265">
        <v>41365</v>
      </c>
      <c r="B11" s="266">
        <v>19</v>
      </c>
      <c r="C11" s="267">
        <f>B11</f>
        <v>19</v>
      </c>
      <c r="D11" s="270">
        <f>D13/3</f>
        <v>67256.333333333328</v>
      </c>
      <c r="E11" s="270">
        <f>D11</f>
        <v>67256.333333333328</v>
      </c>
      <c r="F11" s="268">
        <f>C11/E11*1000</f>
        <v>0.28250127621190574</v>
      </c>
      <c r="G11" s="268">
        <v>0.24</v>
      </c>
      <c r="H11" s="268">
        <f>(219/12)</f>
        <v>18.25</v>
      </c>
      <c r="I11" s="154">
        <f>MEDIAN($B$11:$B$22)</f>
        <v>20.5</v>
      </c>
      <c r="J11" s="154"/>
    </row>
    <row r="12" spans="1:10" x14ac:dyDescent="0.2">
      <c r="A12" s="265">
        <v>41395</v>
      </c>
      <c r="B12" s="266">
        <v>18</v>
      </c>
      <c r="C12" s="267">
        <f t="shared" ref="C12:C22" si="0">C11+B12</f>
        <v>37</v>
      </c>
      <c r="D12" s="270">
        <f>D13/3*2</f>
        <v>134512.66666666666</v>
      </c>
      <c r="E12" s="270">
        <f>D12</f>
        <v>134512.66666666666</v>
      </c>
      <c r="F12" s="268">
        <f t="shared" ref="F12:F63" si="1">C12/E12*1000</f>
        <v>0.27506703210106609</v>
      </c>
      <c r="G12" s="268">
        <v>0.24</v>
      </c>
      <c r="H12" s="268">
        <f t="shared" ref="H12:H22" si="2">(219/12)</f>
        <v>18.25</v>
      </c>
      <c r="I12" s="154">
        <f t="shared" ref="I12:J27" si="3">MEDIAN($B$11:$B$22)</f>
        <v>20.5</v>
      </c>
      <c r="J12" s="154"/>
    </row>
    <row r="13" spans="1:10" x14ac:dyDescent="0.2">
      <c r="A13" s="265">
        <v>41426</v>
      </c>
      <c r="B13" s="266">
        <v>17</v>
      </c>
      <c r="C13" s="267">
        <f t="shared" si="0"/>
        <v>54</v>
      </c>
      <c r="D13" s="267">
        <v>201769</v>
      </c>
      <c r="E13" s="270">
        <f>D13</f>
        <v>201769</v>
      </c>
      <c r="F13" s="268">
        <f t="shared" si="1"/>
        <v>0.2676327879902265</v>
      </c>
      <c r="G13" s="268">
        <v>0.24</v>
      </c>
      <c r="H13" s="268">
        <f t="shared" si="2"/>
        <v>18.25</v>
      </c>
      <c r="I13" s="154">
        <f t="shared" si="3"/>
        <v>20.5</v>
      </c>
      <c r="J13" s="154"/>
    </row>
    <row r="14" spans="1:10" x14ac:dyDescent="0.2">
      <c r="A14" s="265">
        <v>41456</v>
      </c>
      <c r="B14" s="266">
        <v>21</v>
      </c>
      <c r="C14" s="267">
        <f t="shared" si="0"/>
        <v>75</v>
      </c>
      <c r="D14" s="267">
        <f>D16/3</f>
        <v>65527</v>
      </c>
      <c r="E14" s="270">
        <f>E13+D14</f>
        <v>267296</v>
      </c>
      <c r="F14" s="268">
        <f t="shared" si="1"/>
        <v>0.28058781276188194</v>
      </c>
      <c r="G14" s="268">
        <v>0.24</v>
      </c>
      <c r="H14" s="268">
        <f t="shared" si="2"/>
        <v>18.25</v>
      </c>
      <c r="I14" s="154">
        <f t="shared" si="3"/>
        <v>20.5</v>
      </c>
      <c r="J14" s="154"/>
    </row>
    <row r="15" spans="1:10" x14ac:dyDescent="0.2">
      <c r="A15" s="265">
        <v>41487</v>
      </c>
      <c r="B15" s="266">
        <v>18</v>
      </c>
      <c r="C15" s="267">
        <f t="shared" si="0"/>
        <v>93</v>
      </c>
      <c r="D15" s="267">
        <f>D16/3*2</f>
        <v>131054</v>
      </c>
      <c r="E15" s="270">
        <f>E13+D15</f>
        <v>332823</v>
      </c>
      <c r="F15" s="268">
        <f t="shared" si="1"/>
        <v>0.27942780396787481</v>
      </c>
      <c r="G15" s="268">
        <v>0.24</v>
      </c>
      <c r="H15" s="268">
        <f t="shared" si="2"/>
        <v>18.25</v>
      </c>
      <c r="I15" s="154">
        <f t="shared" si="3"/>
        <v>20.5</v>
      </c>
      <c r="J15" s="272"/>
    </row>
    <row r="16" spans="1:10" x14ac:dyDescent="0.2">
      <c r="A16" s="265">
        <v>41518</v>
      </c>
      <c r="B16" s="266">
        <v>20</v>
      </c>
      <c r="C16" s="267">
        <f t="shared" si="0"/>
        <v>113</v>
      </c>
      <c r="D16" s="267">
        <v>196581</v>
      </c>
      <c r="E16" s="270">
        <f>E13+D16</f>
        <v>398350</v>
      </c>
      <c r="F16" s="268">
        <f t="shared" si="1"/>
        <v>0.28367013932471447</v>
      </c>
      <c r="G16" s="268">
        <v>0.24</v>
      </c>
      <c r="H16" s="268">
        <f t="shared" si="2"/>
        <v>18.25</v>
      </c>
      <c r="I16" s="154">
        <f t="shared" si="3"/>
        <v>20.5</v>
      </c>
      <c r="J16" s="272"/>
    </row>
    <row r="17" spans="1:28" x14ac:dyDescent="0.2">
      <c r="A17" s="265">
        <v>41548</v>
      </c>
      <c r="B17" s="266">
        <v>25</v>
      </c>
      <c r="C17" s="267">
        <f t="shared" si="0"/>
        <v>138</v>
      </c>
      <c r="D17" s="267">
        <f>D19/3</f>
        <v>66633</v>
      </c>
      <c r="E17" s="270">
        <f>E16+D17</f>
        <v>464983</v>
      </c>
      <c r="F17" s="268">
        <f t="shared" si="1"/>
        <v>0.29678504375428777</v>
      </c>
      <c r="G17" s="268">
        <v>0.24</v>
      </c>
      <c r="H17" s="268">
        <f t="shared" si="2"/>
        <v>18.25</v>
      </c>
      <c r="I17" s="154">
        <f t="shared" si="3"/>
        <v>20.5</v>
      </c>
      <c r="J17" s="154"/>
    </row>
    <row r="18" spans="1:28" x14ac:dyDescent="0.2">
      <c r="A18" s="265">
        <v>41579</v>
      </c>
      <c r="B18" s="266">
        <v>24</v>
      </c>
      <c r="C18" s="267">
        <f t="shared" si="0"/>
        <v>162</v>
      </c>
      <c r="D18" s="267">
        <f>D19/3*2</f>
        <v>133266</v>
      </c>
      <c r="E18" s="270">
        <f>E16+D18</f>
        <v>531616</v>
      </c>
      <c r="F18" s="268">
        <f t="shared" si="1"/>
        <v>0.30473123457533258</v>
      </c>
      <c r="G18" s="268">
        <v>0.24</v>
      </c>
      <c r="H18" s="268">
        <f t="shared" si="2"/>
        <v>18.25</v>
      </c>
      <c r="I18" s="154">
        <f t="shared" si="3"/>
        <v>20.5</v>
      </c>
      <c r="J18" s="154"/>
    </row>
    <row r="19" spans="1:28" x14ac:dyDescent="0.2">
      <c r="A19" s="265">
        <v>41609</v>
      </c>
      <c r="B19" s="266">
        <v>21</v>
      </c>
      <c r="C19" s="267">
        <f t="shared" si="0"/>
        <v>183</v>
      </c>
      <c r="D19" s="267">
        <v>199899</v>
      </c>
      <c r="E19" s="270">
        <f>E16+D19</f>
        <v>598249</v>
      </c>
      <c r="F19" s="268">
        <f t="shared" si="1"/>
        <v>0.30589269685365122</v>
      </c>
      <c r="G19" s="268">
        <v>0.24</v>
      </c>
      <c r="H19" s="268">
        <f t="shared" si="2"/>
        <v>18.25</v>
      </c>
      <c r="I19" s="154">
        <f t="shared" si="3"/>
        <v>20.5</v>
      </c>
      <c r="J19" s="154"/>
    </row>
    <row r="20" spans="1:28" x14ac:dyDescent="0.2">
      <c r="A20" s="265">
        <v>41640</v>
      </c>
      <c r="B20" s="266">
        <v>16</v>
      </c>
      <c r="C20" s="267">
        <f t="shared" si="0"/>
        <v>199</v>
      </c>
      <c r="D20" s="270">
        <f>D22/3</f>
        <v>68692.666666666672</v>
      </c>
      <c r="E20" s="270">
        <f>E19+D20</f>
        <v>666941.66666666663</v>
      </c>
      <c r="F20" s="268">
        <f t="shared" si="1"/>
        <v>0.29837691952069773</v>
      </c>
      <c r="G20" s="268">
        <v>0.24</v>
      </c>
      <c r="H20" s="268">
        <f t="shared" si="2"/>
        <v>18.25</v>
      </c>
      <c r="I20" s="154">
        <f t="shared" si="3"/>
        <v>20.5</v>
      </c>
      <c r="J20" s="154"/>
    </row>
    <row r="21" spans="1:28" x14ac:dyDescent="0.2">
      <c r="A21" s="265">
        <v>41671</v>
      </c>
      <c r="B21" s="266">
        <v>21</v>
      </c>
      <c r="C21" s="267">
        <f t="shared" si="0"/>
        <v>220</v>
      </c>
      <c r="D21" s="270">
        <f>D22/3*2</f>
        <v>137385.33333333334</v>
      </c>
      <c r="E21" s="270">
        <f>E19+D21</f>
        <v>735634.33333333337</v>
      </c>
      <c r="F21" s="268">
        <f t="shared" si="1"/>
        <v>0.29906162617931098</v>
      </c>
      <c r="G21" s="268">
        <v>0.24</v>
      </c>
      <c r="H21" s="268">
        <f t="shared" si="2"/>
        <v>18.25</v>
      </c>
      <c r="I21" s="154">
        <f t="shared" si="3"/>
        <v>20.5</v>
      </c>
      <c r="J21" s="154"/>
    </row>
    <row r="22" spans="1:28" x14ac:dyDescent="0.2">
      <c r="A22" s="265">
        <v>41699</v>
      </c>
      <c r="B22" s="266">
        <v>23</v>
      </c>
      <c r="C22" s="267">
        <f t="shared" si="0"/>
        <v>243</v>
      </c>
      <c r="D22" s="267">
        <v>206078</v>
      </c>
      <c r="E22" s="270">
        <f>E19+D22</f>
        <v>804327</v>
      </c>
      <c r="F22" s="268">
        <f t="shared" si="1"/>
        <v>0.3021159304611184</v>
      </c>
      <c r="G22" s="268">
        <v>0.24</v>
      </c>
      <c r="H22" s="268">
        <f t="shared" si="2"/>
        <v>18.25</v>
      </c>
      <c r="I22" s="154">
        <f t="shared" si="3"/>
        <v>20.5</v>
      </c>
      <c r="J22" s="154">
        <f t="shared" si="3"/>
        <v>20.5</v>
      </c>
    </row>
    <row r="23" spans="1:28" x14ac:dyDescent="0.2">
      <c r="A23" s="265">
        <v>41730</v>
      </c>
      <c r="B23" s="266">
        <v>17</v>
      </c>
      <c r="C23" s="267">
        <f>B23</f>
        <v>17</v>
      </c>
      <c r="D23" s="267">
        <f>D25/3</f>
        <v>67084</v>
      </c>
      <c r="E23" s="270">
        <f>D23</f>
        <v>67084</v>
      </c>
      <c r="F23" s="268">
        <f t="shared" si="1"/>
        <v>0.25341363067199335</v>
      </c>
      <c r="G23" s="268">
        <v>0.24</v>
      </c>
      <c r="H23" s="268">
        <f>(184/12)</f>
        <v>15.333333333333334</v>
      </c>
      <c r="I23" s="146"/>
      <c r="J23" s="154">
        <f t="shared" si="3"/>
        <v>20.5</v>
      </c>
      <c r="L23" s="199"/>
      <c r="M23" s="199"/>
      <c r="N23" s="199"/>
      <c r="O23" s="199"/>
      <c r="P23" s="199"/>
      <c r="Q23" s="199"/>
      <c r="R23" s="199"/>
      <c r="S23" s="199"/>
      <c r="T23" s="199"/>
      <c r="U23" s="199"/>
      <c r="V23" s="199"/>
      <c r="W23" s="199"/>
      <c r="X23" s="199"/>
      <c r="AB23" s="451"/>
    </row>
    <row r="24" spans="1:28" x14ac:dyDescent="0.2">
      <c r="A24" s="265">
        <v>41760</v>
      </c>
      <c r="B24" s="266">
        <v>10</v>
      </c>
      <c r="C24" s="267">
        <f t="shared" ref="C24:C34" si="4">C23+B24</f>
        <v>27</v>
      </c>
      <c r="D24" s="267">
        <f>D25/3*2</f>
        <v>134168</v>
      </c>
      <c r="E24" s="270">
        <f>D24</f>
        <v>134168</v>
      </c>
      <c r="F24" s="268">
        <f t="shared" si="1"/>
        <v>0.20124023612187705</v>
      </c>
      <c r="G24" s="268">
        <v>0.24</v>
      </c>
      <c r="H24" s="268">
        <f t="shared" ref="H24:H34" si="5">(184/12)</f>
        <v>15.333333333333334</v>
      </c>
      <c r="I24" s="146"/>
      <c r="J24" s="154">
        <f t="shared" si="3"/>
        <v>20.5</v>
      </c>
      <c r="L24" s="199"/>
      <c r="M24" s="199"/>
      <c r="N24" s="199"/>
      <c r="O24" s="199"/>
      <c r="P24" s="199"/>
      <c r="Q24" s="199"/>
      <c r="R24" s="199"/>
      <c r="S24" s="199"/>
      <c r="T24" s="199"/>
      <c r="U24" s="199"/>
      <c r="V24" s="199"/>
      <c r="W24" s="199"/>
      <c r="X24" s="199"/>
    </row>
    <row r="25" spans="1:28" x14ac:dyDescent="0.2">
      <c r="A25" s="265">
        <v>41791</v>
      </c>
      <c r="B25" s="266">
        <v>24</v>
      </c>
      <c r="C25" s="267">
        <f t="shared" si="4"/>
        <v>51</v>
      </c>
      <c r="D25" s="267">
        <v>201252</v>
      </c>
      <c r="E25" s="270">
        <f>D25</f>
        <v>201252</v>
      </c>
      <c r="F25" s="268">
        <f t="shared" si="1"/>
        <v>0.25341363067199335</v>
      </c>
      <c r="G25" s="268">
        <v>0.24</v>
      </c>
      <c r="H25" s="268">
        <f t="shared" si="5"/>
        <v>15.333333333333334</v>
      </c>
      <c r="I25" s="146"/>
      <c r="J25" s="154">
        <f t="shared" si="3"/>
        <v>20.5</v>
      </c>
      <c r="L25" s="199"/>
      <c r="M25" s="199"/>
      <c r="N25" s="199"/>
      <c r="O25" s="199"/>
      <c r="P25" s="199"/>
      <c r="Q25" s="199"/>
      <c r="R25" s="199"/>
      <c r="S25" s="199"/>
      <c r="T25" s="199"/>
      <c r="U25" s="199"/>
      <c r="V25" s="199"/>
      <c r="W25" s="199"/>
      <c r="X25" s="199"/>
    </row>
    <row r="26" spans="1:28" x14ac:dyDescent="0.2">
      <c r="A26" s="265">
        <v>41821</v>
      </c>
      <c r="B26" s="266">
        <v>22</v>
      </c>
      <c r="C26" s="267">
        <f t="shared" si="4"/>
        <v>73</v>
      </c>
      <c r="D26" s="267">
        <f>D28/3</f>
        <v>65941</v>
      </c>
      <c r="E26" s="270">
        <f>E25+D26</f>
        <v>267193</v>
      </c>
      <c r="F26" s="268">
        <f t="shared" si="1"/>
        <v>0.27321075028163161</v>
      </c>
      <c r="G26" s="268">
        <v>0.24</v>
      </c>
      <c r="H26" s="268">
        <f t="shared" si="5"/>
        <v>15.333333333333334</v>
      </c>
      <c r="I26" s="146"/>
      <c r="J26" s="154">
        <f t="shared" si="3"/>
        <v>20.5</v>
      </c>
      <c r="L26" s="199"/>
      <c r="M26" s="199"/>
      <c r="N26" s="199"/>
      <c r="O26" s="199"/>
      <c r="P26" s="199"/>
      <c r="Q26" s="199"/>
      <c r="R26" s="199"/>
      <c r="S26" s="199"/>
      <c r="T26" s="199"/>
      <c r="U26" s="199"/>
      <c r="V26" s="199"/>
      <c r="W26" s="199"/>
      <c r="X26" s="199"/>
    </row>
    <row r="27" spans="1:28" x14ac:dyDescent="0.2">
      <c r="A27" s="265">
        <v>41852</v>
      </c>
      <c r="B27" s="266">
        <v>26</v>
      </c>
      <c r="C27" s="267">
        <f t="shared" si="4"/>
        <v>99</v>
      </c>
      <c r="D27" s="267">
        <f>D28/3*2</f>
        <v>131882</v>
      </c>
      <c r="E27" s="270">
        <f>E25+D27</f>
        <v>333134</v>
      </c>
      <c r="F27" s="268">
        <f t="shared" si="1"/>
        <v>0.29717771227193862</v>
      </c>
      <c r="G27" s="268">
        <v>0.24</v>
      </c>
      <c r="H27" s="268">
        <f t="shared" si="5"/>
        <v>15.333333333333334</v>
      </c>
      <c r="I27" s="146"/>
      <c r="J27" s="154">
        <f t="shared" si="3"/>
        <v>20.5</v>
      </c>
      <c r="L27" s="199"/>
      <c r="M27" s="199"/>
      <c r="N27" s="199"/>
      <c r="O27" s="199"/>
      <c r="P27" s="199"/>
      <c r="Q27" s="199"/>
      <c r="R27" s="199"/>
      <c r="S27" s="199"/>
      <c r="T27" s="199"/>
      <c r="U27" s="199"/>
      <c r="V27" s="199"/>
      <c r="W27" s="199"/>
      <c r="X27" s="199"/>
    </row>
    <row r="28" spans="1:28" x14ac:dyDescent="0.2">
      <c r="A28" s="265">
        <v>41883</v>
      </c>
      <c r="B28" s="266">
        <v>24</v>
      </c>
      <c r="C28" s="267">
        <f t="shared" si="4"/>
        <v>123</v>
      </c>
      <c r="D28" s="267">
        <v>197823</v>
      </c>
      <c r="E28" s="270">
        <f>E25+D28</f>
        <v>399075</v>
      </c>
      <c r="F28" s="268">
        <f t="shared" si="1"/>
        <v>0.3082127419657959</v>
      </c>
      <c r="G28" s="268">
        <v>0.24</v>
      </c>
      <c r="H28" s="268">
        <f t="shared" si="5"/>
        <v>15.333333333333334</v>
      </c>
      <c r="I28" s="146"/>
      <c r="J28" s="154">
        <f t="shared" ref="J28:J63" si="6">MEDIAN($B$11:$B$22)</f>
        <v>20.5</v>
      </c>
      <c r="L28" s="199"/>
      <c r="M28" s="199"/>
      <c r="N28" s="199"/>
      <c r="O28" s="199"/>
      <c r="P28" s="199"/>
      <c r="Q28" s="199"/>
      <c r="R28" s="199"/>
      <c r="S28" s="199"/>
      <c r="T28" s="199"/>
      <c r="U28" s="199"/>
      <c r="V28" s="199"/>
      <c r="W28" s="199"/>
      <c r="X28" s="199"/>
    </row>
    <row r="29" spans="1:28" x14ac:dyDescent="0.2">
      <c r="A29" s="265">
        <v>41913</v>
      </c>
      <c r="B29" s="266">
        <v>29</v>
      </c>
      <c r="C29" s="267">
        <f t="shared" si="4"/>
        <v>152</v>
      </c>
      <c r="D29" s="270">
        <f>D31/3</f>
        <v>67080.666666666672</v>
      </c>
      <c r="E29" s="270">
        <f>E28+D29</f>
        <v>466155.66666666669</v>
      </c>
      <c r="F29" s="268">
        <f t="shared" si="1"/>
        <v>0.32607133382482389</v>
      </c>
      <c r="G29" s="268">
        <v>0.24</v>
      </c>
      <c r="H29" s="268">
        <f t="shared" si="5"/>
        <v>15.333333333333334</v>
      </c>
      <c r="I29" s="146"/>
      <c r="J29" s="154">
        <f t="shared" si="6"/>
        <v>20.5</v>
      </c>
      <c r="L29" s="199"/>
      <c r="M29" s="199"/>
      <c r="N29" s="199"/>
      <c r="O29" s="199"/>
      <c r="P29" s="199"/>
      <c r="Q29" s="199"/>
      <c r="R29" s="199"/>
      <c r="S29" s="199"/>
      <c r="T29" s="199"/>
      <c r="U29" s="199"/>
      <c r="V29" s="199"/>
      <c r="W29" s="199"/>
      <c r="X29" s="199"/>
    </row>
    <row r="30" spans="1:28" x14ac:dyDescent="0.2">
      <c r="A30" s="265">
        <v>41944</v>
      </c>
      <c r="B30" s="266">
        <v>27</v>
      </c>
      <c r="C30" s="267">
        <f t="shared" si="4"/>
        <v>179</v>
      </c>
      <c r="D30" s="270">
        <f>D31/3*2</f>
        <v>134161.33333333334</v>
      </c>
      <c r="E30" s="270">
        <f>E28+D30</f>
        <v>533236.33333333337</v>
      </c>
      <c r="F30" s="268">
        <f t="shared" si="1"/>
        <v>0.33568605290087133</v>
      </c>
      <c r="G30" s="268">
        <v>0.24</v>
      </c>
      <c r="H30" s="268">
        <f t="shared" si="5"/>
        <v>15.333333333333334</v>
      </c>
      <c r="I30" s="146"/>
      <c r="J30" s="154">
        <f t="shared" si="6"/>
        <v>20.5</v>
      </c>
      <c r="L30" s="199"/>
      <c r="M30" s="199"/>
      <c r="N30" s="199"/>
      <c r="O30" s="199"/>
      <c r="P30" s="199"/>
      <c r="Q30" s="199"/>
      <c r="R30" s="199"/>
      <c r="S30" s="199"/>
      <c r="T30" s="199"/>
      <c r="U30" s="199"/>
      <c r="V30" s="199"/>
      <c r="W30" s="199"/>
      <c r="X30" s="199"/>
    </row>
    <row r="31" spans="1:28" x14ac:dyDescent="0.2">
      <c r="A31" s="265">
        <v>41974</v>
      </c>
      <c r="B31" s="266">
        <v>19</v>
      </c>
      <c r="C31" s="267">
        <f t="shared" si="4"/>
        <v>198</v>
      </c>
      <c r="D31" s="267">
        <v>201242</v>
      </c>
      <c r="E31" s="270">
        <f>E28+D31</f>
        <v>600317</v>
      </c>
      <c r="F31" s="268">
        <f t="shared" si="1"/>
        <v>0.32982574206627496</v>
      </c>
      <c r="G31" s="268">
        <v>0.24</v>
      </c>
      <c r="H31" s="268">
        <f t="shared" si="5"/>
        <v>15.333333333333334</v>
      </c>
      <c r="I31" s="146"/>
      <c r="J31" s="154">
        <f t="shared" si="6"/>
        <v>20.5</v>
      </c>
      <c r="L31" s="199"/>
      <c r="M31" s="199"/>
      <c r="N31" s="199"/>
      <c r="O31" s="199"/>
      <c r="P31" s="199"/>
      <c r="Q31" s="199"/>
      <c r="R31" s="199"/>
      <c r="S31" s="199"/>
      <c r="T31" s="199"/>
      <c r="U31" s="199"/>
      <c r="V31" s="199"/>
      <c r="W31" s="199"/>
      <c r="X31" s="199"/>
    </row>
    <row r="32" spans="1:28" x14ac:dyDescent="0.2">
      <c r="A32" s="265">
        <v>42005</v>
      </c>
      <c r="B32" s="266">
        <v>28</v>
      </c>
      <c r="C32" s="267">
        <f t="shared" si="4"/>
        <v>226</v>
      </c>
      <c r="D32" s="270">
        <f>D34/3</f>
        <v>69846.666666666672</v>
      </c>
      <c r="E32" s="270">
        <f>E31+D32</f>
        <v>670163.66666666663</v>
      </c>
      <c r="F32" s="268">
        <f t="shared" si="1"/>
        <v>0.33723105450360141</v>
      </c>
      <c r="G32" s="268">
        <v>0.24</v>
      </c>
      <c r="H32" s="268">
        <f t="shared" si="5"/>
        <v>15.333333333333334</v>
      </c>
      <c r="I32" s="146"/>
      <c r="J32" s="154">
        <f t="shared" si="6"/>
        <v>20.5</v>
      </c>
      <c r="L32" s="199"/>
      <c r="M32" s="199"/>
      <c r="N32" s="199"/>
      <c r="O32" s="199"/>
      <c r="P32" s="199"/>
      <c r="Q32" s="199"/>
      <c r="R32" s="199"/>
      <c r="S32" s="199"/>
      <c r="T32" s="199"/>
      <c r="U32" s="199"/>
      <c r="V32" s="199"/>
      <c r="W32" s="199"/>
      <c r="X32" s="199"/>
    </row>
    <row r="33" spans="1:24" x14ac:dyDescent="0.2">
      <c r="A33" s="265">
        <v>42036</v>
      </c>
      <c r="B33" s="266">
        <v>27</v>
      </c>
      <c r="C33" s="267">
        <f t="shared" si="4"/>
        <v>253</v>
      </c>
      <c r="D33" s="270">
        <f>D34/3*2</f>
        <v>139693.33333333334</v>
      </c>
      <c r="E33" s="270">
        <f>E31+D33</f>
        <v>740010.33333333337</v>
      </c>
      <c r="F33" s="268">
        <f t="shared" si="1"/>
        <v>0.34188711779249925</v>
      </c>
      <c r="G33" s="268">
        <v>0.24</v>
      </c>
      <c r="H33" s="268">
        <f t="shared" si="5"/>
        <v>15.333333333333334</v>
      </c>
      <c r="I33" s="146"/>
      <c r="J33" s="154">
        <f t="shared" si="6"/>
        <v>20.5</v>
      </c>
      <c r="L33" s="199"/>
      <c r="M33" s="199"/>
      <c r="N33" s="199"/>
      <c r="O33" s="199"/>
      <c r="P33" s="199"/>
      <c r="Q33" s="199"/>
      <c r="R33" s="199"/>
      <c r="S33" s="199"/>
      <c r="T33" s="199"/>
      <c r="U33" s="199"/>
      <c r="V33" s="199"/>
      <c r="W33" s="199"/>
      <c r="X33" s="199"/>
    </row>
    <row r="34" spans="1:24" x14ac:dyDescent="0.2">
      <c r="A34" s="265">
        <v>42064</v>
      </c>
      <c r="B34" s="266">
        <v>29</v>
      </c>
      <c r="C34" s="267">
        <f t="shared" si="4"/>
        <v>282</v>
      </c>
      <c r="D34" s="267">
        <v>209540</v>
      </c>
      <c r="E34" s="270">
        <f>E31+D34</f>
        <v>809857</v>
      </c>
      <c r="F34" s="268">
        <f t="shared" si="1"/>
        <v>0.34820962219255996</v>
      </c>
      <c r="G34" s="268">
        <v>0.24</v>
      </c>
      <c r="H34" s="268">
        <f t="shared" si="5"/>
        <v>15.333333333333334</v>
      </c>
      <c r="I34" s="146"/>
      <c r="J34" s="154">
        <f t="shared" si="6"/>
        <v>20.5</v>
      </c>
      <c r="L34" s="199"/>
      <c r="M34" s="199"/>
      <c r="N34" s="199"/>
      <c r="O34" s="199"/>
      <c r="P34" s="199"/>
      <c r="Q34" s="199"/>
      <c r="R34" s="199"/>
      <c r="S34" s="199"/>
      <c r="T34" s="199"/>
      <c r="U34" s="199"/>
      <c r="V34" s="199"/>
      <c r="W34" s="199"/>
      <c r="X34" s="199"/>
    </row>
    <row r="35" spans="1:24" x14ac:dyDescent="0.2">
      <c r="A35" s="265">
        <v>42095</v>
      </c>
      <c r="B35" s="266">
        <v>35</v>
      </c>
      <c r="C35" s="267">
        <f>B35</f>
        <v>35</v>
      </c>
      <c r="D35" s="270">
        <f>D37/3</f>
        <v>68542.333333333328</v>
      </c>
      <c r="E35" s="270">
        <f>D35</f>
        <v>68542.333333333328</v>
      </c>
      <c r="F35" s="268">
        <f t="shared" si="1"/>
        <v>0.51063333122595767</v>
      </c>
      <c r="G35" s="268">
        <v>0.24</v>
      </c>
      <c r="H35" s="268">
        <f>(184/12)</f>
        <v>15.333333333333334</v>
      </c>
      <c r="I35" s="146"/>
      <c r="J35" s="154">
        <f t="shared" si="6"/>
        <v>20.5</v>
      </c>
      <c r="L35" s="199"/>
      <c r="M35" s="199"/>
      <c r="N35" s="199"/>
      <c r="O35" s="199"/>
      <c r="P35" s="199"/>
      <c r="Q35" s="199"/>
      <c r="R35" s="199"/>
      <c r="S35" s="199"/>
      <c r="T35" s="199"/>
      <c r="U35" s="199"/>
      <c r="V35" s="199"/>
      <c r="W35" s="199"/>
      <c r="X35" s="199"/>
    </row>
    <row r="36" spans="1:24" x14ac:dyDescent="0.2">
      <c r="A36" s="265">
        <v>42125</v>
      </c>
      <c r="B36" s="266">
        <v>22</v>
      </c>
      <c r="C36" s="267">
        <f t="shared" ref="C36:C46" si="7">C35+B36</f>
        <v>57</v>
      </c>
      <c r="D36" s="270">
        <f>D37/3*2</f>
        <v>137084.66666666666</v>
      </c>
      <c r="E36" s="270">
        <f>D36</f>
        <v>137084.66666666666</v>
      </c>
      <c r="F36" s="268">
        <f t="shared" si="1"/>
        <v>0.41580142685542276</v>
      </c>
      <c r="G36" s="268">
        <v>0.24</v>
      </c>
      <c r="H36" s="268">
        <f t="shared" ref="H36:H63" si="8">(184/12)</f>
        <v>15.333333333333334</v>
      </c>
      <c r="I36" s="146"/>
      <c r="J36" s="154">
        <f t="shared" si="6"/>
        <v>20.5</v>
      </c>
      <c r="L36" s="199"/>
      <c r="M36" s="199"/>
      <c r="N36" s="199"/>
      <c r="O36" s="199"/>
      <c r="P36" s="199"/>
      <c r="Q36" s="199"/>
      <c r="R36" s="199"/>
      <c r="S36" s="199"/>
      <c r="T36" s="199"/>
      <c r="U36" s="199"/>
      <c r="V36" s="199"/>
      <c r="W36" s="199"/>
      <c r="X36" s="199"/>
    </row>
    <row r="37" spans="1:24" x14ac:dyDescent="0.2">
      <c r="A37" s="265">
        <v>42156</v>
      </c>
      <c r="B37" s="266">
        <v>23</v>
      </c>
      <c r="C37" s="267">
        <f t="shared" si="7"/>
        <v>80</v>
      </c>
      <c r="D37" s="267">
        <v>205627</v>
      </c>
      <c r="E37" s="270">
        <f>D37</f>
        <v>205627</v>
      </c>
      <c r="F37" s="268">
        <f t="shared" si="1"/>
        <v>0.38905396664834868</v>
      </c>
      <c r="G37" s="268">
        <v>0.24</v>
      </c>
      <c r="H37" s="268">
        <f t="shared" si="8"/>
        <v>15.333333333333334</v>
      </c>
      <c r="I37" s="146"/>
      <c r="J37" s="154">
        <f t="shared" si="6"/>
        <v>20.5</v>
      </c>
      <c r="L37" s="199"/>
      <c r="M37" s="199"/>
      <c r="N37" s="199"/>
      <c r="O37" s="199"/>
      <c r="P37" s="199"/>
      <c r="Q37" s="199"/>
      <c r="R37" s="199"/>
      <c r="S37" s="199"/>
      <c r="T37" s="199"/>
      <c r="U37" s="199"/>
      <c r="V37" s="199"/>
      <c r="W37" s="199"/>
      <c r="X37" s="199"/>
    </row>
    <row r="38" spans="1:24" x14ac:dyDescent="0.2">
      <c r="A38" s="265">
        <v>42186</v>
      </c>
      <c r="B38" s="266">
        <v>17</v>
      </c>
      <c r="C38" s="267">
        <f t="shared" si="7"/>
        <v>97</v>
      </c>
      <c r="D38" s="270">
        <f>D40/3</f>
        <v>68557.666666666672</v>
      </c>
      <c r="E38" s="270">
        <f>E37+D38</f>
        <v>274184.66666666669</v>
      </c>
      <c r="F38" s="268">
        <f t="shared" si="1"/>
        <v>0.35377616545539864</v>
      </c>
      <c r="G38" s="268">
        <v>0.24</v>
      </c>
      <c r="H38" s="268">
        <f t="shared" si="8"/>
        <v>15.333333333333334</v>
      </c>
      <c r="I38" s="146"/>
      <c r="J38" s="154">
        <f t="shared" si="6"/>
        <v>20.5</v>
      </c>
      <c r="L38" s="199"/>
      <c r="M38" s="199"/>
      <c r="N38" s="199"/>
      <c r="O38" s="199"/>
      <c r="P38" s="199"/>
      <c r="Q38" s="199"/>
      <c r="R38" s="199"/>
      <c r="S38" s="199"/>
      <c r="T38" s="199"/>
      <c r="U38" s="199"/>
      <c r="V38" s="199"/>
      <c r="W38" s="199"/>
      <c r="X38" s="199"/>
    </row>
    <row r="39" spans="1:24" x14ac:dyDescent="0.2">
      <c r="A39" s="265">
        <v>42217</v>
      </c>
      <c r="B39" s="266">
        <v>16</v>
      </c>
      <c r="C39" s="267">
        <f t="shared" si="7"/>
        <v>113</v>
      </c>
      <c r="D39" s="270">
        <f>D40/3*2</f>
        <v>137115.33333333334</v>
      </c>
      <c r="E39" s="270">
        <f>E37+D39</f>
        <v>342742.33333333337</v>
      </c>
      <c r="F39" s="268">
        <f t="shared" si="1"/>
        <v>0.32969373494374293</v>
      </c>
      <c r="G39" s="268">
        <v>0.24</v>
      </c>
      <c r="H39" s="268">
        <f t="shared" si="8"/>
        <v>15.333333333333334</v>
      </c>
      <c r="I39" s="146"/>
      <c r="J39" s="154">
        <f t="shared" si="6"/>
        <v>20.5</v>
      </c>
      <c r="L39" s="199"/>
      <c r="M39" s="199"/>
      <c r="N39" s="199"/>
      <c r="O39" s="199"/>
      <c r="P39" s="199"/>
      <c r="Q39" s="199"/>
      <c r="R39" s="199"/>
      <c r="S39" s="199"/>
      <c r="T39" s="199"/>
      <c r="U39" s="199"/>
      <c r="V39" s="199"/>
      <c r="W39" s="199"/>
      <c r="X39" s="199"/>
    </row>
    <row r="40" spans="1:24" x14ac:dyDescent="0.2">
      <c r="A40" s="265">
        <v>42248</v>
      </c>
      <c r="B40" s="266">
        <v>18</v>
      </c>
      <c r="C40" s="267">
        <f t="shared" si="7"/>
        <v>131</v>
      </c>
      <c r="D40" s="267">
        <v>205673</v>
      </c>
      <c r="E40" s="270">
        <f>E37+D40</f>
        <v>411300</v>
      </c>
      <c r="F40" s="268">
        <f t="shared" si="1"/>
        <v>0.31850230974957455</v>
      </c>
      <c r="G40" s="268">
        <v>0.24</v>
      </c>
      <c r="H40" s="268">
        <f t="shared" si="8"/>
        <v>15.333333333333334</v>
      </c>
      <c r="I40" s="146"/>
      <c r="J40" s="154">
        <f t="shared" si="6"/>
        <v>20.5</v>
      </c>
      <c r="L40" s="199"/>
      <c r="M40" s="199"/>
      <c r="N40" s="199"/>
      <c r="O40" s="199"/>
      <c r="P40" s="199"/>
      <c r="Q40" s="199"/>
      <c r="R40" s="199"/>
      <c r="S40" s="199"/>
      <c r="T40" s="199"/>
      <c r="U40" s="199"/>
      <c r="V40" s="199"/>
      <c r="W40" s="199"/>
      <c r="X40" s="199"/>
    </row>
    <row r="41" spans="1:24" x14ac:dyDescent="0.2">
      <c r="A41" s="265">
        <v>42278</v>
      </c>
      <c r="B41" s="4">
        <v>8</v>
      </c>
      <c r="C41" s="267">
        <f t="shared" si="7"/>
        <v>139</v>
      </c>
      <c r="D41" s="270">
        <f>D43/3</f>
        <v>69669</v>
      </c>
      <c r="E41" s="270">
        <f>E40+D41</f>
        <v>480969</v>
      </c>
      <c r="F41" s="268">
        <f t="shared" si="1"/>
        <v>0.28899991475542086</v>
      </c>
      <c r="G41" s="268">
        <v>0.24</v>
      </c>
      <c r="H41" s="268">
        <f t="shared" si="8"/>
        <v>15.333333333333334</v>
      </c>
      <c r="I41" s="146"/>
      <c r="J41" s="154">
        <f t="shared" si="6"/>
        <v>20.5</v>
      </c>
      <c r="L41" s="199"/>
      <c r="M41" s="199"/>
      <c r="N41" s="199"/>
      <c r="O41" s="199"/>
      <c r="P41" s="199"/>
      <c r="Q41" s="199"/>
      <c r="R41" s="199"/>
      <c r="S41" s="199"/>
      <c r="T41" s="199"/>
      <c r="U41" s="199"/>
      <c r="V41" s="199"/>
      <c r="W41" s="199"/>
      <c r="X41" s="199"/>
    </row>
    <row r="42" spans="1:24" x14ac:dyDescent="0.2">
      <c r="A42" s="265">
        <v>42309</v>
      </c>
      <c r="B42" s="4">
        <v>16</v>
      </c>
      <c r="C42" s="267">
        <f t="shared" si="7"/>
        <v>155</v>
      </c>
      <c r="D42" s="270">
        <f>D43/3*2</f>
        <v>139338</v>
      </c>
      <c r="E42" s="270">
        <f>E40+D42</f>
        <v>550638</v>
      </c>
      <c r="F42" s="268">
        <f t="shared" si="1"/>
        <v>0.28149165150243899</v>
      </c>
      <c r="G42" s="268">
        <v>0.24</v>
      </c>
      <c r="H42" s="268">
        <f t="shared" si="8"/>
        <v>15.333333333333334</v>
      </c>
      <c r="I42" s="146"/>
      <c r="J42" s="154">
        <f t="shared" si="6"/>
        <v>20.5</v>
      </c>
      <c r="L42" s="199"/>
      <c r="M42" s="199"/>
      <c r="N42" s="199"/>
      <c r="O42" s="199"/>
      <c r="P42" s="199"/>
      <c r="Q42" s="199"/>
      <c r="R42" s="199"/>
      <c r="S42" s="199"/>
      <c r="T42" s="199"/>
      <c r="U42" s="199"/>
      <c r="V42" s="199"/>
      <c r="W42" s="199"/>
      <c r="X42" s="199"/>
    </row>
    <row r="43" spans="1:24" x14ac:dyDescent="0.2">
      <c r="A43" s="265">
        <v>42339</v>
      </c>
      <c r="B43" s="4">
        <v>20</v>
      </c>
      <c r="C43" s="267">
        <f t="shared" si="7"/>
        <v>175</v>
      </c>
      <c r="D43" s="267">
        <v>209007</v>
      </c>
      <c r="E43" s="270">
        <f>E40+D43</f>
        <v>620307</v>
      </c>
      <c r="F43" s="268">
        <f>C43/E43*1000</f>
        <v>0.28211837041980825</v>
      </c>
      <c r="G43" s="268">
        <v>0.24</v>
      </c>
      <c r="H43" s="268">
        <f t="shared" si="8"/>
        <v>15.333333333333334</v>
      </c>
      <c r="I43" s="146"/>
      <c r="J43" s="154">
        <f t="shared" si="6"/>
        <v>20.5</v>
      </c>
      <c r="L43" s="199"/>
      <c r="M43" s="199"/>
      <c r="N43" s="199"/>
      <c r="O43" s="199"/>
      <c r="P43" s="199"/>
      <c r="Q43" s="199"/>
      <c r="R43" s="199"/>
      <c r="S43" s="199"/>
      <c r="T43" s="199"/>
      <c r="U43" s="199"/>
      <c r="V43" s="199"/>
      <c r="W43" s="199"/>
      <c r="X43" s="199"/>
    </row>
    <row r="44" spans="1:24" x14ac:dyDescent="0.2">
      <c r="A44" s="265">
        <v>42370</v>
      </c>
      <c r="B44" s="4">
        <v>20</v>
      </c>
      <c r="C44" s="267">
        <f t="shared" si="7"/>
        <v>195</v>
      </c>
      <c r="D44" s="270">
        <f>D46/3</f>
        <v>69776</v>
      </c>
      <c r="E44" s="270">
        <f>E43+D44</f>
        <v>690083</v>
      </c>
      <c r="F44" s="268">
        <f t="shared" si="1"/>
        <v>0.28257470478188856</v>
      </c>
      <c r="G44" s="268">
        <v>0.24</v>
      </c>
      <c r="H44" s="268">
        <f t="shared" si="8"/>
        <v>15.333333333333334</v>
      </c>
      <c r="I44" s="146"/>
      <c r="J44" s="154">
        <f t="shared" si="6"/>
        <v>20.5</v>
      </c>
      <c r="L44" s="199"/>
      <c r="M44" s="199"/>
      <c r="N44" s="199"/>
      <c r="O44" s="199"/>
      <c r="P44" s="199"/>
      <c r="Q44" s="199"/>
      <c r="R44" s="199"/>
      <c r="S44" s="199"/>
      <c r="T44" s="199"/>
      <c r="U44" s="199"/>
      <c r="V44" s="199"/>
      <c r="W44" s="199"/>
      <c r="X44" s="199"/>
    </row>
    <row r="45" spans="1:24" x14ac:dyDescent="0.2">
      <c r="A45" s="265">
        <v>42401</v>
      </c>
      <c r="B45" s="4">
        <v>23</v>
      </c>
      <c r="C45" s="267">
        <f t="shared" si="7"/>
        <v>218</v>
      </c>
      <c r="D45" s="270">
        <f>D46/3*2</f>
        <v>139552</v>
      </c>
      <c r="E45" s="270">
        <f>E43+D45</f>
        <v>759859</v>
      </c>
      <c r="F45" s="268">
        <f t="shared" si="1"/>
        <v>0.28689533189710198</v>
      </c>
      <c r="G45" s="268">
        <v>0.24</v>
      </c>
      <c r="H45" s="268">
        <f t="shared" si="8"/>
        <v>15.333333333333334</v>
      </c>
      <c r="I45" s="146"/>
      <c r="J45" s="154">
        <f t="shared" si="6"/>
        <v>20.5</v>
      </c>
      <c r="L45" s="199"/>
      <c r="M45" s="199"/>
      <c r="N45" s="199"/>
      <c r="O45" s="199"/>
      <c r="P45" s="199"/>
      <c r="Q45" s="199"/>
      <c r="R45" s="199"/>
      <c r="S45" s="199"/>
      <c r="T45" s="199"/>
      <c r="U45" s="199"/>
      <c r="V45" s="199"/>
      <c r="W45" s="199"/>
      <c r="X45" s="199"/>
    </row>
    <row r="46" spans="1:24" x14ac:dyDescent="0.2">
      <c r="A46" s="265">
        <v>42430</v>
      </c>
      <c r="B46" s="4">
        <v>25</v>
      </c>
      <c r="C46" s="267">
        <f t="shared" si="7"/>
        <v>243</v>
      </c>
      <c r="D46" s="267">
        <v>209328</v>
      </c>
      <c r="E46" s="270">
        <f>E43+D46</f>
        <v>829635</v>
      </c>
      <c r="F46" s="268">
        <f t="shared" si="1"/>
        <v>0.29289988971053532</v>
      </c>
      <c r="G46" s="268">
        <v>0.24</v>
      </c>
      <c r="H46" s="268">
        <f t="shared" si="8"/>
        <v>15.333333333333334</v>
      </c>
      <c r="I46" s="146"/>
      <c r="J46" s="154">
        <f t="shared" si="6"/>
        <v>20.5</v>
      </c>
      <c r="L46" s="199"/>
      <c r="M46" s="199"/>
      <c r="N46" s="199"/>
      <c r="O46" s="199"/>
      <c r="P46" s="199"/>
      <c r="Q46" s="199"/>
      <c r="R46" s="199"/>
      <c r="S46" s="199"/>
      <c r="T46" s="199"/>
      <c r="U46" s="199"/>
      <c r="V46" s="199"/>
      <c r="W46" s="199"/>
      <c r="X46" s="199"/>
    </row>
    <row r="47" spans="1:24" x14ac:dyDescent="0.2">
      <c r="A47" s="265">
        <v>42461</v>
      </c>
      <c r="B47" s="4">
        <v>13</v>
      </c>
      <c r="C47" s="267">
        <f>B47</f>
        <v>13</v>
      </c>
      <c r="D47" s="270">
        <f>D49/3</f>
        <v>66399</v>
      </c>
      <c r="E47" s="270">
        <f>D47</f>
        <v>66399</v>
      </c>
      <c r="F47" s="268">
        <f t="shared" si="1"/>
        <v>0.19578608111567944</v>
      </c>
      <c r="G47" s="268">
        <v>0.24</v>
      </c>
      <c r="H47" s="268">
        <f t="shared" si="8"/>
        <v>15.333333333333334</v>
      </c>
      <c r="I47" s="146"/>
      <c r="J47" s="154">
        <f t="shared" si="6"/>
        <v>20.5</v>
      </c>
      <c r="L47" s="199"/>
      <c r="M47" s="199"/>
      <c r="N47" s="199"/>
      <c r="O47" s="199"/>
      <c r="P47" s="199"/>
      <c r="Q47" s="199"/>
      <c r="R47" s="199"/>
      <c r="S47" s="199"/>
      <c r="T47" s="199"/>
      <c r="U47" s="199"/>
      <c r="V47" s="199"/>
      <c r="W47" s="199"/>
      <c r="X47" s="199"/>
    </row>
    <row r="48" spans="1:24" x14ac:dyDescent="0.2">
      <c r="A48" s="265">
        <v>42491</v>
      </c>
      <c r="B48" s="4">
        <v>22</v>
      </c>
      <c r="C48" s="267">
        <f t="shared" ref="C48:C58" si="9">C47+B48</f>
        <v>35</v>
      </c>
      <c r="D48" s="270">
        <f>D49/3*2</f>
        <v>132798</v>
      </c>
      <c r="E48" s="270">
        <f>D48</f>
        <v>132798</v>
      </c>
      <c r="F48" s="268">
        <f t="shared" si="1"/>
        <v>0.26355818611726084</v>
      </c>
      <c r="G48" s="268">
        <v>0.24</v>
      </c>
      <c r="H48" s="268">
        <f t="shared" si="8"/>
        <v>15.333333333333334</v>
      </c>
      <c r="I48" s="146"/>
      <c r="J48" s="154">
        <f t="shared" si="6"/>
        <v>20.5</v>
      </c>
      <c r="L48" s="199"/>
      <c r="M48" s="199"/>
      <c r="N48" s="199"/>
      <c r="O48" s="199"/>
      <c r="P48" s="199"/>
      <c r="Q48" s="199"/>
      <c r="R48" s="199"/>
      <c r="S48" s="199"/>
      <c r="T48" s="199"/>
      <c r="U48" s="199"/>
      <c r="V48" s="199"/>
      <c r="W48" s="199"/>
      <c r="X48" s="199"/>
    </row>
    <row r="49" spans="1:10" x14ac:dyDescent="0.2">
      <c r="A49" s="265">
        <v>42522</v>
      </c>
      <c r="B49" s="4">
        <v>26</v>
      </c>
      <c r="C49" s="267">
        <f t="shared" si="9"/>
        <v>61</v>
      </c>
      <c r="D49" s="267">
        <v>199197</v>
      </c>
      <c r="E49" s="270">
        <f>D49</f>
        <v>199197</v>
      </c>
      <c r="F49" s="268">
        <f t="shared" si="1"/>
        <v>0.30622951148862682</v>
      </c>
      <c r="G49" s="268">
        <v>0.24</v>
      </c>
      <c r="H49" s="268">
        <f t="shared" si="8"/>
        <v>15.333333333333334</v>
      </c>
      <c r="I49" s="146"/>
      <c r="J49" s="154">
        <f t="shared" si="6"/>
        <v>20.5</v>
      </c>
    </row>
    <row r="50" spans="1:10" x14ac:dyDescent="0.2">
      <c r="A50" s="265">
        <v>42552</v>
      </c>
      <c r="B50" s="4">
        <v>20</v>
      </c>
      <c r="C50" s="267">
        <f t="shared" si="9"/>
        <v>81</v>
      </c>
      <c r="D50" s="270">
        <f>D52/3</f>
        <v>64644</v>
      </c>
      <c r="E50" s="270">
        <f>E49+D50</f>
        <v>263841</v>
      </c>
      <c r="F50" s="268">
        <f t="shared" si="1"/>
        <v>0.30700308140129851</v>
      </c>
      <c r="G50" s="268">
        <v>0.24</v>
      </c>
      <c r="H50" s="268">
        <f t="shared" si="8"/>
        <v>15.333333333333334</v>
      </c>
      <c r="I50" s="146"/>
      <c r="J50" s="154">
        <f t="shared" si="6"/>
        <v>20.5</v>
      </c>
    </row>
    <row r="51" spans="1:10" x14ac:dyDescent="0.2">
      <c r="A51" s="265">
        <v>42583</v>
      </c>
      <c r="B51" s="4">
        <v>30</v>
      </c>
      <c r="C51" s="267">
        <f t="shared" si="9"/>
        <v>111</v>
      </c>
      <c r="D51" s="270">
        <f>D52/3*2</f>
        <v>129288</v>
      </c>
      <c r="E51" s="270">
        <f>E49+D51</f>
        <v>328485</v>
      </c>
      <c r="F51" s="268">
        <f>C51/E51*1000</f>
        <v>0.33791497328645143</v>
      </c>
      <c r="G51" s="268">
        <v>0.24</v>
      </c>
      <c r="H51" s="268">
        <f t="shared" si="8"/>
        <v>15.333333333333334</v>
      </c>
      <c r="I51" s="146"/>
      <c r="J51" s="154">
        <f t="shared" si="6"/>
        <v>20.5</v>
      </c>
    </row>
    <row r="52" spans="1:10" x14ac:dyDescent="0.2">
      <c r="A52" s="265">
        <v>42614</v>
      </c>
      <c r="B52" s="4">
        <v>13</v>
      </c>
      <c r="C52" s="267">
        <f t="shared" si="9"/>
        <v>124</v>
      </c>
      <c r="D52" s="267">
        <v>193932</v>
      </c>
      <c r="E52" s="270">
        <f>E49+D52</f>
        <v>393129</v>
      </c>
      <c r="F52" s="268">
        <f>C52/E52*1000</f>
        <v>0.3154180943150976</v>
      </c>
      <c r="G52" s="268">
        <v>0.24</v>
      </c>
      <c r="H52" s="268">
        <f t="shared" si="8"/>
        <v>15.333333333333334</v>
      </c>
      <c r="I52" s="146"/>
      <c r="J52" s="154">
        <f t="shared" si="6"/>
        <v>20.5</v>
      </c>
    </row>
    <row r="53" spans="1:10" x14ac:dyDescent="0.2">
      <c r="A53" s="265">
        <v>42644</v>
      </c>
      <c r="B53" s="4">
        <v>23</v>
      </c>
      <c r="C53" s="267">
        <f t="shared" si="9"/>
        <v>147</v>
      </c>
      <c r="D53" s="270">
        <f>D55/3</f>
        <v>65358.666666666664</v>
      </c>
      <c r="E53" s="270">
        <f>E52+D53</f>
        <v>458487.66666666669</v>
      </c>
      <c r="F53" s="268">
        <f t="shared" si="1"/>
        <v>0.32061931146094075</v>
      </c>
      <c r="G53" s="268">
        <v>0.24</v>
      </c>
      <c r="H53" s="268">
        <f t="shared" si="8"/>
        <v>15.333333333333334</v>
      </c>
      <c r="I53" s="146"/>
      <c r="J53" s="154">
        <f t="shared" si="6"/>
        <v>20.5</v>
      </c>
    </row>
    <row r="54" spans="1:10" x14ac:dyDescent="0.2">
      <c r="A54" s="265">
        <v>42675</v>
      </c>
      <c r="B54" s="4">
        <v>14</v>
      </c>
      <c r="C54" s="267">
        <f t="shared" si="9"/>
        <v>161</v>
      </c>
      <c r="D54" s="270">
        <f>D55/3*2</f>
        <v>130717.33333333333</v>
      </c>
      <c r="E54" s="270">
        <f>E52+D54</f>
        <v>523846.33333333331</v>
      </c>
      <c r="F54" s="268">
        <f t="shared" si="1"/>
        <v>0.3073420386003784</v>
      </c>
      <c r="G54" s="268">
        <v>0.24</v>
      </c>
      <c r="H54" s="268">
        <f t="shared" si="8"/>
        <v>15.333333333333334</v>
      </c>
      <c r="I54" s="146"/>
      <c r="J54" s="154">
        <f t="shared" si="6"/>
        <v>20.5</v>
      </c>
    </row>
    <row r="55" spans="1:10" x14ac:dyDescent="0.2">
      <c r="A55" s="265">
        <v>42705</v>
      </c>
      <c r="B55" s="4">
        <v>22</v>
      </c>
      <c r="C55" s="267">
        <f t="shared" si="9"/>
        <v>183</v>
      </c>
      <c r="D55" s="267">
        <v>196076</v>
      </c>
      <c r="E55" s="270">
        <f>E52+D55</f>
        <v>589205</v>
      </c>
      <c r="F55" s="268">
        <f t="shared" si="1"/>
        <v>0.3105879956891065</v>
      </c>
      <c r="G55" s="268">
        <v>0.24</v>
      </c>
      <c r="H55" s="268">
        <f t="shared" si="8"/>
        <v>15.333333333333334</v>
      </c>
      <c r="I55" s="146"/>
      <c r="J55" s="154">
        <f t="shared" si="6"/>
        <v>20.5</v>
      </c>
    </row>
    <row r="56" spans="1:10" x14ac:dyDescent="0.2">
      <c r="A56" s="265">
        <v>42736</v>
      </c>
      <c r="B56" s="4">
        <v>18</v>
      </c>
      <c r="C56" s="267">
        <f t="shared" si="9"/>
        <v>201</v>
      </c>
      <c r="D56" s="270">
        <f>D58/3</f>
        <v>67118.666666666672</v>
      </c>
      <c r="E56" s="270">
        <f>E55+D56</f>
        <v>656323.66666666663</v>
      </c>
      <c r="F56" s="268">
        <f t="shared" si="1"/>
        <v>0.30625133635792501</v>
      </c>
      <c r="G56" s="268">
        <v>0.24</v>
      </c>
      <c r="H56" s="268">
        <f t="shared" si="8"/>
        <v>15.333333333333334</v>
      </c>
      <c r="I56" s="146"/>
      <c r="J56" s="154">
        <f t="shared" si="6"/>
        <v>20.5</v>
      </c>
    </row>
    <row r="57" spans="1:10" x14ac:dyDescent="0.2">
      <c r="A57" s="265">
        <v>42767</v>
      </c>
      <c r="B57" s="4">
        <v>19</v>
      </c>
      <c r="C57" s="267">
        <f t="shared" si="9"/>
        <v>220</v>
      </c>
      <c r="D57" s="270">
        <f>D58/3*2</f>
        <v>134237.33333333334</v>
      </c>
      <c r="E57" s="270">
        <f>E55+D57</f>
        <v>723442.33333333337</v>
      </c>
      <c r="F57" s="268">
        <f t="shared" si="1"/>
        <v>0.30410163998328366</v>
      </c>
      <c r="G57" s="268">
        <v>0.24</v>
      </c>
      <c r="H57" s="268">
        <f t="shared" si="8"/>
        <v>15.333333333333334</v>
      </c>
      <c r="I57" s="146"/>
      <c r="J57" s="154">
        <f t="shared" si="6"/>
        <v>20.5</v>
      </c>
    </row>
    <row r="58" spans="1:10" x14ac:dyDescent="0.2">
      <c r="A58" s="265">
        <v>42795</v>
      </c>
      <c r="B58" s="4">
        <v>20</v>
      </c>
      <c r="C58" s="267">
        <f t="shared" si="9"/>
        <v>240</v>
      </c>
      <c r="D58" s="267">
        <v>201356</v>
      </c>
      <c r="E58" s="270">
        <f>E55+D58</f>
        <v>790561</v>
      </c>
      <c r="F58" s="268">
        <f t="shared" si="1"/>
        <v>0.30358188678672487</v>
      </c>
      <c r="G58" s="268">
        <v>0.24</v>
      </c>
      <c r="H58" s="268">
        <f t="shared" si="8"/>
        <v>15.333333333333334</v>
      </c>
      <c r="I58" s="146"/>
      <c r="J58" s="154">
        <f t="shared" si="6"/>
        <v>20.5</v>
      </c>
    </row>
    <row r="59" spans="1:10" x14ac:dyDescent="0.2">
      <c r="A59" s="265">
        <v>42826</v>
      </c>
      <c r="B59" s="266">
        <v>23</v>
      </c>
      <c r="C59" s="267">
        <f>B59</f>
        <v>23</v>
      </c>
      <c r="D59" s="270">
        <f>D61/3</f>
        <v>64692</v>
      </c>
      <c r="E59" s="270">
        <f>D59</f>
        <v>64692</v>
      </c>
      <c r="F59" s="268">
        <f t="shared" si="1"/>
        <v>0.35553082297656585</v>
      </c>
      <c r="G59" s="268">
        <v>0.24</v>
      </c>
      <c r="H59" s="268">
        <f t="shared" si="8"/>
        <v>15.333333333333334</v>
      </c>
      <c r="I59" s="146"/>
      <c r="J59" s="154">
        <f t="shared" si="6"/>
        <v>20.5</v>
      </c>
    </row>
    <row r="60" spans="1:10" x14ac:dyDescent="0.2">
      <c r="A60" s="265">
        <v>42856</v>
      </c>
      <c r="B60" s="266">
        <v>11</v>
      </c>
      <c r="C60" s="267">
        <f t="shared" ref="C60:C63" si="10">C59+B60</f>
        <v>34</v>
      </c>
      <c r="D60" s="270">
        <f>D61/3*2</f>
        <v>129384</v>
      </c>
      <c r="E60" s="270">
        <f>D60</f>
        <v>129384</v>
      </c>
      <c r="F60" s="268">
        <f t="shared" si="1"/>
        <v>0.26278365176528784</v>
      </c>
      <c r="G60" s="268">
        <v>0.24</v>
      </c>
      <c r="H60" s="268">
        <f t="shared" si="8"/>
        <v>15.333333333333334</v>
      </c>
      <c r="I60" s="146"/>
      <c r="J60" s="154">
        <f t="shared" si="6"/>
        <v>20.5</v>
      </c>
    </row>
    <row r="61" spans="1:10" x14ac:dyDescent="0.2">
      <c r="A61" s="265">
        <v>42887</v>
      </c>
      <c r="B61" s="266">
        <v>15</v>
      </c>
      <c r="C61" s="267">
        <f t="shared" si="10"/>
        <v>49</v>
      </c>
      <c r="D61" s="267">
        <v>194076</v>
      </c>
      <c r="E61" s="270">
        <f>D61</f>
        <v>194076</v>
      </c>
      <c r="F61" s="268">
        <f t="shared" si="1"/>
        <v>0.25247841051959025</v>
      </c>
      <c r="G61" s="268">
        <v>0.24</v>
      </c>
      <c r="H61" s="268">
        <f t="shared" si="8"/>
        <v>15.333333333333334</v>
      </c>
      <c r="I61" s="146"/>
      <c r="J61" s="154">
        <f t="shared" si="6"/>
        <v>20.5</v>
      </c>
    </row>
    <row r="62" spans="1:10" x14ac:dyDescent="0.2">
      <c r="A62" s="265">
        <v>42917</v>
      </c>
      <c r="B62" s="266">
        <v>9</v>
      </c>
      <c r="C62" s="267">
        <f t="shared" si="10"/>
        <v>58</v>
      </c>
      <c r="D62" s="270">
        <f>D64/3</f>
        <v>64318.666666666664</v>
      </c>
      <c r="E62" s="270">
        <f>E61+D62</f>
        <v>258394.66666666666</v>
      </c>
      <c r="F62" s="268">
        <f t="shared" si="1"/>
        <v>0.22446283721026236</v>
      </c>
      <c r="G62" s="268">
        <v>0.24</v>
      </c>
      <c r="H62" s="268">
        <f t="shared" si="8"/>
        <v>15.333333333333334</v>
      </c>
      <c r="I62" s="146"/>
      <c r="J62" s="154">
        <f t="shared" si="6"/>
        <v>20.5</v>
      </c>
    </row>
    <row r="63" spans="1:10" x14ac:dyDescent="0.2">
      <c r="A63" s="265">
        <v>42948</v>
      </c>
      <c r="B63" s="266">
        <v>25</v>
      </c>
      <c r="C63" s="267">
        <f t="shared" si="10"/>
        <v>83</v>
      </c>
      <c r="D63" s="270">
        <f>D64/3*2</f>
        <v>128637.33333333333</v>
      </c>
      <c r="E63" s="270">
        <f>E61+D63</f>
        <v>322713.33333333331</v>
      </c>
      <c r="F63" s="268">
        <f t="shared" si="1"/>
        <v>0.25719420744933585</v>
      </c>
      <c r="G63" s="268">
        <v>0.24</v>
      </c>
      <c r="H63" s="268">
        <f t="shared" si="8"/>
        <v>15.333333333333334</v>
      </c>
      <c r="I63" s="146"/>
      <c r="J63" s="154">
        <f t="shared" si="6"/>
        <v>20.5</v>
      </c>
    </row>
    <row r="64" spans="1:10" x14ac:dyDescent="0.2">
      <c r="A64" s="265"/>
      <c r="B64" s="266"/>
      <c r="C64" s="267"/>
      <c r="D64" s="267">
        <v>192956</v>
      </c>
      <c r="E64" s="270"/>
      <c r="F64" s="268"/>
      <c r="G64" s="268"/>
      <c r="H64" s="268"/>
      <c r="I64" s="146"/>
      <c r="J64" s="154"/>
    </row>
    <row r="65" spans="1:10" x14ac:dyDescent="0.2">
      <c r="A65" s="265"/>
      <c r="B65" s="4"/>
      <c r="C65" s="267"/>
      <c r="D65" s="270">
        <f>D67/3</f>
        <v>65411</v>
      </c>
      <c r="E65" s="270"/>
      <c r="F65" s="268"/>
      <c r="G65" s="268"/>
      <c r="H65" s="268"/>
      <c r="I65" s="146"/>
      <c r="J65" s="154"/>
    </row>
    <row r="66" spans="1:10" x14ac:dyDescent="0.2">
      <c r="A66" s="265"/>
      <c r="B66" s="4"/>
      <c r="C66" s="267"/>
      <c r="D66" s="270">
        <f>D67/3*2</f>
        <v>130822</v>
      </c>
      <c r="E66" s="270"/>
      <c r="F66" s="268"/>
      <c r="G66" s="268"/>
      <c r="H66" s="268"/>
      <c r="I66" s="146"/>
      <c r="J66" s="154"/>
    </row>
    <row r="67" spans="1:10" x14ac:dyDescent="0.2">
      <c r="A67" s="265"/>
      <c r="B67" s="4"/>
      <c r="C67" s="267"/>
      <c r="D67" s="267">
        <v>196233</v>
      </c>
      <c r="E67" s="270"/>
      <c r="F67" s="268"/>
      <c r="G67" s="268"/>
      <c r="H67" s="268"/>
      <c r="I67" s="146"/>
      <c r="J67" s="154"/>
    </row>
    <row r="68" spans="1:10" x14ac:dyDescent="0.2">
      <c r="A68" s="265"/>
      <c r="B68" s="4"/>
      <c r="C68" s="267"/>
      <c r="D68" s="270"/>
      <c r="E68" s="270"/>
      <c r="F68" s="268"/>
      <c r="G68" s="268"/>
      <c r="H68" s="268"/>
      <c r="I68" s="146"/>
      <c r="J68" s="154"/>
    </row>
    <row r="69" spans="1:10" x14ac:dyDescent="0.2">
      <c r="A69" s="265"/>
      <c r="B69" s="4"/>
      <c r="C69" s="267"/>
      <c r="D69" s="270"/>
      <c r="E69" s="270"/>
      <c r="F69" s="268"/>
      <c r="G69" s="268"/>
      <c r="H69" s="268"/>
      <c r="I69" s="146"/>
      <c r="J69" s="154"/>
    </row>
    <row r="70" spans="1:10" x14ac:dyDescent="0.2">
      <c r="A70" s="265"/>
      <c r="B70" s="4"/>
      <c r="C70" s="267"/>
      <c r="D70" s="267"/>
      <c r="E70" s="270"/>
      <c r="F70" s="268"/>
      <c r="G70" s="268"/>
      <c r="H70" s="268"/>
      <c r="I70" s="146"/>
      <c r="J70" s="154"/>
    </row>
    <row r="71" spans="1:10" x14ac:dyDescent="0.2">
      <c r="A71" s="265"/>
      <c r="B71" s="4"/>
      <c r="C71" s="267"/>
      <c r="D71" s="270"/>
      <c r="E71" s="270"/>
      <c r="F71" s="268"/>
      <c r="G71" s="268"/>
      <c r="H71" s="268"/>
      <c r="I71" s="154"/>
      <c r="J71" s="154"/>
    </row>
    <row r="72" spans="1:10" x14ac:dyDescent="0.2">
      <c r="A72" s="265"/>
      <c r="B72" s="4"/>
      <c r="C72" s="267"/>
      <c r="D72" s="270"/>
      <c r="E72" s="270"/>
      <c r="F72" s="268"/>
      <c r="G72" s="268"/>
      <c r="H72" s="268"/>
      <c r="I72" s="154"/>
      <c r="J72" s="154"/>
    </row>
    <row r="73" spans="1:10" x14ac:dyDescent="0.2">
      <c r="A73" s="265"/>
      <c r="B73" s="4"/>
      <c r="C73" s="267"/>
      <c r="D73" s="267"/>
      <c r="E73" s="270"/>
      <c r="F73" s="268"/>
      <c r="G73" s="268"/>
      <c r="H73" s="268"/>
      <c r="I73" s="154"/>
      <c r="J73" s="154"/>
    </row>
    <row r="74" spans="1:10" x14ac:dyDescent="0.2">
      <c r="A74" s="265"/>
      <c r="B74" s="4"/>
      <c r="C74" s="267"/>
      <c r="D74" s="270"/>
      <c r="E74" s="270"/>
      <c r="F74" s="268"/>
      <c r="G74" s="268"/>
      <c r="H74" s="268"/>
      <c r="I74" s="154"/>
      <c r="J74" s="154"/>
    </row>
    <row r="75" spans="1:10" x14ac:dyDescent="0.2">
      <c r="A75" s="265"/>
      <c r="B75" s="4"/>
      <c r="C75" s="267"/>
      <c r="D75" s="270"/>
      <c r="E75" s="270"/>
      <c r="F75" s="268"/>
      <c r="G75" s="268"/>
      <c r="H75" s="268"/>
      <c r="I75" s="154"/>
      <c r="J75" s="154"/>
    </row>
    <row r="76" spans="1:10" x14ac:dyDescent="0.2">
      <c r="A76" s="265"/>
      <c r="B76" s="4"/>
      <c r="C76" s="267"/>
      <c r="D76" s="267"/>
      <c r="E76" s="270"/>
      <c r="F76" s="268"/>
      <c r="G76" s="268"/>
      <c r="H76" s="268"/>
      <c r="I76" s="154"/>
      <c r="J76" s="154"/>
    </row>
    <row r="77" spans="1:10" x14ac:dyDescent="0.2">
      <c r="A77" s="265"/>
      <c r="B77" s="4"/>
      <c r="C77" s="267"/>
      <c r="D77" s="270"/>
      <c r="E77" s="270"/>
      <c r="F77" s="268"/>
      <c r="G77" s="268"/>
      <c r="H77" s="268"/>
      <c r="I77" s="154"/>
      <c r="J77" s="154"/>
    </row>
    <row r="78" spans="1:10" x14ac:dyDescent="0.2">
      <c r="A78" s="265"/>
      <c r="B78" s="4"/>
      <c r="C78" s="267"/>
      <c r="D78" s="270"/>
      <c r="E78" s="270"/>
      <c r="F78" s="268"/>
      <c r="G78" s="268"/>
      <c r="H78" s="268"/>
      <c r="I78" s="154"/>
      <c r="J78" s="154"/>
    </row>
    <row r="79" spans="1:10" x14ac:dyDescent="0.2">
      <c r="A79" s="265"/>
      <c r="B79" s="4"/>
      <c r="C79" s="267"/>
      <c r="D79" s="267"/>
      <c r="E79" s="270"/>
      <c r="F79" s="268"/>
      <c r="G79" s="268"/>
      <c r="H79" s="268"/>
      <c r="I79" s="154"/>
      <c r="J79" s="154"/>
    </row>
    <row r="80" spans="1:10" x14ac:dyDescent="0.2">
      <c r="A80" s="265"/>
      <c r="B80" s="4"/>
      <c r="C80" s="267"/>
      <c r="D80" s="270"/>
      <c r="E80" s="270"/>
      <c r="F80" s="268"/>
      <c r="G80" s="268"/>
      <c r="H80" s="268"/>
      <c r="I80" s="154"/>
      <c r="J80" s="154"/>
    </row>
    <row r="81" spans="1:11" x14ac:dyDescent="0.2">
      <c r="A81" s="265"/>
      <c r="B81" s="4"/>
      <c r="C81" s="267"/>
      <c r="D81" s="270"/>
      <c r="E81" s="270"/>
      <c r="F81" s="268"/>
      <c r="G81" s="268"/>
      <c r="H81" s="268"/>
      <c r="I81" s="154"/>
      <c r="J81" s="154"/>
    </row>
    <row r="82" spans="1:11" x14ac:dyDescent="0.2">
      <c r="A82" s="265"/>
      <c r="B82" s="4"/>
      <c r="C82" s="267"/>
      <c r="D82" s="267"/>
      <c r="E82" s="270"/>
      <c r="F82" s="268"/>
      <c r="G82" s="268"/>
      <c r="H82" s="268"/>
      <c r="I82" s="154"/>
      <c r="J82" s="154"/>
    </row>
    <row r="84" spans="1:11" x14ac:dyDescent="0.2">
      <c r="A84" s="137" t="s">
        <v>611</v>
      </c>
      <c r="J84" s="271"/>
      <c r="K84" s="137"/>
    </row>
    <row r="109" spans="1:11" x14ac:dyDescent="0.2">
      <c r="A109" s="137"/>
      <c r="J109" s="271"/>
      <c r="K109" s="581"/>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70C0"/>
  </sheetPr>
  <dimension ref="A1:Q33"/>
  <sheetViews>
    <sheetView workbookViewId="0"/>
  </sheetViews>
  <sheetFormatPr defaultColWidth="9.140625" defaultRowHeight="12.75" x14ac:dyDescent="0.2"/>
  <cols>
    <col min="1" max="1" width="25.7109375" style="117" bestFit="1" customWidth="1"/>
    <col min="2" max="2" width="9.85546875" style="117" bestFit="1" customWidth="1"/>
    <col min="3" max="16384" width="9.140625" style="117"/>
  </cols>
  <sheetData>
    <row r="1" spans="1:17" x14ac:dyDescent="0.2">
      <c r="A1" s="116" t="s">
        <v>360</v>
      </c>
    </row>
    <row r="2" spans="1:17" x14ac:dyDescent="0.2">
      <c r="A2" s="116"/>
    </row>
    <row r="3" spans="1:17" x14ac:dyDescent="0.2">
      <c r="A3" s="137" t="s">
        <v>237</v>
      </c>
      <c r="B3" s="139" t="str">
        <f>IF(HLOOKUP(MAX(B9:Q9),A9:Q11,3,0)&lt;HLOOKUP(MAX(B9:Q9),A9:Q11,2,0),"Better", "Worse")</f>
        <v>Worse</v>
      </c>
      <c r="C3" s="122" t="b">
        <f>IF(HLOOKUP(MAX(B9:Q9),A9:Q11,3,0)=HLOOKUP(MAX(B9:Q9),A9:Q11,2,0),"Equal")</f>
        <v>0</v>
      </c>
    </row>
    <row r="4" spans="1:17" x14ac:dyDescent="0.2">
      <c r="A4" s="137" t="s">
        <v>238</v>
      </c>
      <c r="B4" s="139" t="str">
        <f>IF(HLOOKUP(MAX(B14:Q14),A14:Q16,3,0)&lt;HLOOKUP(MAX(B14:Q14),A14:Q16,2,0),"Better", "Worse")</f>
        <v>Better</v>
      </c>
      <c r="C4" s="122" t="b">
        <f>IF(HLOOKUP(MAX(B14:Q14),A14:Q16,3,0)=HLOOKUP(MAX(B14:Q14),A14:Q16,2,0),"Equal")</f>
        <v>0</v>
      </c>
    </row>
    <row r="5" spans="1:17" x14ac:dyDescent="0.2">
      <c r="A5" s="137" t="s">
        <v>148</v>
      </c>
      <c r="B5" s="138">
        <f>MAX(B9:Q9)</f>
        <v>42795</v>
      </c>
    </row>
    <row r="6" spans="1:17" x14ac:dyDescent="0.2">
      <c r="A6" s="137" t="s">
        <v>215</v>
      </c>
      <c r="B6" s="138" t="s">
        <v>234</v>
      </c>
    </row>
    <row r="7" spans="1:17" x14ac:dyDescent="0.2">
      <c r="A7" s="137"/>
      <c r="B7" s="138"/>
    </row>
    <row r="8" spans="1:17" x14ac:dyDescent="0.2">
      <c r="A8" s="137"/>
    </row>
    <row r="9" spans="1:17" x14ac:dyDescent="0.2">
      <c r="A9" s="144" t="s">
        <v>235</v>
      </c>
      <c r="B9" s="167">
        <v>42156</v>
      </c>
      <c r="C9" s="167">
        <v>42248</v>
      </c>
      <c r="D9" s="167">
        <v>42339</v>
      </c>
      <c r="E9" s="167">
        <v>42430</v>
      </c>
      <c r="F9" s="167">
        <v>42522</v>
      </c>
      <c r="G9" s="167">
        <v>42614</v>
      </c>
      <c r="H9" s="167">
        <v>42705</v>
      </c>
      <c r="I9" s="549">
        <v>42795</v>
      </c>
      <c r="J9" s="167"/>
      <c r="K9" s="167"/>
      <c r="L9" s="167"/>
      <c r="M9" s="167"/>
      <c r="N9" s="167"/>
      <c r="O9" s="167"/>
      <c r="P9" s="167"/>
      <c r="Q9" s="167"/>
    </row>
    <row r="10" spans="1:17" x14ac:dyDescent="0.2">
      <c r="A10" s="168" t="s">
        <v>386</v>
      </c>
      <c r="B10" s="274">
        <v>0.32</v>
      </c>
      <c r="C10" s="274">
        <v>0.36</v>
      </c>
      <c r="D10" s="274">
        <v>0.38</v>
      </c>
      <c r="E10" s="275">
        <v>0.27</v>
      </c>
      <c r="F10" s="195">
        <v>0.27</v>
      </c>
      <c r="G10" s="274">
        <v>0.31</v>
      </c>
      <c r="H10" s="274">
        <v>0.27</v>
      </c>
      <c r="I10" s="274">
        <v>0.26</v>
      </c>
      <c r="J10" s="274"/>
      <c r="K10" s="274"/>
      <c r="L10" s="274"/>
      <c r="M10" s="275"/>
      <c r="N10" s="195"/>
      <c r="O10" s="274"/>
      <c r="P10" s="274"/>
      <c r="Q10" s="274"/>
    </row>
    <row r="11" spans="1:17" x14ac:dyDescent="0.2">
      <c r="A11" s="168" t="s">
        <v>387</v>
      </c>
      <c r="B11" s="274">
        <v>0.36</v>
      </c>
      <c r="C11" s="274">
        <v>0.47</v>
      </c>
      <c r="D11" s="274">
        <v>0.4</v>
      </c>
      <c r="E11" s="274">
        <v>0.3</v>
      </c>
      <c r="F11" s="274">
        <v>0.36</v>
      </c>
      <c r="G11" s="274">
        <v>0.25</v>
      </c>
      <c r="H11" s="274">
        <v>0.22</v>
      </c>
      <c r="I11" s="274">
        <v>0.3</v>
      </c>
      <c r="J11" s="274"/>
      <c r="K11" s="274"/>
      <c r="L11" s="274"/>
      <c r="M11" s="274"/>
      <c r="N11" s="274"/>
      <c r="O11" s="274"/>
      <c r="P11" s="274"/>
      <c r="Q11" s="274"/>
    </row>
    <row r="14" spans="1:17" x14ac:dyDescent="0.2">
      <c r="A14" s="144" t="s">
        <v>236</v>
      </c>
      <c r="B14" s="167">
        <v>42156</v>
      </c>
      <c r="C14" s="167">
        <v>42248</v>
      </c>
      <c r="D14" s="167">
        <v>42339</v>
      </c>
      <c r="E14" s="167">
        <v>42430</v>
      </c>
      <c r="F14" s="167">
        <v>42522</v>
      </c>
      <c r="G14" s="167">
        <v>42614</v>
      </c>
      <c r="H14" s="167">
        <v>42705</v>
      </c>
      <c r="I14" s="549">
        <v>42795</v>
      </c>
      <c r="J14" s="167"/>
      <c r="K14" s="167"/>
      <c r="L14" s="167"/>
      <c r="M14" s="167"/>
      <c r="N14" s="167"/>
      <c r="O14" s="167"/>
      <c r="P14" s="167"/>
      <c r="Q14" s="167"/>
    </row>
    <row r="15" spans="1:17" x14ac:dyDescent="0.2">
      <c r="A15" s="168" t="s">
        <v>386</v>
      </c>
      <c r="B15" s="274">
        <v>0.33</v>
      </c>
      <c r="C15" s="274">
        <v>0.32</v>
      </c>
      <c r="D15" s="274">
        <v>0.32</v>
      </c>
      <c r="E15" s="275">
        <v>0.32</v>
      </c>
      <c r="F15" s="195">
        <v>0.31</v>
      </c>
      <c r="G15" s="274">
        <v>0.33</v>
      </c>
      <c r="H15" s="274">
        <v>0.33</v>
      </c>
      <c r="I15" s="274">
        <v>0.33</v>
      </c>
      <c r="J15" s="274"/>
      <c r="K15" s="274"/>
      <c r="L15" s="274"/>
      <c r="M15" s="275"/>
      <c r="N15" s="195"/>
      <c r="O15" s="274"/>
      <c r="P15" s="274"/>
      <c r="Q15" s="274"/>
    </row>
    <row r="16" spans="1:17" x14ac:dyDescent="0.2">
      <c r="A16" s="168" t="s">
        <v>387</v>
      </c>
      <c r="B16" s="274">
        <v>0.4</v>
      </c>
      <c r="C16" s="274">
        <v>0.26</v>
      </c>
      <c r="D16" s="274">
        <v>0.22</v>
      </c>
      <c r="E16" s="274">
        <v>0.33</v>
      </c>
      <c r="F16" s="274">
        <v>0.31</v>
      </c>
      <c r="G16" s="274">
        <v>0.33</v>
      </c>
      <c r="H16" s="274">
        <v>0.3</v>
      </c>
      <c r="I16" s="274">
        <v>0.28999999999999998</v>
      </c>
      <c r="J16" s="274"/>
      <c r="K16" s="274"/>
      <c r="L16" s="274"/>
      <c r="M16" s="274"/>
      <c r="N16" s="274"/>
      <c r="O16" s="274"/>
      <c r="P16" s="274"/>
      <c r="Q16" s="274"/>
    </row>
    <row r="33" spans="15:15" x14ac:dyDescent="0.2">
      <c r="O33"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84"/>
  <sheetViews>
    <sheetView workbookViewId="0"/>
  </sheetViews>
  <sheetFormatPr defaultColWidth="9.140625" defaultRowHeight="12.75" x14ac:dyDescent="0.2"/>
  <cols>
    <col min="1" max="1" width="19.5703125" style="151" bestFit="1" customWidth="1"/>
    <col min="2" max="2" width="9.85546875" style="151" customWidth="1"/>
    <col min="3" max="5" width="9.140625" style="151"/>
    <col min="6" max="6" width="12.28515625" style="151" bestFit="1" customWidth="1"/>
    <col min="7" max="7" width="12" style="151" bestFit="1" customWidth="1"/>
    <col min="8" max="8" width="19.28515625" style="151" bestFit="1" customWidth="1"/>
    <col min="9" max="16384" width="9.140625" style="151"/>
  </cols>
  <sheetData>
    <row r="1" spans="1:10" x14ac:dyDescent="0.2">
      <c r="A1" s="298" t="s">
        <v>360</v>
      </c>
      <c r="B1" s="155"/>
      <c r="C1" s="450"/>
      <c r="D1" s="155"/>
      <c r="E1" s="155"/>
      <c r="F1" s="155"/>
      <c r="G1" s="155"/>
      <c r="H1" s="155"/>
    </row>
    <row r="2" spans="1:10" x14ac:dyDescent="0.2">
      <c r="A2" s="298"/>
      <c r="B2" s="155"/>
      <c r="C2" s="155"/>
      <c r="D2" s="155"/>
      <c r="E2" s="155"/>
      <c r="F2" s="155"/>
      <c r="G2" s="155"/>
      <c r="H2" s="155"/>
    </row>
    <row r="3" spans="1:10" x14ac:dyDescent="0.2">
      <c r="A3" s="118" t="s">
        <v>454</v>
      </c>
      <c r="B3" s="155" t="s">
        <v>455</v>
      </c>
      <c r="C3" s="155"/>
      <c r="D3" s="155"/>
      <c r="E3" s="155"/>
      <c r="F3" s="155"/>
      <c r="G3" s="155"/>
      <c r="H3" s="155"/>
    </row>
    <row r="4" spans="1:10" x14ac:dyDescent="0.2">
      <c r="A4" s="118" t="s">
        <v>147</v>
      </c>
      <c r="B4" s="438">
        <f>VLOOKUP(MAX(A10:A57),A10:H57,6,0)</f>
        <v>0.95099999999999996</v>
      </c>
      <c r="C4" s="155"/>
      <c r="D4" s="137"/>
      <c r="E4" s="155"/>
      <c r="F4" s="155"/>
      <c r="G4" s="155"/>
      <c r="H4" s="155"/>
    </row>
    <row r="5" spans="1:10" x14ac:dyDescent="0.2">
      <c r="A5" s="118" t="s">
        <v>119</v>
      </c>
      <c r="B5" s="419">
        <f>MAX(A10:A57)</f>
        <v>42948</v>
      </c>
      <c r="C5" s="155"/>
      <c r="D5" s="155"/>
      <c r="E5" s="155"/>
      <c r="F5" s="155"/>
      <c r="G5" s="155"/>
      <c r="H5" s="155"/>
    </row>
    <row r="6" spans="1:10" x14ac:dyDescent="0.2">
      <c r="A6" s="118" t="s">
        <v>201</v>
      </c>
      <c r="B6" s="419"/>
      <c r="C6" s="155"/>
      <c r="D6" s="155"/>
      <c r="E6" s="155"/>
      <c r="F6" s="155"/>
      <c r="G6" s="155"/>
      <c r="H6" s="155"/>
    </row>
    <row r="7" spans="1:10" x14ac:dyDescent="0.2">
      <c r="A7" s="118" t="s">
        <v>456</v>
      </c>
      <c r="B7" s="439" t="s">
        <v>133</v>
      </c>
      <c r="C7" s="155"/>
      <c r="D7" s="155"/>
      <c r="E7" s="155"/>
      <c r="F7" s="155"/>
      <c r="G7" s="155"/>
      <c r="H7" s="155"/>
    </row>
    <row r="8" spans="1:10" x14ac:dyDescent="0.2">
      <c r="A8" s="99"/>
      <c r="B8" s="155"/>
      <c r="C8" s="155"/>
      <c r="D8" s="155"/>
      <c r="E8" s="155"/>
      <c r="F8" s="440" t="s">
        <v>476</v>
      </c>
      <c r="G8" s="155"/>
      <c r="H8" s="155"/>
    </row>
    <row r="9" spans="1:10" ht="15" x14ac:dyDescent="0.25">
      <c r="A9" s="135"/>
      <c r="B9" s="135" t="s">
        <v>327</v>
      </c>
      <c r="C9" s="135" t="s">
        <v>328</v>
      </c>
      <c r="D9" s="135" t="s">
        <v>329</v>
      </c>
      <c r="E9" s="135" t="s">
        <v>330</v>
      </c>
      <c r="F9" s="135" t="s">
        <v>387</v>
      </c>
      <c r="G9" s="135" t="s">
        <v>15</v>
      </c>
      <c r="H9" s="135" t="s">
        <v>17</v>
      </c>
      <c r="J9" t="s">
        <v>385</v>
      </c>
    </row>
    <row r="10" spans="1:10" ht="15" x14ac:dyDescent="0.25">
      <c r="A10" s="124">
        <v>42095</v>
      </c>
      <c r="B10" s="97">
        <v>0.93634823130692646</v>
      </c>
      <c r="C10" s="97">
        <v>0.88209479227618492</v>
      </c>
      <c r="D10" s="98">
        <v>0.98481675392670154</v>
      </c>
      <c r="E10" s="98">
        <v>0.93286138387759765</v>
      </c>
      <c r="F10" s="73">
        <v>0.93560947813286477</v>
      </c>
      <c r="G10" s="97">
        <v>0.98</v>
      </c>
      <c r="H10" s="97">
        <v>0.95</v>
      </c>
      <c r="I10" s="441" t="s">
        <v>274</v>
      </c>
      <c r="J10" s="442" t="s">
        <v>385</v>
      </c>
    </row>
    <row r="11" spans="1:10" x14ac:dyDescent="0.2">
      <c r="A11" s="124">
        <v>42125</v>
      </c>
      <c r="B11" s="97">
        <v>0.947903694479037</v>
      </c>
      <c r="C11" s="97">
        <v>0.87503550127804597</v>
      </c>
      <c r="D11" s="98">
        <v>0.98650752464971458</v>
      </c>
      <c r="E11" s="98">
        <v>0.9359197907585004</v>
      </c>
      <c r="F11" s="73">
        <v>0.94036760961155608</v>
      </c>
      <c r="G11" s="97">
        <v>0.98</v>
      </c>
      <c r="H11" s="97">
        <v>0.95</v>
      </c>
      <c r="I11" s="441" t="s">
        <v>275</v>
      </c>
      <c r="J11" s="441"/>
    </row>
    <row r="12" spans="1:10" x14ac:dyDescent="0.2">
      <c r="A12" s="124">
        <v>42156</v>
      </c>
      <c r="B12" s="97">
        <v>0.94420918907474061</v>
      </c>
      <c r="C12" s="97">
        <v>0.90618818875388529</v>
      </c>
      <c r="D12" s="98">
        <v>0.99079673941625035</v>
      </c>
      <c r="E12" s="98">
        <v>0.94688922610015169</v>
      </c>
      <c r="F12" s="73">
        <v>0.94677818793514323</v>
      </c>
      <c r="G12" s="97">
        <v>0.98</v>
      </c>
      <c r="H12" s="97">
        <v>0.95</v>
      </c>
      <c r="I12" s="441" t="s">
        <v>276</v>
      </c>
      <c r="J12" s="441"/>
    </row>
    <row r="13" spans="1:10" x14ac:dyDescent="0.2">
      <c r="A13" s="124">
        <v>42186</v>
      </c>
      <c r="B13" s="97">
        <v>0.94160432252701576</v>
      </c>
      <c r="C13" s="97">
        <v>0.8809861150467555</v>
      </c>
      <c r="D13" s="98">
        <v>0.98656859609849701</v>
      </c>
      <c r="E13" s="98">
        <v>0.94427095844343023</v>
      </c>
      <c r="F13" s="73">
        <v>0.93856087658367171</v>
      </c>
      <c r="G13" s="97">
        <v>0.98</v>
      </c>
      <c r="H13" s="97">
        <v>0.95</v>
      </c>
      <c r="I13" s="441" t="s">
        <v>277</v>
      </c>
      <c r="J13" s="441"/>
    </row>
    <row r="14" spans="1:10" x14ac:dyDescent="0.2">
      <c r="A14" s="124">
        <v>42217</v>
      </c>
      <c r="B14" s="97">
        <v>0.93950211366838887</v>
      </c>
      <c r="C14" s="97">
        <v>0.90554089709762531</v>
      </c>
      <c r="D14" s="98">
        <v>0.99011857707509876</v>
      </c>
      <c r="E14" s="98">
        <v>0.95279912184412729</v>
      </c>
      <c r="F14" s="73">
        <v>0.9446</v>
      </c>
      <c r="G14" s="97">
        <v>0.98</v>
      </c>
      <c r="H14" s="97">
        <v>0.95</v>
      </c>
      <c r="I14" s="441" t="s">
        <v>278</v>
      </c>
      <c r="J14" s="441"/>
    </row>
    <row r="15" spans="1:10" x14ac:dyDescent="0.2">
      <c r="A15" s="124">
        <v>42248</v>
      </c>
      <c r="B15" s="97">
        <v>0.94714714714714709</v>
      </c>
      <c r="C15" s="97">
        <v>0.83632050606220343</v>
      </c>
      <c r="D15" s="98">
        <v>0.98873377418564778</v>
      </c>
      <c r="E15" s="98">
        <v>0.96563418494234687</v>
      </c>
      <c r="F15" s="73">
        <v>0.93956931359353968</v>
      </c>
      <c r="G15" s="97">
        <v>0.98</v>
      </c>
      <c r="H15" s="97">
        <v>0.95</v>
      </c>
      <c r="I15" s="441" t="s">
        <v>279</v>
      </c>
      <c r="J15" s="441"/>
    </row>
    <row r="16" spans="1:10" x14ac:dyDescent="0.2">
      <c r="A16" s="124">
        <v>42278</v>
      </c>
      <c r="B16" s="97">
        <v>0.95478537994223678</v>
      </c>
      <c r="C16" s="97">
        <v>0.86456605859590929</v>
      </c>
      <c r="D16" s="98">
        <v>0.98581377353623934</v>
      </c>
      <c r="E16" s="98">
        <v>0.94644883140458358</v>
      </c>
      <c r="F16" s="73">
        <v>0.94371781433714619</v>
      </c>
      <c r="G16" s="97">
        <v>0.98</v>
      </c>
      <c r="H16" s="97">
        <v>0.95</v>
      </c>
      <c r="I16" s="441" t="s">
        <v>280</v>
      </c>
      <c r="J16" s="441"/>
    </row>
    <row r="17" spans="1:10" x14ac:dyDescent="0.2">
      <c r="A17" s="124">
        <v>42309</v>
      </c>
      <c r="B17" s="97">
        <v>0.94</v>
      </c>
      <c r="C17" s="97">
        <v>0.84860788863109049</v>
      </c>
      <c r="D17" s="98">
        <v>0.97422680412371132</v>
      </c>
      <c r="E17" s="98">
        <v>0.9514837494112105</v>
      </c>
      <c r="F17" s="73">
        <v>0.93443457338515634</v>
      </c>
      <c r="G17" s="97">
        <v>0.98</v>
      </c>
      <c r="H17" s="97">
        <v>0.95</v>
      </c>
      <c r="I17" s="441" t="s">
        <v>281</v>
      </c>
      <c r="J17" s="441"/>
    </row>
    <row r="18" spans="1:10" x14ac:dyDescent="0.2">
      <c r="A18" s="124">
        <v>42339</v>
      </c>
      <c r="B18" s="97">
        <v>0.91494154242196712</v>
      </c>
      <c r="C18" s="97">
        <v>0.83577981651376143</v>
      </c>
      <c r="D18" s="98">
        <v>0.98346225660176045</v>
      </c>
      <c r="E18" s="98">
        <v>0.94416590701914316</v>
      </c>
      <c r="F18" s="73">
        <v>0.92103232030873128</v>
      </c>
      <c r="G18" s="97">
        <v>0.98</v>
      </c>
      <c r="H18" s="97">
        <v>0.95</v>
      </c>
      <c r="I18" s="441" t="s">
        <v>270</v>
      </c>
      <c r="J18" s="441"/>
    </row>
    <row r="19" spans="1:10" x14ac:dyDescent="0.2">
      <c r="A19" s="124">
        <v>42370</v>
      </c>
      <c r="B19" s="97">
        <v>0.8672001620745543</v>
      </c>
      <c r="C19" s="97">
        <v>0.80123526108927567</v>
      </c>
      <c r="D19" s="98">
        <v>0.97980871413390014</v>
      </c>
      <c r="E19" s="98">
        <v>0.90829884556741447</v>
      </c>
      <c r="F19" s="73">
        <v>0.88452889072467755</v>
      </c>
      <c r="G19" s="97">
        <v>0.98</v>
      </c>
      <c r="H19" s="97">
        <v>0.95</v>
      </c>
      <c r="I19" s="441" t="s">
        <v>271</v>
      </c>
      <c r="J19" s="441"/>
    </row>
    <row r="20" spans="1:10" x14ac:dyDescent="0.2">
      <c r="A20" s="124">
        <v>42401</v>
      </c>
      <c r="B20" s="97">
        <v>0.84599999999999997</v>
      </c>
      <c r="C20" s="97">
        <v>0.86211699164345401</v>
      </c>
      <c r="D20" s="98">
        <v>0.97550505050505054</v>
      </c>
      <c r="E20" s="98">
        <v>0.86932344763670066</v>
      </c>
      <c r="F20" s="73">
        <v>0.88010466311559665</v>
      </c>
      <c r="G20" s="97">
        <v>0.98</v>
      </c>
      <c r="H20" s="97">
        <v>0.95</v>
      </c>
      <c r="I20" s="441" t="s">
        <v>272</v>
      </c>
      <c r="J20" s="441"/>
    </row>
    <row r="21" spans="1:10" x14ac:dyDescent="0.2">
      <c r="A21" s="124">
        <v>42430</v>
      </c>
      <c r="B21" s="97">
        <v>0.92656461925983336</v>
      </c>
      <c r="C21" s="97">
        <v>0.82601797990481229</v>
      </c>
      <c r="D21" s="98">
        <v>0.97885970531710442</v>
      </c>
      <c r="E21" s="98">
        <v>0.92527060782681103</v>
      </c>
      <c r="F21" s="73">
        <v>0.92056292653978211</v>
      </c>
      <c r="G21" s="97">
        <v>0.98</v>
      </c>
      <c r="H21" s="97">
        <v>0.95</v>
      </c>
      <c r="I21" s="441" t="s">
        <v>273</v>
      </c>
      <c r="J21" s="441"/>
    </row>
    <row r="22" spans="1:10" x14ac:dyDescent="0.2">
      <c r="A22" s="124">
        <v>42461</v>
      </c>
      <c r="B22" s="97">
        <v>0.9433237271853987</v>
      </c>
      <c r="C22" s="97">
        <v>0.8392857142857143</v>
      </c>
      <c r="D22" s="98">
        <v>0.98250000000000004</v>
      </c>
      <c r="E22" s="98">
        <v>0.94607523374646663</v>
      </c>
      <c r="F22" s="73">
        <v>0.9341058215831356</v>
      </c>
      <c r="G22" s="97">
        <v>0.98</v>
      </c>
      <c r="H22" s="97">
        <v>0.95</v>
      </c>
    </row>
    <row r="23" spans="1:10" x14ac:dyDescent="0.2">
      <c r="A23" s="124">
        <v>42491</v>
      </c>
      <c r="B23" s="97">
        <v>0.91297695323706607</v>
      </c>
      <c r="C23" s="97">
        <v>0.9071556809438317</v>
      </c>
      <c r="D23" s="98">
        <v>0.98713195201744819</v>
      </c>
      <c r="E23" s="98">
        <v>0.94600518031480374</v>
      </c>
      <c r="F23" s="73">
        <v>0.93313856427378961</v>
      </c>
      <c r="G23" s="97">
        <v>0.98</v>
      </c>
      <c r="H23" s="97">
        <v>0.95</v>
      </c>
    </row>
    <row r="24" spans="1:10" x14ac:dyDescent="0.2">
      <c r="A24" s="124">
        <v>42522</v>
      </c>
      <c r="B24" s="97">
        <v>0.94420000000000004</v>
      </c>
      <c r="C24" s="97">
        <v>0.93100000000000005</v>
      </c>
      <c r="D24" s="98">
        <v>0.98203592814371254</v>
      </c>
      <c r="E24" s="98">
        <v>0.96791554543572755</v>
      </c>
      <c r="F24" s="73">
        <v>0.95496629213483142</v>
      </c>
      <c r="G24" s="97">
        <v>0.98</v>
      </c>
      <c r="H24" s="97">
        <v>0.95</v>
      </c>
    </row>
    <row r="25" spans="1:10" x14ac:dyDescent="0.2">
      <c r="A25" s="124">
        <v>42552</v>
      </c>
      <c r="B25" s="97">
        <v>0.97212366953877349</v>
      </c>
      <c r="C25" s="97">
        <v>0.95439377085650723</v>
      </c>
      <c r="D25" s="98">
        <v>0.99043919928294</v>
      </c>
      <c r="E25" s="98">
        <v>0.96770525358198767</v>
      </c>
      <c r="F25" s="73">
        <v>0.97109172365008256</v>
      </c>
      <c r="G25" s="97">
        <v>0.98</v>
      </c>
      <c r="H25" s="97">
        <v>0.95</v>
      </c>
    </row>
    <row r="26" spans="1:10" x14ac:dyDescent="0.2">
      <c r="A26" s="124">
        <v>42583</v>
      </c>
      <c r="B26" s="97">
        <v>0.94399999999999995</v>
      </c>
      <c r="C26" s="97">
        <v>0.88100000000000001</v>
      </c>
      <c r="D26" s="98">
        <v>0.98699999999999999</v>
      </c>
      <c r="E26" s="98">
        <v>0.96599999999999997</v>
      </c>
      <c r="F26" s="73">
        <v>0.94399999999999995</v>
      </c>
      <c r="G26" s="97">
        <v>0.98</v>
      </c>
      <c r="H26" s="97">
        <v>0.95</v>
      </c>
    </row>
    <row r="27" spans="1:10" x14ac:dyDescent="0.2">
      <c r="A27" s="124">
        <v>42614</v>
      </c>
      <c r="B27" s="97">
        <v>0.92100000000000004</v>
      </c>
      <c r="C27" s="97">
        <v>0.871</v>
      </c>
      <c r="D27" s="98">
        <v>0.98599999999999999</v>
      </c>
      <c r="E27" s="98">
        <v>0.96450000000000002</v>
      </c>
      <c r="F27" s="73">
        <v>0.93200000000000005</v>
      </c>
      <c r="G27" s="97">
        <v>0.98</v>
      </c>
      <c r="H27" s="97">
        <v>0.95</v>
      </c>
    </row>
    <row r="28" spans="1:10" x14ac:dyDescent="0.2">
      <c r="A28" s="124">
        <v>42644</v>
      </c>
      <c r="B28" s="97">
        <v>0.9226454089164452</v>
      </c>
      <c r="C28" s="97">
        <v>0.89069942341438957</v>
      </c>
      <c r="D28" s="98">
        <v>0.9820100743583593</v>
      </c>
      <c r="E28" s="98">
        <v>0.9383011079730611</v>
      </c>
      <c r="F28" s="73">
        <v>0.93102696099816773</v>
      </c>
      <c r="G28" s="97">
        <v>0.98</v>
      </c>
      <c r="H28" s="97">
        <v>0.95</v>
      </c>
    </row>
    <row r="29" spans="1:10" x14ac:dyDescent="0.2">
      <c r="A29" s="124">
        <v>42675</v>
      </c>
      <c r="B29" s="97">
        <v>0.94399999999999995</v>
      </c>
      <c r="C29" s="97">
        <v>0.874</v>
      </c>
      <c r="D29" s="98">
        <v>0.97199999999999998</v>
      </c>
      <c r="E29" s="98">
        <v>0.97599999999999998</v>
      </c>
      <c r="F29" s="73">
        <v>0.94499999999999995</v>
      </c>
      <c r="G29" s="97">
        <v>0.98</v>
      </c>
      <c r="H29" s="97">
        <v>0.95</v>
      </c>
    </row>
    <row r="30" spans="1:10" x14ac:dyDescent="0.2">
      <c r="A30" s="124">
        <v>42705</v>
      </c>
      <c r="B30" s="97">
        <v>0.91400000000000003</v>
      </c>
      <c r="C30" s="97">
        <v>0.86499999999999999</v>
      </c>
      <c r="D30" s="97">
        <v>0.97599999999999998</v>
      </c>
      <c r="E30" s="97">
        <v>0.94399999999999995</v>
      </c>
      <c r="F30" s="60">
        <v>0.92400000000000004</v>
      </c>
      <c r="G30" s="97">
        <v>0.98</v>
      </c>
      <c r="H30" s="97">
        <v>0.95</v>
      </c>
    </row>
    <row r="31" spans="1:10" x14ac:dyDescent="0.2">
      <c r="A31" s="124">
        <v>42736</v>
      </c>
      <c r="B31" s="97">
        <v>0.93200000000000005</v>
      </c>
      <c r="C31" s="97">
        <v>0.84799999999999998</v>
      </c>
      <c r="D31" s="97">
        <v>0.98199999999999998</v>
      </c>
      <c r="E31" s="97">
        <v>0.94099999999999995</v>
      </c>
      <c r="F31" s="60">
        <v>0.92800000000000005</v>
      </c>
      <c r="G31" s="97">
        <v>0.98</v>
      </c>
      <c r="H31" s="97">
        <v>0.95</v>
      </c>
    </row>
    <row r="32" spans="1:10" x14ac:dyDescent="0.2">
      <c r="A32" s="124">
        <v>42767</v>
      </c>
      <c r="B32" s="97">
        <v>0.94230000000000003</v>
      </c>
      <c r="C32" s="97">
        <v>0.83479999999999999</v>
      </c>
      <c r="D32" s="97">
        <v>0.97709999999999997</v>
      </c>
      <c r="E32" s="97">
        <v>0.9546</v>
      </c>
      <c r="F32" s="60">
        <v>0.93200000000000005</v>
      </c>
      <c r="G32" s="97">
        <v>0.98</v>
      </c>
      <c r="H32" s="97">
        <v>0.95</v>
      </c>
    </row>
    <row r="33" spans="1:8" x14ac:dyDescent="0.2">
      <c r="A33" s="124">
        <v>42795</v>
      </c>
      <c r="B33" s="97">
        <v>0.95899999999999996</v>
      </c>
      <c r="C33" s="97">
        <v>0.93200000000000005</v>
      </c>
      <c r="D33" s="97">
        <v>0.97699999999999998</v>
      </c>
      <c r="E33" s="97">
        <v>0.95499999999999996</v>
      </c>
      <c r="F33" s="60">
        <v>0.95699999999999996</v>
      </c>
      <c r="G33" s="97">
        <v>0.98</v>
      </c>
      <c r="H33" s="97">
        <v>0.95</v>
      </c>
    </row>
    <row r="34" spans="1:8" x14ac:dyDescent="0.2">
      <c r="A34" s="124">
        <v>42826</v>
      </c>
      <c r="B34" s="97">
        <v>0.94599999999999995</v>
      </c>
      <c r="C34" s="97">
        <v>0.91500000000000004</v>
      </c>
      <c r="D34" s="97">
        <v>0.98299999999999998</v>
      </c>
      <c r="E34" s="97">
        <v>0.96799999999999997</v>
      </c>
      <c r="F34" s="60">
        <v>0.95199999999999996</v>
      </c>
      <c r="G34" s="97">
        <v>0.98</v>
      </c>
      <c r="H34" s="97">
        <v>0.95</v>
      </c>
    </row>
    <row r="35" spans="1:8" x14ac:dyDescent="0.2">
      <c r="A35" s="124">
        <v>42856</v>
      </c>
      <c r="B35" s="97">
        <v>0.94199999999999995</v>
      </c>
      <c r="C35" s="97">
        <v>0.91600000000000004</v>
      </c>
      <c r="D35" s="97">
        <v>0.97799999999999998</v>
      </c>
      <c r="E35" s="97">
        <v>0.97499999999999998</v>
      </c>
      <c r="F35" s="60">
        <v>0.95099999999999996</v>
      </c>
      <c r="G35" s="97">
        <v>0.98</v>
      </c>
      <c r="H35" s="97">
        <v>0.95</v>
      </c>
    </row>
    <row r="36" spans="1:8" x14ac:dyDescent="0.2">
      <c r="A36" s="124">
        <v>42887</v>
      </c>
      <c r="B36" s="97">
        <v>0.96099999999999997</v>
      </c>
      <c r="C36" s="97">
        <v>0.90600000000000003</v>
      </c>
      <c r="D36" s="97">
        <v>0.98199999999999998</v>
      </c>
      <c r="E36" s="97">
        <v>0.96899999999999997</v>
      </c>
      <c r="F36" s="60">
        <v>0.95699999999999996</v>
      </c>
      <c r="G36" s="97">
        <v>0.98</v>
      </c>
      <c r="H36" s="97">
        <v>0.95</v>
      </c>
    </row>
    <row r="37" spans="1:8" x14ac:dyDescent="0.2">
      <c r="A37" s="124">
        <v>42917</v>
      </c>
      <c r="B37" s="97">
        <v>0.95299999999999996</v>
      </c>
      <c r="C37" s="97">
        <v>0.93500000000000005</v>
      </c>
      <c r="D37" s="97">
        <v>0.99</v>
      </c>
      <c r="E37" s="97">
        <v>0.97699999999999998</v>
      </c>
      <c r="F37" s="60">
        <v>0.96</v>
      </c>
      <c r="G37" s="97">
        <v>0.98</v>
      </c>
      <c r="H37" s="97">
        <v>0.95</v>
      </c>
    </row>
    <row r="38" spans="1:8" x14ac:dyDescent="0.2">
      <c r="A38" s="124">
        <v>42948</v>
      </c>
      <c r="B38" s="97">
        <v>0.93600000000000005</v>
      </c>
      <c r="C38" s="97">
        <v>0.95</v>
      </c>
      <c r="D38" s="97">
        <v>0.97899999999999998</v>
      </c>
      <c r="E38" s="97">
        <v>0.96399999999999997</v>
      </c>
      <c r="F38" s="60">
        <v>0.95099999999999996</v>
      </c>
      <c r="G38" s="97">
        <v>0.98</v>
      </c>
      <c r="H38" s="97">
        <v>0.95</v>
      </c>
    </row>
    <row r="39" spans="1:8" x14ac:dyDescent="0.2">
      <c r="A39" s="124"/>
      <c r="B39" s="97"/>
      <c r="C39" s="97"/>
      <c r="D39" s="97"/>
      <c r="E39" s="97"/>
      <c r="F39" s="60"/>
      <c r="G39" s="97">
        <v>0.98</v>
      </c>
      <c r="H39" s="97">
        <v>0.95</v>
      </c>
    </row>
    <row r="40" spans="1:8" x14ac:dyDescent="0.2">
      <c r="A40" s="124"/>
      <c r="B40" s="97"/>
      <c r="C40" s="97"/>
      <c r="D40" s="97"/>
      <c r="E40" s="97"/>
      <c r="F40" s="60"/>
      <c r="G40" s="97">
        <v>0.98</v>
      </c>
      <c r="H40" s="97">
        <v>0.95</v>
      </c>
    </row>
    <row r="41" spans="1:8" x14ac:dyDescent="0.2">
      <c r="A41" s="124"/>
      <c r="B41" s="97"/>
      <c r="C41" s="97"/>
      <c r="D41" s="97"/>
      <c r="E41" s="97"/>
      <c r="F41" s="60"/>
      <c r="G41" s="97">
        <v>0.98</v>
      </c>
      <c r="H41" s="97">
        <v>0.95</v>
      </c>
    </row>
    <row r="42" spans="1:8" x14ac:dyDescent="0.2">
      <c r="A42" s="124"/>
      <c r="B42" s="97"/>
      <c r="C42" s="97"/>
      <c r="D42" s="97"/>
      <c r="E42" s="97"/>
      <c r="F42" s="60"/>
      <c r="G42" s="97">
        <v>0.98</v>
      </c>
      <c r="H42" s="97">
        <v>0.95</v>
      </c>
    </row>
    <row r="43" spans="1:8" x14ac:dyDescent="0.2">
      <c r="A43" s="124"/>
      <c r="B43" s="97"/>
      <c r="C43" s="97"/>
      <c r="D43" s="97"/>
      <c r="E43" s="97"/>
      <c r="F43" s="60"/>
      <c r="G43" s="97">
        <v>0.98</v>
      </c>
      <c r="H43" s="97">
        <v>0.95</v>
      </c>
    </row>
    <row r="44" spans="1:8" x14ac:dyDescent="0.2">
      <c r="A44" s="124"/>
      <c r="B44" s="97"/>
      <c r="C44" s="97"/>
      <c r="D44" s="97"/>
      <c r="E44" s="97"/>
      <c r="F44" s="60"/>
      <c r="G44" s="97">
        <v>0.98</v>
      </c>
      <c r="H44" s="97">
        <v>0.95</v>
      </c>
    </row>
    <row r="45" spans="1:8" x14ac:dyDescent="0.2">
      <c r="A45" s="124"/>
      <c r="B45" s="97"/>
      <c r="C45" s="97"/>
      <c r="D45" s="97"/>
      <c r="E45" s="97"/>
      <c r="F45" s="60"/>
      <c r="G45" s="97">
        <v>0.98</v>
      </c>
      <c r="H45" s="97">
        <v>0.95</v>
      </c>
    </row>
    <row r="46" spans="1:8" x14ac:dyDescent="0.2">
      <c r="A46" s="124"/>
      <c r="B46" s="97"/>
      <c r="C46" s="97"/>
      <c r="D46" s="97"/>
      <c r="E46" s="97"/>
      <c r="F46" s="60"/>
      <c r="G46" s="97">
        <v>0.98</v>
      </c>
      <c r="H46" s="97">
        <v>0.95</v>
      </c>
    </row>
    <row r="47" spans="1:8" x14ac:dyDescent="0.2">
      <c r="A47" s="124"/>
      <c r="B47" s="97"/>
      <c r="C47" s="97"/>
      <c r="D47" s="97"/>
      <c r="E47" s="97"/>
      <c r="F47" s="60"/>
      <c r="G47" s="97">
        <v>0.98</v>
      </c>
      <c r="H47" s="97">
        <v>0.95</v>
      </c>
    </row>
    <row r="48" spans="1:8" x14ac:dyDescent="0.2">
      <c r="A48" s="124"/>
      <c r="B48" s="97"/>
      <c r="C48" s="97"/>
      <c r="D48" s="97"/>
      <c r="E48" s="97"/>
      <c r="F48" s="60"/>
      <c r="G48" s="97">
        <v>0.98</v>
      </c>
      <c r="H48" s="97">
        <v>0.95</v>
      </c>
    </row>
    <row r="49" spans="1:13" x14ac:dyDescent="0.2">
      <c r="A49" s="124"/>
      <c r="B49" s="97"/>
      <c r="C49" s="97"/>
      <c r="D49" s="97"/>
      <c r="E49" s="97"/>
      <c r="F49" s="60"/>
      <c r="G49" s="97">
        <v>0.98</v>
      </c>
      <c r="H49" s="97">
        <v>0.95</v>
      </c>
    </row>
    <row r="50" spans="1:13" x14ac:dyDescent="0.2">
      <c r="A50" s="124"/>
      <c r="B50" s="97"/>
      <c r="C50" s="97"/>
      <c r="D50" s="97"/>
      <c r="E50" s="97"/>
      <c r="F50" s="60"/>
      <c r="G50" s="97">
        <v>0.98</v>
      </c>
      <c r="H50" s="97">
        <v>0.95</v>
      </c>
    </row>
    <row r="51" spans="1:13" x14ac:dyDescent="0.2">
      <c r="A51" s="124"/>
      <c r="B51" s="97"/>
      <c r="C51" s="97"/>
      <c r="D51" s="97"/>
      <c r="E51" s="97"/>
      <c r="F51" s="60"/>
      <c r="G51" s="97">
        <v>0.98</v>
      </c>
      <c r="H51" s="97">
        <v>0.95</v>
      </c>
    </row>
    <row r="52" spans="1:13" x14ac:dyDescent="0.2">
      <c r="A52" s="124"/>
      <c r="B52" s="97"/>
      <c r="C52" s="97"/>
      <c r="D52" s="97"/>
      <c r="E52" s="97"/>
      <c r="F52" s="60"/>
      <c r="G52" s="97">
        <v>0.98</v>
      </c>
      <c r="H52" s="97">
        <v>0.95</v>
      </c>
    </row>
    <row r="53" spans="1:13" x14ac:dyDescent="0.2">
      <c r="A53" s="124"/>
      <c r="B53" s="97"/>
      <c r="C53" s="97"/>
      <c r="D53" s="97"/>
      <c r="E53" s="97"/>
      <c r="F53" s="60"/>
      <c r="G53" s="97">
        <v>0.98</v>
      </c>
      <c r="H53" s="97">
        <v>0.95</v>
      </c>
    </row>
    <row r="54" spans="1:13" x14ac:dyDescent="0.2">
      <c r="A54" s="124"/>
      <c r="B54" s="97"/>
      <c r="C54" s="97"/>
      <c r="D54" s="97"/>
      <c r="E54" s="97"/>
      <c r="F54" s="60"/>
      <c r="G54" s="97">
        <v>0.98</v>
      </c>
      <c r="H54" s="97">
        <v>0.95</v>
      </c>
    </row>
    <row r="55" spans="1:13" x14ac:dyDescent="0.2">
      <c r="A55" s="124"/>
      <c r="B55" s="97"/>
      <c r="C55" s="97"/>
      <c r="D55" s="97"/>
      <c r="E55" s="97"/>
      <c r="F55" s="60"/>
      <c r="G55" s="97">
        <v>0.98</v>
      </c>
      <c r="H55" s="97">
        <v>0.95</v>
      </c>
    </row>
    <row r="56" spans="1:13" ht="15" x14ac:dyDescent="0.25">
      <c r="A56" s="124"/>
      <c r="B56" s="97"/>
      <c r="C56" s="97"/>
      <c r="D56" s="97"/>
      <c r="E56" s="97"/>
      <c r="F56" s="60"/>
      <c r="G56" s="97">
        <v>0.98</v>
      </c>
      <c r="H56" s="97">
        <v>0.95</v>
      </c>
      <c r="J56" s="560"/>
      <c r="K56" s="559"/>
      <c r="L56" s="561"/>
    </row>
    <row r="57" spans="1:13" x14ac:dyDescent="0.2">
      <c r="A57" s="124"/>
      <c r="B57" s="97"/>
      <c r="C57" s="97"/>
      <c r="D57" s="97"/>
      <c r="E57" s="97"/>
      <c r="F57" s="60"/>
      <c r="G57" s="97">
        <v>0.98</v>
      </c>
      <c r="H57" s="97">
        <v>0.95</v>
      </c>
    </row>
    <row r="59" spans="1:13" x14ac:dyDescent="0.2">
      <c r="A59" s="137" t="s">
        <v>593</v>
      </c>
      <c r="M59" s="137" t="s">
        <v>596</v>
      </c>
    </row>
    <row r="80" spans="10:10" x14ac:dyDescent="0.2">
      <c r="J80" s="559"/>
    </row>
    <row r="84" spans="1:13" x14ac:dyDescent="0.2">
      <c r="A84" s="562" t="s">
        <v>594</v>
      </c>
      <c r="M84" s="137" t="s">
        <v>595</v>
      </c>
    </row>
  </sheetData>
  <hyperlinks>
    <hyperlink ref="A1" location="Content!A1" display="Return to Contents"/>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70C0"/>
  </sheetPr>
  <dimension ref="A1:J71"/>
  <sheetViews>
    <sheetView workbookViewId="0"/>
  </sheetViews>
  <sheetFormatPr defaultColWidth="9.140625" defaultRowHeight="12.75" x14ac:dyDescent="0.2"/>
  <cols>
    <col min="1" max="1" width="25.140625" style="117" bestFit="1" customWidth="1"/>
    <col min="2" max="2" width="20.5703125" style="117" bestFit="1" customWidth="1"/>
    <col min="3" max="4" width="20.7109375" style="117" bestFit="1" customWidth="1"/>
    <col min="5" max="5" width="20.85546875" style="117" bestFit="1" customWidth="1"/>
    <col min="6" max="6" width="15.7109375" style="117" bestFit="1" customWidth="1"/>
    <col min="7" max="7" width="15.85546875" style="117" bestFit="1" customWidth="1"/>
    <col min="8" max="8" width="22.5703125" style="117" bestFit="1" customWidth="1"/>
    <col min="9" max="16384" width="9.140625" style="117"/>
  </cols>
  <sheetData>
    <row r="1" spans="1:10" x14ac:dyDescent="0.2">
      <c r="A1" s="116" t="s">
        <v>360</v>
      </c>
      <c r="B1" s="116"/>
    </row>
    <row r="2" spans="1:10" x14ac:dyDescent="0.2">
      <c r="A2" s="116"/>
      <c r="B2" s="116"/>
    </row>
    <row r="3" spans="1:10" x14ac:dyDescent="0.2">
      <c r="A3" s="118" t="s">
        <v>454</v>
      </c>
      <c r="B3" s="277" t="s">
        <v>53</v>
      </c>
    </row>
    <row r="4" spans="1:10" x14ac:dyDescent="0.2">
      <c r="A4" s="118" t="s">
        <v>206</v>
      </c>
      <c r="B4" s="277"/>
    </row>
    <row r="5" spans="1:10" x14ac:dyDescent="0.2">
      <c r="A5" s="118" t="s">
        <v>456</v>
      </c>
      <c r="B5" s="278" t="s">
        <v>167</v>
      </c>
    </row>
    <row r="6" spans="1:10" x14ac:dyDescent="0.2">
      <c r="A6" s="137" t="s">
        <v>120</v>
      </c>
      <c r="B6" s="139" t="s">
        <v>79</v>
      </c>
    </row>
    <row r="7" spans="1:10" x14ac:dyDescent="0.2">
      <c r="A7" s="137" t="s">
        <v>151</v>
      </c>
      <c r="B7" s="139" t="s">
        <v>78</v>
      </c>
    </row>
    <row r="8" spans="1:10" x14ac:dyDescent="0.2">
      <c r="A8" s="137" t="s">
        <v>148</v>
      </c>
      <c r="B8" s="139" t="s">
        <v>78</v>
      </c>
    </row>
    <row r="10" spans="1:10" ht="38.25" x14ac:dyDescent="0.2">
      <c r="A10" s="155"/>
      <c r="B10" s="100" t="s">
        <v>438</v>
      </c>
      <c r="C10" s="100" t="s">
        <v>439</v>
      </c>
      <c r="D10" s="100" t="s">
        <v>440</v>
      </c>
      <c r="E10" s="100" t="s">
        <v>441</v>
      </c>
      <c r="F10" s="100" t="s">
        <v>442</v>
      </c>
      <c r="G10" s="100" t="s">
        <v>443</v>
      </c>
      <c r="H10" s="119"/>
      <c r="I10" s="119"/>
      <c r="J10" s="119"/>
    </row>
    <row r="11" spans="1:10" ht="25.5" x14ac:dyDescent="0.2">
      <c r="A11" s="155"/>
      <c r="B11" s="100" t="s">
        <v>444</v>
      </c>
      <c r="C11" s="100" t="s">
        <v>444</v>
      </c>
      <c r="D11" s="100" t="s">
        <v>444</v>
      </c>
      <c r="E11" s="100" t="s">
        <v>444</v>
      </c>
      <c r="F11" s="100" t="s">
        <v>445</v>
      </c>
      <c r="G11" s="100" t="s">
        <v>445</v>
      </c>
    </row>
    <row r="12" spans="1:10" x14ac:dyDescent="0.2">
      <c r="A12" s="155"/>
      <c r="B12" s="154" t="s">
        <v>764</v>
      </c>
      <c r="C12" s="154" t="s">
        <v>764</v>
      </c>
      <c r="D12" s="154" t="s">
        <v>764</v>
      </c>
      <c r="E12" s="154" t="s">
        <v>764</v>
      </c>
      <c r="F12" s="154" t="s">
        <v>764</v>
      </c>
      <c r="G12" s="154" t="s">
        <v>764</v>
      </c>
    </row>
    <row r="13" spans="1:10" x14ac:dyDescent="0.2">
      <c r="A13" s="203" t="s">
        <v>447</v>
      </c>
      <c r="B13" s="252">
        <v>30.891058868212848</v>
      </c>
      <c r="C13" s="252">
        <v>59.249487129183976</v>
      </c>
      <c r="D13" s="252">
        <v>57.661303718778754</v>
      </c>
      <c r="E13" s="252">
        <v>131.27380859191553</v>
      </c>
      <c r="F13" s="252">
        <v>0.92274479074687332</v>
      </c>
      <c r="G13" s="252">
        <v>0.85988929297298911</v>
      </c>
    </row>
    <row r="14" spans="1:10" x14ac:dyDescent="0.2">
      <c r="A14" s="203" t="s">
        <v>448</v>
      </c>
      <c r="B14" s="252">
        <v>21.91025403315847</v>
      </c>
      <c r="C14" s="252">
        <v>35.174154078365753</v>
      </c>
      <c r="D14" s="252">
        <v>66.492757492658143</v>
      </c>
      <c r="E14" s="252">
        <v>143.5857018573204</v>
      </c>
      <c r="F14" s="252">
        <v>0.89491424004881792</v>
      </c>
      <c r="G14" s="252">
        <v>1.3725511967664392</v>
      </c>
    </row>
    <row r="15" spans="1:10" x14ac:dyDescent="0.2">
      <c r="A15" s="203" t="s">
        <v>449</v>
      </c>
      <c r="B15" s="252">
        <v>23.961816438361744</v>
      </c>
      <c r="C15" s="252">
        <v>50.569568735469126</v>
      </c>
      <c r="D15" s="252">
        <v>62.182431393445761</v>
      </c>
      <c r="E15" s="252">
        <v>123.52766361360736</v>
      </c>
      <c r="F15" s="252">
        <v>1.1114381361451648</v>
      </c>
      <c r="G15" s="252">
        <v>1.45070129147903</v>
      </c>
    </row>
    <row r="16" spans="1:10" x14ac:dyDescent="0.2">
      <c r="A16" s="144" t="s">
        <v>387</v>
      </c>
      <c r="B16" s="276">
        <v>25.167873623532156</v>
      </c>
      <c r="C16" s="276">
        <v>47.21530344884895</v>
      </c>
      <c r="D16" s="276">
        <v>57.50124911453652</v>
      </c>
      <c r="E16" s="276">
        <v>126.34611521009766</v>
      </c>
      <c r="F16" s="276">
        <v>0.96940217741435564</v>
      </c>
      <c r="G16" s="276">
        <v>1.186151228485518</v>
      </c>
    </row>
    <row r="17" spans="1:7" x14ac:dyDescent="0.2">
      <c r="A17" s="200"/>
      <c r="B17" s="369"/>
      <c r="C17" s="369"/>
      <c r="D17" s="369"/>
      <c r="E17" s="369"/>
      <c r="F17" s="369"/>
      <c r="G17" s="369"/>
    </row>
    <row r="18" spans="1:7" ht="38.25" x14ac:dyDescent="0.2">
      <c r="A18" s="155"/>
      <c r="B18" s="100" t="s">
        <v>438</v>
      </c>
      <c r="C18" s="100" t="s">
        <v>439</v>
      </c>
      <c r="D18" s="100" t="s">
        <v>440</v>
      </c>
      <c r="E18" s="100" t="s">
        <v>441</v>
      </c>
      <c r="F18" s="100" t="s">
        <v>442</v>
      </c>
      <c r="G18" s="100" t="s">
        <v>443</v>
      </c>
    </row>
    <row r="19" spans="1:7" ht="25.5" x14ac:dyDescent="0.2">
      <c r="A19" s="155"/>
      <c r="B19" s="100" t="s">
        <v>444</v>
      </c>
      <c r="C19" s="100" t="s">
        <v>444</v>
      </c>
      <c r="D19" s="100" t="s">
        <v>444</v>
      </c>
      <c r="E19" s="100" t="s">
        <v>444</v>
      </c>
      <c r="F19" s="100" t="s">
        <v>445</v>
      </c>
      <c r="G19" s="100" t="s">
        <v>445</v>
      </c>
    </row>
    <row r="20" spans="1:7" x14ac:dyDescent="0.2">
      <c r="A20" s="155"/>
      <c r="B20" s="154" t="s">
        <v>585</v>
      </c>
      <c r="C20" s="154" t="s">
        <v>585</v>
      </c>
      <c r="D20" s="154" t="s">
        <v>585</v>
      </c>
      <c r="E20" s="154" t="s">
        <v>585</v>
      </c>
      <c r="F20" s="154" t="s">
        <v>585</v>
      </c>
      <c r="G20" s="154" t="s">
        <v>585</v>
      </c>
    </row>
    <row r="21" spans="1:7" x14ac:dyDescent="0.2">
      <c r="A21" s="203" t="s">
        <v>447</v>
      </c>
      <c r="B21" s="252">
        <v>30.991400292065553</v>
      </c>
      <c r="C21" s="252">
        <v>54.705307717355915</v>
      </c>
      <c r="D21" s="252">
        <v>55.191495558468027</v>
      </c>
      <c r="E21" s="252">
        <v>115.78171091445427</v>
      </c>
      <c r="F21" s="252">
        <v>0.92299233687248194</v>
      </c>
      <c r="G21" s="252">
        <v>0.8947706935853037</v>
      </c>
    </row>
    <row r="22" spans="1:7" x14ac:dyDescent="0.2">
      <c r="A22" s="203" t="s">
        <v>448</v>
      </c>
      <c r="B22" s="252">
        <v>29.313632030505243</v>
      </c>
      <c r="C22" s="252">
        <v>43.89312977099236</v>
      </c>
      <c r="D22" s="252">
        <v>54.159186116098148</v>
      </c>
      <c r="E22" s="252">
        <v>117.3438447543966</v>
      </c>
      <c r="F22" s="252">
        <v>0.85176199872269054</v>
      </c>
      <c r="G22" s="252">
        <v>1.2604752791879104</v>
      </c>
    </row>
    <row r="23" spans="1:7" x14ac:dyDescent="0.2">
      <c r="A23" s="203" t="s">
        <v>449</v>
      </c>
      <c r="B23" s="252">
        <v>22.08835341365462</v>
      </c>
      <c r="C23" s="252">
        <v>40.310970342643259</v>
      </c>
      <c r="D23" s="252">
        <v>51.268949071708398</v>
      </c>
      <c r="E23" s="252">
        <v>102.38259668508286</v>
      </c>
      <c r="F23" s="252">
        <v>1.1231075621156643</v>
      </c>
      <c r="G23" s="252">
        <v>1.3604263606730371</v>
      </c>
    </row>
    <row r="24" spans="1:7" x14ac:dyDescent="0.2">
      <c r="A24" s="144" t="s">
        <v>387</v>
      </c>
      <c r="B24" s="276">
        <v>26.259014978733902</v>
      </c>
      <c r="C24" s="276">
        <v>43.996786751529385</v>
      </c>
      <c r="D24" s="276">
        <v>52.090658300427329</v>
      </c>
      <c r="E24" s="276">
        <v>106.8221638195357</v>
      </c>
      <c r="F24" s="276">
        <v>0.97248033816814139</v>
      </c>
      <c r="G24" s="276">
        <v>1.2330888266534632</v>
      </c>
    </row>
    <row r="25" spans="1:7" x14ac:dyDescent="0.2">
      <c r="A25" s="200"/>
      <c r="B25" s="369"/>
      <c r="C25" s="369"/>
      <c r="D25" s="369"/>
      <c r="E25" s="369"/>
      <c r="F25" s="369"/>
      <c r="G25" s="369"/>
    </row>
    <row r="26" spans="1:7" ht="38.25" x14ac:dyDescent="0.2">
      <c r="A26" s="155"/>
      <c r="B26" s="100" t="s">
        <v>438</v>
      </c>
      <c r="C26" s="100" t="s">
        <v>439</v>
      </c>
      <c r="D26" s="100" t="s">
        <v>440</v>
      </c>
      <c r="E26" s="100" t="s">
        <v>441</v>
      </c>
      <c r="F26" s="100" t="s">
        <v>442</v>
      </c>
      <c r="G26" s="100" t="s">
        <v>443</v>
      </c>
    </row>
    <row r="27" spans="1:7" ht="25.5" x14ac:dyDescent="0.2">
      <c r="A27" s="155"/>
      <c r="B27" s="100" t="s">
        <v>444</v>
      </c>
      <c r="C27" s="100" t="s">
        <v>444</v>
      </c>
      <c r="D27" s="100" t="s">
        <v>444</v>
      </c>
      <c r="E27" s="100" t="s">
        <v>444</v>
      </c>
      <c r="F27" s="100" t="s">
        <v>445</v>
      </c>
      <c r="G27" s="100" t="s">
        <v>445</v>
      </c>
    </row>
    <row r="28" spans="1:7" x14ac:dyDescent="0.2">
      <c r="A28" s="155"/>
      <c r="B28" s="154" t="s">
        <v>471</v>
      </c>
      <c r="C28" s="154" t="s">
        <v>471</v>
      </c>
      <c r="D28" s="154" t="s">
        <v>471</v>
      </c>
      <c r="E28" s="154" t="s">
        <v>471</v>
      </c>
      <c r="F28" s="154" t="s">
        <v>471</v>
      </c>
      <c r="G28" s="154" t="s">
        <v>471</v>
      </c>
    </row>
    <row r="29" spans="1:7" x14ac:dyDescent="0.2">
      <c r="A29" s="203" t="s">
        <v>447</v>
      </c>
      <c r="B29" s="252">
        <v>32.299999999999997</v>
      </c>
      <c r="C29" s="252">
        <v>60.45</v>
      </c>
      <c r="D29" s="252">
        <v>52.51</v>
      </c>
      <c r="E29" s="252">
        <v>128.76398049899629</v>
      </c>
      <c r="F29" s="252">
        <v>0.91049423813538111</v>
      </c>
      <c r="G29" s="252">
        <v>0.91083306672996545</v>
      </c>
    </row>
    <row r="30" spans="1:7" x14ac:dyDescent="0.2">
      <c r="A30" s="203" t="s">
        <v>448</v>
      </c>
      <c r="B30" s="252">
        <v>44.16</v>
      </c>
      <c r="C30" s="252">
        <v>60.94</v>
      </c>
      <c r="D30" s="252">
        <v>63.49</v>
      </c>
      <c r="E30" s="252">
        <v>134.74714518760194</v>
      </c>
      <c r="F30" s="252">
        <v>0.89064735804143569</v>
      </c>
      <c r="G30" s="252">
        <v>1.3284586666613183</v>
      </c>
    </row>
    <row r="31" spans="1:7" x14ac:dyDescent="0.2">
      <c r="A31" s="203" t="s">
        <v>449</v>
      </c>
      <c r="B31" s="252">
        <v>29.75</v>
      </c>
      <c r="C31" s="252">
        <v>53.64</v>
      </c>
      <c r="D31" s="252">
        <v>62.04</v>
      </c>
      <c r="E31" s="252">
        <v>117.4597855227882</v>
      </c>
      <c r="F31" s="252">
        <v>1.0708005505732898</v>
      </c>
      <c r="G31" s="252">
        <v>1.3606980739026602</v>
      </c>
    </row>
    <row r="32" spans="1:7" x14ac:dyDescent="0.2">
      <c r="A32" s="144" t="s">
        <v>387</v>
      </c>
      <c r="B32" s="276">
        <v>31.538648517258149</v>
      </c>
      <c r="C32" s="276">
        <v>52.875526010855651</v>
      </c>
      <c r="D32" s="276">
        <v>55.920692299266079</v>
      </c>
      <c r="E32" s="276">
        <v>119.93149928184732</v>
      </c>
      <c r="F32" s="276">
        <v>0.95217345828269462</v>
      </c>
      <c r="G32" s="276">
        <v>1.1806068394519591</v>
      </c>
    </row>
    <row r="33" spans="1:7" x14ac:dyDescent="0.2">
      <c r="A33" s="200"/>
      <c r="B33" s="369"/>
      <c r="C33" s="369"/>
      <c r="D33" s="369"/>
      <c r="E33" s="369"/>
      <c r="F33" s="369"/>
      <c r="G33" s="369"/>
    </row>
    <row r="34" spans="1:7" ht="38.25" x14ac:dyDescent="0.2">
      <c r="A34" s="155"/>
      <c r="B34" s="100" t="s">
        <v>438</v>
      </c>
      <c r="C34" s="100" t="s">
        <v>439</v>
      </c>
      <c r="D34" s="100" t="s">
        <v>440</v>
      </c>
      <c r="E34" s="100" t="s">
        <v>441</v>
      </c>
      <c r="F34" s="100" t="s">
        <v>442</v>
      </c>
      <c r="G34" s="100" t="s">
        <v>443</v>
      </c>
    </row>
    <row r="35" spans="1:7" ht="25.5" x14ac:dyDescent="0.2">
      <c r="A35" s="155"/>
      <c r="B35" s="100" t="s">
        <v>444</v>
      </c>
      <c r="C35" s="100" t="s">
        <v>444</v>
      </c>
      <c r="D35" s="100" t="s">
        <v>444</v>
      </c>
      <c r="E35" s="100" t="s">
        <v>444</v>
      </c>
      <c r="F35" s="100" t="s">
        <v>445</v>
      </c>
      <c r="G35" s="100" t="s">
        <v>445</v>
      </c>
    </row>
    <row r="36" spans="1:7" x14ac:dyDescent="0.2">
      <c r="A36" s="155"/>
      <c r="B36" s="154" t="s">
        <v>13</v>
      </c>
      <c r="C36" s="154" t="s">
        <v>13</v>
      </c>
      <c r="D36" s="154" t="s">
        <v>13</v>
      </c>
      <c r="E36" s="154" t="s">
        <v>13</v>
      </c>
      <c r="F36" s="154" t="s">
        <v>13</v>
      </c>
      <c r="G36" s="154" t="s">
        <v>13</v>
      </c>
    </row>
    <row r="37" spans="1:7" x14ac:dyDescent="0.2">
      <c r="A37" s="203" t="s">
        <v>447</v>
      </c>
      <c r="B37" s="252">
        <v>34.090909090909086</v>
      </c>
      <c r="C37" s="252">
        <v>61.111111111111114</v>
      </c>
      <c r="D37" s="252">
        <v>54.697463511407115</v>
      </c>
      <c r="E37" s="252">
        <v>127.41589119541877</v>
      </c>
      <c r="F37" s="252">
        <v>0.93041178147532699</v>
      </c>
      <c r="G37" s="252">
        <v>0.90365801476455399</v>
      </c>
    </row>
    <row r="38" spans="1:7" x14ac:dyDescent="0.2">
      <c r="A38" s="203" t="s">
        <v>448</v>
      </c>
      <c r="B38" s="252">
        <v>25.504484304932735</v>
      </c>
      <c r="C38" s="252">
        <v>41.818692113387598</v>
      </c>
      <c r="D38" s="252">
        <v>81.818181818181813</v>
      </c>
      <c r="E38" s="252">
        <v>155.2090715804394</v>
      </c>
      <c r="F38" s="252">
        <v>0.88963706304745616</v>
      </c>
      <c r="G38" s="252">
        <v>1.2614610918369846</v>
      </c>
    </row>
    <row r="39" spans="1:7" x14ac:dyDescent="0.2">
      <c r="A39" s="203" t="s">
        <v>449</v>
      </c>
      <c r="B39" s="252">
        <v>21.695460024106065</v>
      </c>
      <c r="C39" s="252">
        <v>54.435483870967744</v>
      </c>
      <c r="D39" s="252">
        <v>58.285509325681495</v>
      </c>
      <c r="E39" s="252">
        <v>116.42714207749681</v>
      </c>
      <c r="F39" s="252">
        <v>1.0118772187240777</v>
      </c>
      <c r="G39" s="252">
        <v>1.3403892306607101</v>
      </c>
    </row>
    <row r="40" spans="1:7" x14ac:dyDescent="0.2">
      <c r="A40" s="144" t="s">
        <v>387</v>
      </c>
      <c r="B40" s="276">
        <v>26.28086010087603</v>
      </c>
      <c r="C40" s="276">
        <v>48.665202050462682</v>
      </c>
      <c r="D40" s="276">
        <v>57.956721007135812</v>
      </c>
      <c r="E40" s="276">
        <v>123.16543383820596</v>
      </c>
      <c r="F40" s="276">
        <v>0.95148810938452955</v>
      </c>
      <c r="G40" s="276">
        <v>1.1655182910175688</v>
      </c>
    </row>
    <row r="41" spans="1:7" x14ac:dyDescent="0.2">
      <c r="A41" s="200"/>
      <c r="B41" s="369"/>
      <c r="C41" s="369"/>
      <c r="D41" s="369"/>
      <c r="E41" s="369"/>
      <c r="F41" s="369"/>
      <c r="G41" s="369"/>
    </row>
    <row r="42" spans="1:7" ht="38.25" x14ac:dyDescent="0.2">
      <c r="A42" s="155"/>
      <c r="B42" s="100" t="s">
        <v>438</v>
      </c>
      <c r="C42" s="100" t="s">
        <v>439</v>
      </c>
      <c r="D42" s="100" t="s">
        <v>440</v>
      </c>
      <c r="E42" s="100" t="s">
        <v>441</v>
      </c>
      <c r="F42" s="100" t="s">
        <v>442</v>
      </c>
      <c r="G42" s="100" t="s">
        <v>443</v>
      </c>
    </row>
    <row r="43" spans="1:7" ht="25.5" x14ac:dyDescent="0.2">
      <c r="A43" s="155"/>
      <c r="B43" s="100" t="s">
        <v>444</v>
      </c>
      <c r="C43" s="100" t="s">
        <v>444</v>
      </c>
      <c r="D43" s="100" t="s">
        <v>444</v>
      </c>
      <c r="E43" s="100" t="s">
        <v>444</v>
      </c>
      <c r="F43" s="100" t="s">
        <v>445</v>
      </c>
      <c r="G43" s="100" t="s">
        <v>445</v>
      </c>
    </row>
    <row r="44" spans="1:7" x14ac:dyDescent="0.2">
      <c r="A44" s="155"/>
      <c r="B44" s="154" t="s">
        <v>282</v>
      </c>
      <c r="C44" s="154" t="s">
        <v>282</v>
      </c>
      <c r="D44" s="154" t="s">
        <v>282</v>
      </c>
      <c r="E44" s="154" t="s">
        <v>282</v>
      </c>
      <c r="F44" s="154" t="s">
        <v>282</v>
      </c>
      <c r="G44" s="154" t="s">
        <v>282</v>
      </c>
    </row>
    <row r="45" spans="1:7" x14ac:dyDescent="0.2">
      <c r="A45" s="203" t="s">
        <v>447</v>
      </c>
      <c r="B45" s="252">
        <v>31.062781854149993</v>
      </c>
      <c r="C45" s="252">
        <v>57.15754348538141</v>
      </c>
      <c r="D45" s="252">
        <v>57.231008915386035</v>
      </c>
      <c r="E45" s="252">
        <v>121.64537972335202</v>
      </c>
      <c r="F45" s="252">
        <v>0.92282602363792121</v>
      </c>
      <c r="G45" s="252">
        <v>0.8957623374043735</v>
      </c>
    </row>
    <row r="46" spans="1:7" x14ac:dyDescent="0.2">
      <c r="A46" s="203" t="s">
        <v>448</v>
      </c>
      <c r="B46" s="252">
        <v>22.621237379211291</v>
      </c>
      <c r="C46" s="252">
        <v>37.923483652049363</v>
      </c>
      <c r="D46" s="252">
        <v>67.954194107785568</v>
      </c>
      <c r="E46" s="252">
        <v>131.91869175994222</v>
      </c>
      <c r="F46" s="252">
        <v>0.87548613234260064</v>
      </c>
      <c r="G46" s="252">
        <v>1.2197415350496745</v>
      </c>
    </row>
    <row r="47" spans="1:7" x14ac:dyDescent="0.2">
      <c r="A47" s="203" t="s">
        <v>449</v>
      </c>
      <c r="B47" s="252">
        <v>21.778524899643443</v>
      </c>
      <c r="C47" s="252">
        <v>51.341463040709613</v>
      </c>
      <c r="D47" s="252">
        <v>66.378878236238265</v>
      </c>
      <c r="E47" s="252">
        <v>121.90828768174809</v>
      </c>
      <c r="F47" s="252">
        <v>1.1060247037292603</v>
      </c>
      <c r="G47" s="252">
        <v>1.184100614702376</v>
      </c>
    </row>
    <row r="48" spans="1:7" x14ac:dyDescent="0.2">
      <c r="A48" s="144" t="s">
        <v>387</v>
      </c>
      <c r="B48" s="276">
        <v>25.229769758813042</v>
      </c>
      <c r="C48" s="276">
        <v>47.310556037023112</v>
      </c>
      <c r="D48" s="276">
        <v>57.884667194081231</v>
      </c>
      <c r="E48" s="276">
        <v>118.51160738433052</v>
      </c>
      <c r="F48" s="276">
        <v>0.95903463398991595</v>
      </c>
      <c r="G48" s="276">
        <v>1.0928939026418594</v>
      </c>
    </row>
    <row r="49" spans="1:7" ht="38.25" x14ac:dyDescent="0.2">
      <c r="A49" s="155"/>
      <c r="B49" s="100" t="s">
        <v>438</v>
      </c>
      <c r="C49" s="100" t="s">
        <v>439</v>
      </c>
      <c r="D49" s="100" t="s">
        <v>440</v>
      </c>
      <c r="E49" s="100" t="s">
        <v>441</v>
      </c>
      <c r="F49" s="100" t="s">
        <v>442</v>
      </c>
      <c r="G49" s="100" t="s">
        <v>443</v>
      </c>
    </row>
    <row r="50" spans="1:7" ht="25.5" x14ac:dyDescent="0.2">
      <c r="A50" s="155"/>
      <c r="B50" s="100" t="s">
        <v>444</v>
      </c>
      <c r="C50" s="100" t="s">
        <v>444</v>
      </c>
      <c r="D50" s="100" t="s">
        <v>444</v>
      </c>
      <c r="E50" s="100" t="s">
        <v>444</v>
      </c>
      <c r="F50" s="100" t="s">
        <v>445</v>
      </c>
      <c r="G50" s="100" t="s">
        <v>445</v>
      </c>
    </row>
    <row r="51" spans="1:7" x14ac:dyDescent="0.2">
      <c r="A51" s="155"/>
      <c r="B51" s="154" t="s">
        <v>446</v>
      </c>
      <c r="C51" s="154" t="s">
        <v>446</v>
      </c>
      <c r="D51" s="154" t="s">
        <v>446</v>
      </c>
      <c r="E51" s="154" t="s">
        <v>446</v>
      </c>
      <c r="F51" s="154" t="s">
        <v>446</v>
      </c>
      <c r="G51" s="154" t="s">
        <v>446</v>
      </c>
    </row>
    <row r="52" spans="1:7" x14ac:dyDescent="0.2">
      <c r="A52" s="203" t="s">
        <v>447</v>
      </c>
      <c r="B52" s="252">
        <v>24.546852204351715</v>
      </c>
      <c r="C52" s="252">
        <v>51.535537940238484</v>
      </c>
      <c r="D52" s="252">
        <v>52.765953549252551</v>
      </c>
      <c r="E52" s="252">
        <v>115.94046500374134</v>
      </c>
      <c r="F52" s="252">
        <v>0.91678062639601365</v>
      </c>
      <c r="G52" s="252">
        <v>0.85970257826772778</v>
      </c>
    </row>
    <row r="53" spans="1:7" x14ac:dyDescent="0.2">
      <c r="A53" s="203" t="s">
        <v>448</v>
      </c>
      <c r="B53" s="252">
        <v>18.764802132530463</v>
      </c>
      <c r="C53" s="252">
        <v>30.276924761930346</v>
      </c>
      <c r="D53" s="252">
        <v>59.566408682579258</v>
      </c>
      <c r="E53" s="252">
        <v>122.11180750936855</v>
      </c>
      <c r="F53" s="252">
        <v>0.85036228148896142</v>
      </c>
      <c r="G53" s="252">
        <v>1.3953845064131636</v>
      </c>
    </row>
    <row r="54" spans="1:7" x14ac:dyDescent="0.2">
      <c r="A54" s="203" t="s">
        <v>449</v>
      </c>
      <c r="B54" s="252">
        <v>26.056913542119322</v>
      </c>
      <c r="C54" s="252">
        <v>52.963194534999637</v>
      </c>
      <c r="D54" s="252">
        <v>57.620955890832292</v>
      </c>
      <c r="E54" s="252">
        <v>114.67689732306046</v>
      </c>
      <c r="F54" s="252">
        <v>1.1513396526669055</v>
      </c>
      <c r="G54" s="252">
        <v>1.2267778270771259</v>
      </c>
    </row>
    <row r="55" spans="1:7" x14ac:dyDescent="0.2">
      <c r="A55" s="144" t="s">
        <v>387</v>
      </c>
      <c r="B55" s="276">
        <v>22.142691817613624</v>
      </c>
      <c r="C55" s="276">
        <v>43.257071311711876</v>
      </c>
      <c r="D55" s="276">
        <v>52.081436904272287</v>
      </c>
      <c r="E55" s="276">
        <v>111.55967993959939</v>
      </c>
      <c r="F55" s="276">
        <v>0.95792637995744423</v>
      </c>
      <c r="G55" s="276">
        <v>1.123375774614352</v>
      </c>
    </row>
    <row r="57" spans="1:7" ht="38.25" x14ac:dyDescent="0.2">
      <c r="A57" s="155"/>
      <c r="B57" s="100" t="s">
        <v>438</v>
      </c>
      <c r="C57" s="100" t="s">
        <v>439</v>
      </c>
      <c r="D57" s="100" t="s">
        <v>440</v>
      </c>
      <c r="E57" s="100" t="s">
        <v>441</v>
      </c>
      <c r="F57" s="100" t="s">
        <v>442</v>
      </c>
      <c r="G57" s="100" t="s">
        <v>443</v>
      </c>
    </row>
    <row r="58" spans="1:7" ht="25.5" x14ac:dyDescent="0.2">
      <c r="A58" s="155"/>
      <c r="B58" s="100" t="s">
        <v>444</v>
      </c>
      <c r="C58" s="100" t="s">
        <v>444</v>
      </c>
      <c r="D58" s="100" t="s">
        <v>444</v>
      </c>
      <c r="E58" s="100" t="s">
        <v>444</v>
      </c>
      <c r="F58" s="100" t="s">
        <v>445</v>
      </c>
      <c r="G58" s="100" t="s">
        <v>445</v>
      </c>
    </row>
    <row r="59" spans="1:7" x14ac:dyDescent="0.2">
      <c r="A59" s="155"/>
      <c r="B59" s="154" t="s">
        <v>283</v>
      </c>
      <c r="C59" s="154" t="s">
        <v>283</v>
      </c>
      <c r="D59" s="154" t="s">
        <v>283</v>
      </c>
      <c r="E59" s="154" t="s">
        <v>283</v>
      </c>
      <c r="F59" s="154" t="s">
        <v>283</v>
      </c>
      <c r="G59" s="154" t="s">
        <v>283</v>
      </c>
    </row>
    <row r="60" spans="1:7" x14ac:dyDescent="0.2">
      <c r="A60" s="203" t="s">
        <v>447</v>
      </c>
      <c r="B60" s="252">
        <v>32.535633940225431</v>
      </c>
      <c r="C60" s="252">
        <v>59.676193623830045</v>
      </c>
      <c r="D60" s="252">
        <v>50.041609267778732</v>
      </c>
      <c r="E60" s="252">
        <v>119.84807061917805</v>
      </c>
      <c r="F60" s="252">
        <v>0.89150605182323572</v>
      </c>
      <c r="G60" s="252">
        <v>0.89141356460414156</v>
      </c>
    </row>
    <row r="61" spans="1:7" x14ac:dyDescent="0.2">
      <c r="A61" s="203" t="s">
        <v>448</v>
      </c>
      <c r="B61" s="252">
        <v>21.437289531369228</v>
      </c>
      <c r="C61" s="252">
        <v>30.244921399364085</v>
      </c>
      <c r="D61" s="252">
        <v>55.701253806092694</v>
      </c>
      <c r="E61" s="252">
        <v>128.15102031654877</v>
      </c>
      <c r="F61" s="252">
        <v>0.82872924034849416</v>
      </c>
      <c r="G61" s="252">
        <v>1.3983675958623305</v>
      </c>
    </row>
    <row r="62" spans="1:7" x14ac:dyDescent="0.2">
      <c r="A62" s="203" t="s">
        <v>449</v>
      </c>
      <c r="B62" s="252">
        <v>21.890193360229734</v>
      </c>
      <c r="C62" s="252">
        <v>47.728664780674961</v>
      </c>
      <c r="D62" s="252">
        <v>60.436225632265852</v>
      </c>
      <c r="E62" s="252">
        <v>116.13668348465082</v>
      </c>
      <c r="F62" s="252">
        <v>1.1361879066438119</v>
      </c>
      <c r="G62" s="252">
        <v>1.3047810728501241</v>
      </c>
    </row>
    <row r="63" spans="1:7" x14ac:dyDescent="0.2">
      <c r="A63" s="144" t="s">
        <v>387</v>
      </c>
      <c r="B63" s="276">
        <v>25.367872393910023</v>
      </c>
      <c r="C63" s="276">
        <v>45.422729883185127</v>
      </c>
      <c r="D63" s="276">
        <v>51.466174573162725</v>
      </c>
      <c r="E63" s="276">
        <v>115.21682617099732</v>
      </c>
      <c r="F63" s="276">
        <v>0.94710041879447193</v>
      </c>
      <c r="G63" s="276">
        <v>1.2393644595123547</v>
      </c>
    </row>
    <row r="65" spans="1:7" ht="38.25" x14ac:dyDescent="0.2">
      <c r="A65" s="155"/>
      <c r="B65" s="100" t="s">
        <v>438</v>
      </c>
      <c r="C65" s="100" t="s">
        <v>439</v>
      </c>
      <c r="D65" s="100" t="s">
        <v>440</v>
      </c>
      <c r="E65" s="100" t="s">
        <v>441</v>
      </c>
      <c r="F65" s="100" t="s">
        <v>442</v>
      </c>
      <c r="G65" s="100" t="s">
        <v>443</v>
      </c>
    </row>
    <row r="66" spans="1:7" ht="25.5" x14ac:dyDescent="0.2">
      <c r="A66" s="155"/>
      <c r="B66" s="100" t="s">
        <v>444</v>
      </c>
      <c r="C66" s="100" t="s">
        <v>444</v>
      </c>
      <c r="D66" s="100" t="s">
        <v>444</v>
      </c>
      <c r="E66" s="100" t="s">
        <v>444</v>
      </c>
      <c r="F66" s="100" t="s">
        <v>445</v>
      </c>
      <c r="G66" s="100" t="s">
        <v>445</v>
      </c>
    </row>
    <row r="67" spans="1:7" x14ac:dyDescent="0.2">
      <c r="A67" s="155"/>
      <c r="B67" s="154" t="s">
        <v>284</v>
      </c>
      <c r="C67" s="154" t="s">
        <v>284</v>
      </c>
      <c r="D67" s="154" t="s">
        <v>284</v>
      </c>
      <c r="E67" s="154" t="s">
        <v>284</v>
      </c>
      <c r="F67" s="154" t="s">
        <v>284</v>
      </c>
      <c r="G67" s="154" t="s">
        <v>284</v>
      </c>
    </row>
    <row r="68" spans="1:7" x14ac:dyDescent="0.2">
      <c r="A68" s="203" t="s">
        <v>447</v>
      </c>
      <c r="B68" s="252">
        <v>25.939631995172519</v>
      </c>
      <c r="C68" s="252">
        <v>50.774634703829349</v>
      </c>
      <c r="D68" s="252">
        <v>53.843513794578264</v>
      </c>
      <c r="E68" s="252">
        <v>123.99291666683472</v>
      </c>
      <c r="F68" s="252">
        <v>0.92025249942790632</v>
      </c>
      <c r="G68" s="252">
        <v>0.80486246872341416</v>
      </c>
    </row>
    <row r="69" spans="1:7" x14ac:dyDescent="0.2">
      <c r="A69" s="203" t="s">
        <v>448</v>
      </c>
      <c r="B69" s="252">
        <v>24.408327431529635</v>
      </c>
      <c r="C69" s="252">
        <v>35.677799711493741</v>
      </c>
      <c r="D69" s="252">
        <v>57.389485271469361</v>
      </c>
      <c r="E69" s="252">
        <v>128.33170071216452</v>
      </c>
      <c r="F69" s="252">
        <v>0.81716295875865286</v>
      </c>
      <c r="G69" s="252">
        <v>1.258619107306739</v>
      </c>
    </row>
    <row r="70" spans="1:7" x14ac:dyDescent="0.2">
      <c r="A70" s="203" t="s">
        <v>449</v>
      </c>
      <c r="B70" s="252">
        <v>29.604659388341684</v>
      </c>
      <c r="C70" s="252">
        <v>48.817265298767708</v>
      </c>
      <c r="D70" s="252">
        <v>60.29540672421696</v>
      </c>
      <c r="E70" s="252">
        <v>114.9317596760614</v>
      </c>
      <c r="F70" s="252">
        <v>1.0724068125178161</v>
      </c>
      <c r="G70" s="252">
        <v>1.2081166699724493</v>
      </c>
    </row>
    <row r="71" spans="1:7" x14ac:dyDescent="0.2">
      <c r="A71" s="144" t="s">
        <v>387</v>
      </c>
      <c r="B71" s="276">
        <v>23.965216608801068</v>
      </c>
      <c r="C71" s="276">
        <v>42.085527447282004</v>
      </c>
      <c r="D71" s="276">
        <v>52.160752012285116</v>
      </c>
      <c r="E71" s="276">
        <v>115.9804644825283</v>
      </c>
      <c r="F71" s="276">
        <v>0.95391289813243429</v>
      </c>
      <c r="G71" s="276">
        <v>1.1247847566621099</v>
      </c>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70C0"/>
  </sheetPr>
  <dimension ref="A1:N50"/>
  <sheetViews>
    <sheetView workbookViewId="0"/>
  </sheetViews>
  <sheetFormatPr defaultColWidth="9.140625" defaultRowHeight="12.75" x14ac:dyDescent="0.2"/>
  <cols>
    <col min="1" max="1" width="31.85546875" style="117" bestFit="1" customWidth="1"/>
    <col min="2" max="2" width="24.85546875" style="117" customWidth="1"/>
    <col min="3" max="3" width="16" style="117" bestFit="1" customWidth="1"/>
    <col min="4" max="4" width="22.7109375" style="117" bestFit="1" customWidth="1"/>
    <col min="5" max="5" width="11.42578125" style="117" bestFit="1" customWidth="1"/>
    <col min="6" max="6" width="12.7109375" style="117" bestFit="1" customWidth="1"/>
    <col min="7" max="16384" width="9.140625" style="117"/>
  </cols>
  <sheetData>
    <row r="1" spans="1:14" x14ac:dyDescent="0.2">
      <c r="A1" s="116" t="s">
        <v>360</v>
      </c>
      <c r="B1" s="584"/>
    </row>
    <row r="2" spans="1:14" x14ac:dyDescent="0.2">
      <c r="A2" s="116"/>
      <c r="B2" s="116"/>
    </row>
    <row r="3" spans="1:14" x14ac:dyDescent="0.2">
      <c r="A3" s="118" t="s">
        <v>454</v>
      </c>
      <c r="B3" s="117" t="s">
        <v>161</v>
      </c>
    </row>
    <row r="4" spans="1:14" x14ac:dyDescent="0.2">
      <c r="A4" s="118"/>
      <c r="B4" s="281" t="s">
        <v>162</v>
      </c>
    </row>
    <row r="5" spans="1:14" x14ac:dyDescent="0.2">
      <c r="A5" s="118"/>
      <c r="B5" s="281" t="s">
        <v>163</v>
      </c>
    </row>
    <row r="6" spans="1:14" x14ac:dyDescent="0.2">
      <c r="A6" s="118"/>
      <c r="B6" s="282" t="s">
        <v>164</v>
      </c>
    </row>
    <row r="7" spans="1:14" x14ac:dyDescent="0.2">
      <c r="A7" s="118" t="s">
        <v>174</v>
      </c>
      <c r="B7" s="187">
        <f>VLOOKUP(MAX(A18:A50),A18:E50,5,0)</f>
        <v>0.84876814351163221</v>
      </c>
    </row>
    <row r="8" spans="1:14" x14ac:dyDescent="0.2">
      <c r="A8" s="118" t="s">
        <v>175</v>
      </c>
      <c r="B8" s="187">
        <f>VLOOKUP(MAX(A18:A50),A18:E50,2,0)</f>
        <v>0.84257867233308303</v>
      </c>
      <c r="D8" s="137" t="s">
        <v>385</v>
      </c>
    </row>
    <row r="9" spans="1:14" x14ac:dyDescent="0.2">
      <c r="A9" s="118" t="s">
        <v>176</v>
      </c>
      <c r="B9" s="187">
        <f>VLOOKUP(MAX(A18:A50),A18:E50,3,0)</f>
        <v>0.83815219399235341</v>
      </c>
      <c r="D9" s="450"/>
    </row>
    <row r="10" spans="1:14" x14ac:dyDescent="0.2">
      <c r="A10" s="118" t="s">
        <v>177</v>
      </c>
      <c r="B10" s="187">
        <f>VLOOKUP(MAX(A18:A50),A18:E50,4,0)</f>
        <v>0.77130445055615127</v>
      </c>
      <c r="D10" s="450"/>
    </row>
    <row r="11" spans="1:14" x14ac:dyDescent="0.2">
      <c r="A11" s="118" t="s">
        <v>119</v>
      </c>
      <c r="B11" s="138">
        <f>MAX(A18:A50)</f>
        <v>42795</v>
      </c>
      <c r="D11" s="451"/>
    </row>
    <row r="12" spans="1:14" x14ac:dyDescent="0.2">
      <c r="A12" s="118" t="s">
        <v>201</v>
      </c>
      <c r="B12" s="138"/>
      <c r="D12" s="155" t="s">
        <v>385</v>
      </c>
    </row>
    <row r="13" spans="1:14" x14ac:dyDescent="0.2">
      <c r="A13" s="118" t="s">
        <v>456</v>
      </c>
      <c r="B13" s="278" t="s">
        <v>166</v>
      </c>
    </row>
    <row r="14" spans="1:14" ht="15" customHeight="1" x14ac:dyDescent="0.2">
      <c r="A14" s="200" t="s">
        <v>151</v>
      </c>
      <c r="B14" s="117" t="s">
        <v>78</v>
      </c>
      <c r="C14" s="583"/>
      <c r="D14" s="583"/>
      <c r="E14" s="583"/>
      <c r="F14" s="583"/>
      <c r="G14" s="583"/>
      <c r="H14" s="583"/>
      <c r="I14" s="583"/>
      <c r="J14" s="583"/>
      <c r="K14" s="583"/>
      <c r="L14" s="583"/>
      <c r="M14" s="583"/>
      <c r="N14" s="583"/>
    </row>
    <row r="15" spans="1:14" x14ac:dyDescent="0.2">
      <c r="A15" s="200" t="s">
        <v>148</v>
      </c>
      <c r="B15" s="117" t="s">
        <v>78</v>
      </c>
      <c r="C15" s="583"/>
      <c r="D15" s="583"/>
      <c r="E15" s="583"/>
      <c r="F15" s="583"/>
      <c r="G15" s="583"/>
      <c r="H15" s="583"/>
      <c r="I15" s="583"/>
      <c r="J15" s="583"/>
      <c r="K15" s="583"/>
      <c r="L15" s="583"/>
      <c r="M15" s="583"/>
      <c r="N15" s="583"/>
    </row>
    <row r="16" spans="1:14" x14ac:dyDescent="0.2">
      <c r="A16" s="99"/>
      <c r="B16" s="279"/>
    </row>
    <row r="17" spans="1:6" x14ac:dyDescent="0.2">
      <c r="A17" s="154"/>
      <c r="B17" s="252" t="s">
        <v>447</v>
      </c>
      <c r="C17" s="154" t="s">
        <v>448</v>
      </c>
      <c r="D17" s="154" t="s">
        <v>449</v>
      </c>
      <c r="E17" s="154" t="s">
        <v>387</v>
      </c>
      <c r="F17" s="154" t="s">
        <v>386</v>
      </c>
    </row>
    <row r="18" spans="1:6" x14ac:dyDescent="0.2">
      <c r="A18" s="280">
        <v>40603</v>
      </c>
      <c r="B18" s="252">
        <v>0.98492660007998556</v>
      </c>
      <c r="C18" s="252">
        <v>0.93616537622049179</v>
      </c>
      <c r="D18" s="252">
        <v>0.78228278975861276</v>
      </c>
      <c r="E18" s="252">
        <v>0.9743968508977684</v>
      </c>
      <c r="F18" s="252">
        <v>1.071527509645706</v>
      </c>
    </row>
    <row r="19" spans="1:6" x14ac:dyDescent="0.2">
      <c r="A19" s="280">
        <v>40695</v>
      </c>
      <c r="B19" s="252">
        <v>0.91025888804686472</v>
      </c>
      <c r="C19" s="252">
        <v>0.77403581267715094</v>
      </c>
      <c r="D19" s="252">
        <v>0.72142575797545205</v>
      </c>
      <c r="E19" s="252">
        <v>0.89905104062266472</v>
      </c>
      <c r="F19" s="252">
        <v>0.99257785262383402</v>
      </c>
    </row>
    <row r="20" spans="1:6" x14ac:dyDescent="0.2">
      <c r="A20" s="280">
        <v>40787</v>
      </c>
      <c r="B20" s="252">
        <v>0.83423944611535505</v>
      </c>
      <c r="C20" s="252">
        <v>0.8096388085626911</v>
      </c>
      <c r="D20" s="252">
        <v>0.81868259926233755</v>
      </c>
      <c r="E20" s="252">
        <v>0.92164350833685582</v>
      </c>
      <c r="F20" s="252">
        <v>0.98846511148643146</v>
      </c>
    </row>
    <row r="21" spans="1:6" x14ac:dyDescent="0.2">
      <c r="A21" s="280">
        <v>40878</v>
      </c>
      <c r="B21" s="252">
        <v>0.929594300670054</v>
      </c>
      <c r="C21" s="252">
        <v>0.88142991000822846</v>
      </c>
      <c r="D21" s="252">
        <v>0.8090424149707558</v>
      </c>
      <c r="E21" s="252">
        <v>0.95690746397184445</v>
      </c>
      <c r="F21" s="252">
        <v>1.0224326065977856</v>
      </c>
    </row>
    <row r="22" spans="1:6" x14ac:dyDescent="0.2">
      <c r="A22" s="280">
        <v>40969</v>
      </c>
      <c r="B22" s="252">
        <v>0.866409774058439</v>
      </c>
      <c r="C22" s="252">
        <v>0.81776021061020143</v>
      </c>
      <c r="D22" s="252">
        <v>0.83468288167480886</v>
      </c>
      <c r="E22" s="252">
        <v>0.91264451062246887</v>
      </c>
      <c r="F22" s="252">
        <v>1.0003836231226744</v>
      </c>
    </row>
    <row r="23" spans="1:6" x14ac:dyDescent="0.2">
      <c r="A23" s="280">
        <v>41061</v>
      </c>
      <c r="B23" s="252">
        <v>0.85314962246238191</v>
      </c>
      <c r="C23" s="252">
        <v>0.83676768718777927</v>
      </c>
      <c r="D23" s="252">
        <v>0.75711141016235672</v>
      </c>
      <c r="E23" s="252">
        <v>0.88998871395537849</v>
      </c>
      <c r="F23" s="252">
        <v>0.98082134935693499</v>
      </c>
    </row>
    <row r="24" spans="1:6" x14ac:dyDescent="0.2">
      <c r="A24" s="280">
        <v>41153</v>
      </c>
      <c r="B24" s="252">
        <v>0.77181777549850816</v>
      </c>
      <c r="C24" s="252">
        <v>0.89722915005746684</v>
      </c>
      <c r="D24" s="252">
        <v>0.72766671259496996</v>
      </c>
      <c r="E24" s="252">
        <v>0.86233909543337062</v>
      </c>
      <c r="F24" s="252">
        <v>0.95545725076832122</v>
      </c>
    </row>
    <row r="25" spans="1:6" x14ac:dyDescent="0.2">
      <c r="A25" s="280">
        <v>41244</v>
      </c>
      <c r="B25" s="252">
        <v>0.91857292121731104</v>
      </c>
      <c r="C25" s="252">
        <v>0.90921649502657453</v>
      </c>
      <c r="D25" s="252">
        <v>0.75666856824954443</v>
      </c>
      <c r="E25" s="252">
        <v>0.93628894817273867</v>
      </c>
      <c r="F25" s="252">
        <v>1.0530996230363638</v>
      </c>
    </row>
    <row r="26" spans="1:6" x14ac:dyDescent="0.2">
      <c r="A26" s="280">
        <v>41334</v>
      </c>
      <c r="B26" s="252">
        <v>0.87788494706501841</v>
      </c>
      <c r="C26" s="252">
        <v>0.96700500639939813</v>
      </c>
      <c r="D26" s="252">
        <v>0.72180023201018761</v>
      </c>
      <c r="E26" s="252">
        <v>0.91495991859268133</v>
      </c>
      <c r="F26" s="252">
        <v>1.0321663964788519</v>
      </c>
    </row>
    <row r="27" spans="1:6" x14ac:dyDescent="0.2">
      <c r="A27" s="280">
        <v>41426</v>
      </c>
      <c r="B27" s="252">
        <v>0.81762470326616044</v>
      </c>
      <c r="C27" s="252">
        <v>0.83890303118664955</v>
      </c>
      <c r="D27" s="252">
        <v>0.83550973175885646</v>
      </c>
      <c r="E27" s="252">
        <v>0.90157697115056479</v>
      </c>
      <c r="F27" s="252">
        <v>0.96080230055074423</v>
      </c>
    </row>
    <row r="28" spans="1:6" x14ac:dyDescent="0.2">
      <c r="A28" s="280">
        <v>41518</v>
      </c>
      <c r="B28" s="252">
        <v>0.78193697681484386</v>
      </c>
      <c r="C28" s="449">
        <v>0.74924489393285754</v>
      </c>
      <c r="D28" s="252">
        <v>0.77340052301252271</v>
      </c>
      <c r="E28" s="252">
        <v>0.84674768075037732</v>
      </c>
      <c r="F28" s="252">
        <v>0.92617958733235761</v>
      </c>
    </row>
    <row r="29" spans="1:6" x14ac:dyDescent="0.2">
      <c r="A29" s="280">
        <v>41609</v>
      </c>
      <c r="B29" s="429">
        <v>0.81836669949355767</v>
      </c>
      <c r="C29" s="449">
        <v>0.84909600297973575</v>
      </c>
      <c r="D29" s="252">
        <v>0.7755986105783883</v>
      </c>
      <c r="E29" s="252">
        <v>0.88304929799851706</v>
      </c>
      <c r="F29" s="252">
        <v>0.96853977665773261</v>
      </c>
    </row>
    <row r="30" spans="1:6" x14ac:dyDescent="0.2">
      <c r="A30" s="280">
        <v>41699</v>
      </c>
      <c r="B30" s="429">
        <v>0.8528450326418574</v>
      </c>
      <c r="C30" s="449">
        <v>0.83806783447443978</v>
      </c>
      <c r="D30" s="252">
        <v>0.78882134597148879</v>
      </c>
      <c r="E30" s="252">
        <v>0.89236373746498943</v>
      </c>
      <c r="F30" s="252">
        <v>0.95205646953168599</v>
      </c>
    </row>
    <row r="31" spans="1:6" x14ac:dyDescent="0.2">
      <c r="A31" s="280">
        <v>41791</v>
      </c>
      <c r="B31" s="429">
        <v>0.76177791856862898</v>
      </c>
      <c r="C31" s="449">
        <v>0.7667500652266106</v>
      </c>
      <c r="D31" s="429">
        <v>0.67888653896782447</v>
      </c>
      <c r="E31" s="252">
        <v>0.81443072955796403</v>
      </c>
      <c r="F31" s="252">
        <v>0.89769301587664907</v>
      </c>
    </row>
    <row r="32" spans="1:6" x14ac:dyDescent="0.2">
      <c r="A32" s="280">
        <v>41883</v>
      </c>
      <c r="B32" s="429">
        <v>0.8423636339989804</v>
      </c>
      <c r="C32" s="449">
        <v>0.80371921604679875</v>
      </c>
      <c r="D32" s="429">
        <v>0.71062812520949714</v>
      </c>
      <c r="E32" s="252">
        <v>0.84608234974769359</v>
      </c>
      <c r="F32" s="252">
        <v>0.93461899896471856</v>
      </c>
    </row>
    <row r="33" spans="1:6" x14ac:dyDescent="0.2">
      <c r="A33" s="280">
        <v>41974</v>
      </c>
      <c r="B33" s="429">
        <v>0.90395000182536234</v>
      </c>
      <c r="C33" s="449">
        <v>0.84656132222609082</v>
      </c>
      <c r="D33" s="429">
        <v>0.77364099743336479</v>
      </c>
      <c r="E33" s="252">
        <v>0.91850207807164319</v>
      </c>
      <c r="F33" s="252">
        <v>0.98783819326367006</v>
      </c>
    </row>
    <row r="34" spans="1:6" x14ac:dyDescent="0.2">
      <c r="A34" s="280">
        <v>42064</v>
      </c>
      <c r="B34" s="429">
        <v>0.86266454817533245</v>
      </c>
      <c r="C34" s="449">
        <v>0.89521204630167495</v>
      </c>
      <c r="D34" s="429">
        <v>0.81659512853460514</v>
      </c>
      <c r="E34" s="449">
        <v>0.91333123750694567</v>
      </c>
      <c r="F34" s="252">
        <v>1.008183931182862</v>
      </c>
    </row>
    <row r="35" spans="1:6" x14ac:dyDescent="0.2">
      <c r="A35" s="280">
        <v>42156</v>
      </c>
      <c r="B35" s="429">
        <v>0.8192635436606337</v>
      </c>
      <c r="C35" s="449">
        <v>0.87456141770372897</v>
      </c>
      <c r="D35" s="429">
        <v>0.70158068194851497</v>
      </c>
      <c r="E35" s="449">
        <v>0.85850204346627301</v>
      </c>
      <c r="F35" s="252">
        <v>0.93540357216103753</v>
      </c>
    </row>
    <row r="36" spans="1:6" x14ac:dyDescent="0.2">
      <c r="A36" s="280">
        <v>42248</v>
      </c>
      <c r="B36" s="429">
        <v>0.83555565920148245</v>
      </c>
      <c r="C36" s="449">
        <v>0.7933290031921999</v>
      </c>
      <c r="D36" s="429">
        <v>0.71844119640327331</v>
      </c>
      <c r="E36" s="449">
        <v>0.85428282593649263</v>
      </c>
      <c r="F36" s="429">
        <v>0.8985086399418003</v>
      </c>
    </row>
    <row r="37" spans="1:6" x14ac:dyDescent="0.2">
      <c r="A37" s="280">
        <v>42339</v>
      </c>
      <c r="B37" s="429">
        <v>0.90614247224050881</v>
      </c>
      <c r="C37" s="449">
        <v>0.85902149720461829</v>
      </c>
      <c r="D37" s="429">
        <v>0.72920651958108196</v>
      </c>
      <c r="E37" s="449">
        <v>0.90959678100078134</v>
      </c>
      <c r="F37" s="429">
        <v>0.95147180385795305</v>
      </c>
    </row>
    <row r="38" spans="1:6" x14ac:dyDescent="0.2">
      <c r="A38" s="280">
        <v>42430</v>
      </c>
      <c r="B38" s="429">
        <v>0.8910820686320301</v>
      </c>
      <c r="C38" s="449">
        <v>0.83946125178572439</v>
      </c>
      <c r="D38" s="429">
        <v>0.75232344873862012</v>
      </c>
      <c r="E38" s="449">
        <v>0.91280162569458334</v>
      </c>
      <c r="F38" s="429">
        <v>0.97292421540640139</v>
      </c>
    </row>
    <row r="39" spans="1:6" x14ac:dyDescent="0.2">
      <c r="A39" s="280">
        <v>42522</v>
      </c>
      <c r="B39" s="429">
        <v>0.81428978323793222</v>
      </c>
      <c r="C39" s="449">
        <v>0.71760701756969436</v>
      </c>
      <c r="D39" s="429">
        <v>0.71959400135170215</v>
      </c>
      <c r="E39" s="449">
        <v>0.83919288428746652</v>
      </c>
      <c r="F39" s="429">
        <v>0.8628634552593305</v>
      </c>
    </row>
    <row r="40" spans="1:6" x14ac:dyDescent="0.2">
      <c r="A40" s="280">
        <v>42614</v>
      </c>
      <c r="B40" s="429">
        <v>0.84537771102748815</v>
      </c>
      <c r="C40" s="449">
        <v>0.74125461015313687</v>
      </c>
      <c r="D40" s="429">
        <v>0.74239321529965552</v>
      </c>
      <c r="E40" s="449">
        <v>0.8558458495656186</v>
      </c>
      <c r="F40" s="429">
        <v>0.87009878711214794</v>
      </c>
    </row>
    <row r="41" spans="1:6" x14ac:dyDescent="0.2">
      <c r="A41" s="280">
        <v>42705</v>
      </c>
      <c r="B41" s="429">
        <v>0.82074285344504883</v>
      </c>
      <c r="C41" s="252">
        <v>0.89946323218455415</v>
      </c>
      <c r="D41" s="429">
        <v>0.73135145835533222</v>
      </c>
      <c r="E41" s="449">
        <v>0.86502615169722807</v>
      </c>
      <c r="F41" s="252">
        <v>0.935819624625012</v>
      </c>
    </row>
    <row r="42" spans="1:6" x14ac:dyDescent="0.2">
      <c r="A42" s="280">
        <v>42795</v>
      </c>
      <c r="B42" s="252">
        <v>0.84257867233308303</v>
      </c>
      <c r="C42" s="252">
        <v>0.83815219399235341</v>
      </c>
      <c r="D42" s="252">
        <v>0.77130445055615127</v>
      </c>
      <c r="E42" s="252">
        <v>0.84876814351163221</v>
      </c>
      <c r="F42" s="252">
        <v>0.93212163563130523</v>
      </c>
    </row>
    <row r="43" spans="1:6" x14ac:dyDescent="0.2">
      <c r="A43" s="280"/>
      <c r="B43" s="252"/>
      <c r="C43" s="252"/>
      <c r="D43" s="252"/>
      <c r="E43" s="252"/>
      <c r="F43" s="252"/>
    </row>
    <row r="44" spans="1:6" x14ac:dyDescent="0.2">
      <c r="A44" s="280"/>
      <c r="B44" s="252"/>
      <c r="C44" s="252"/>
      <c r="D44" s="252"/>
      <c r="E44" s="252"/>
      <c r="F44" s="252"/>
    </row>
    <row r="45" spans="1:6" x14ac:dyDescent="0.2">
      <c r="A45" s="280"/>
      <c r="B45" s="252"/>
      <c r="C45" s="252"/>
      <c r="D45" s="252"/>
      <c r="E45" s="252"/>
      <c r="F45" s="252"/>
    </row>
    <row r="46" spans="1:6" x14ac:dyDescent="0.2">
      <c r="A46" s="280"/>
      <c r="B46" s="252"/>
      <c r="C46" s="252"/>
      <c r="D46" s="252"/>
      <c r="E46" s="252"/>
      <c r="F46" s="252"/>
    </row>
    <row r="47" spans="1:6" x14ac:dyDescent="0.2">
      <c r="A47" s="280"/>
      <c r="B47" s="252"/>
      <c r="C47" s="252"/>
      <c r="D47" s="252"/>
      <c r="E47" s="252"/>
      <c r="F47" s="252"/>
    </row>
    <row r="48" spans="1:6" x14ac:dyDescent="0.2">
      <c r="A48" s="280"/>
      <c r="B48" s="252"/>
      <c r="C48" s="252"/>
      <c r="D48" s="252"/>
      <c r="E48" s="252"/>
      <c r="F48" s="252"/>
    </row>
    <row r="49" spans="1:6" x14ac:dyDescent="0.2">
      <c r="A49" s="280"/>
      <c r="B49" s="252"/>
      <c r="C49" s="252"/>
      <c r="D49" s="252"/>
      <c r="E49" s="252"/>
      <c r="F49" s="252"/>
    </row>
    <row r="50" spans="1:6" x14ac:dyDescent="0.2">
      <c r="A50" s="280"/>
      <c r="B50" s="252"/>
      <c r="C50" s="252"/>
      <c r="D50" s="252"/>
      <c r="E50" s="252"/>
      <c r="F50" s="252"/>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W61"/>
  <sheetViews>
    <sheetView workbookViewId="0">
      <pane xSplit="1" topLeftCell="B1" activePane="topRight" state="frozen"/>
      <selection pane="topRight"/>
    </sheetView>
  </sheetViews>
  <sheetFormatPr defaultColWidth="9.140625" defaultRowHeight="12.75" x14ac:dyDescent="0.2"/>
  <cols>
    <col min="1" max="1" width="35" style="117" customWidth="1"/>
    <col min="2" max="2" width="10" style="117" customWidth="1"/>
    <col min="3" max="13" width="9.140625" style="117" customWidth="1"/>
    <col min="14" max="16384" width="9.140625" style="117"/>
  </cols>
  <sheetData>
    <row r="1" spans="1:49" x14ac:dyDescent="0.2">
      <c r="A1" s="116" t="s">
        <v>360</v>
      </c>
    </row>
    <row r="2" spans="1:49" x14ac:dyDescent="0.2">
      <c r="A2" s="116"/>
    </row>
    <row r="3" spans="1:49" x14ac:dyDescent="0.2">
      <c r="A3" s="118" t="s">
        <v>454</v>
      </c>
      <c r="B3" s="117" t="s">
        <v>54</v>
      </c>
    </row>
    <row r="4" spans="1:49" x14ac:dyDescent="0.2">
      <c r="A4" s="118" t="s">
        <v>156</v>
      </c>
      <c r="B4" s="136">
        <f>HLOOKUP(MAX(B10:AW10),B10:AW26,17,0)</f>
        <v>0.83940886699507389</v>
      </c>
    </row>
    <row r="5" spans="1:49" x14ac:dyDescent="0.2">
      <c r="A5" s="118" t="s">
        <v>157</v>
      </c>
      <c r="B5" s="149">
        <f>HLOOKUP(MAX(B10:AW10),B10:AW19,10,0)</f>
        <v>1198</v>
      </c>
    </row>
    <row r="6" spans="1:49" x14ac:dyDescent="0.2">
      <c r="A6" s="118" t="s">
        <v>119</v>
      </c>
      <c r="B6" s="138">
        <f>MAX(B10:AW10)</f>
        <v>42948</v>
      </c>
    </row>
    <row r="7" spans="1:49" x14ac:dyDescent="0.2">
      <c r="A7" s="118" t="s">
        <v>201</v>
      </c>
      <c r="B7" s="419" t="s">
        <v>181</v>
      </c>
    </row>
    <row r="8" spans="1:49" x14ac:dyDescent="0.2">
      <c r="A8" s="118" t="s">
        <v>456</v>
      </c>
      <c r="B8" s="173" t="s">
        <v>139</v>
      </c>
    </row>
    <row r="9" spans="1:49" x14ac:dyDescent="0.2">
      <c r="A9" s="134"/>
    </row>
    <row r="10" spans="1:49" x14ac:dyDescent="0.2">
      <c r="A10" s="239"/>
      <c r="B10" s="283">
        <v>42095</v>
      </c>
      <c r="C10" s="283">
        <v>42125</v>
      </c>
      <c r="D10" s="283">
        <v>42156</v>
      </c>
      <c r="E10" s="283">
        <v>42186</v>
      </c>
      <c r="F10" s="283">
        <v>42217</v>
      </c>
      <c r="G10" s="283">
        <v>42248</v>
      </c>
      <c r="H10" s="283">
        <v>42278</v>
      </c>
      <c r="I10" s="283">
        <v>42309</v>
      </c>
      <c r="J10" s="167">
        <v>42339</v>
      </c>
      <c r="K10" s="167">
        <v>42370</v>
      </c>
      <c r="L10" s="167">
        <v>42401</v>
      </c>
      <c r="M10" s="167">
        <v>42430</v>
      </c>
      <c r="N10" s="167">
        <v>42461</v>
      </c>
      <c r="O10" s="167">
        <v>42491</v>
      </c>
      <c r="P10" s="167">
        <v>42522</v>
      </c>
      <c r="Q10" s="167">
        <v>42552</v>
      </c>
      <c r="R10" s="167">
        <v>42583</v>
      </c>
      <c r="S10" s="167">
        <v>42614</v>
      </c>
      <c r="T10" s="167">
        <v>42644</v>
      </c>
      <c r="U10" s="167">
        <v>42675</v>
      </c>
      <c r="V10" s="167">
        <v>42705</v>
      </c>
      <c r="W10" s="167">
        <v>42736</v>
      </c>
      <c r="X10" s="167">
        <v>42767</v>
      </c>
      <c r="Y10" s="167">
        <v>42795</v>
      </c>
      <c r="Z10" s="167">
        <v>42826</v>
      </c>
      <c r="AA10" s="167">
        <v>42856</v>
      </c>
      <c r="AB10" s="549">
        <v>42887</v>
      </c>
      <c r="AC10" s="549">
        <v>42917</v>
      </c>
      <c r="AD10" s="283">
        <v>42948</v>
      </c>
      <c r="AE10" s="283"/>
      <c r="AF10" s="283"/>
      <c r="AG10" s="283"/>
      <c r="AH10" s="167"/>
      <c r="AI10" s="167"/>
      <c r="AJ10" s="167"/>
      <c r="AK10" s="167"/>
      <c r="AL10" s="167"/>
      <c r="AM10" s="167"/>
      <c r="AN10" s="167"/>
      <c r="AO10" s="167"/>
      <c r="AP10" s="167"/>
      <c r="AQ10" s="167"/>
      <c r="AR10" s="167"/>
      <c r="AS10" s="167"/>
      <c r="AT10" s="167"/>
      <c r="AU10" s="167"/>
      <c r="AV10" s="167"/>
      <c r="AW10" s="167"/>
    </row>
    <row r="11" spans="1:49" x14ac:dyDescent="0.2">
      <c r="A11" s="239" t="s">
        <v>410</v>
      </c>
      <c r="B11" s="129">
        <v>137</v>
      </c>
      <c r="C11" s="129">
        <v>123</v>
      </c>
      <c r="D11" s="129">
        <v>92</v>
      </c>
      <c r="E11" s="129">
        <v>104</v>
      </c>
      <c r="F11" s="129">
        <v>133</v>
      </c>
      <c r="G11" s="129">
        <v>143</v>
      </c>
      <c r="H11" s="129">
        <v>116</v>
      </c>
      <c r="I11" s="129">
        <v>76</v>
      </c>
      <c r="J11" s="284">
        <v>33</v>
      </c>
      <c r="K11" s="284">
        <v>23</v>
      </c>
      <c r="L11" s="284">
        <v>37</v>
      </c>
      <c r="M11" s="284">
        <v>59</v>
      </c>
      <c r="N11" s="284">
        <v>122</v>
      </c>
      <c r="O11" s="284">
        <v>136</v>
      </c>
      <c r="P11" s="284">
        <v>182</v>
      </c>
      <c r="Q11" s="284">
        <v>221</v>
      </c>
      <c r="R11" s="284">
        <v>296</v>
      </c>
      <c r="S11" s="284">
        <v>386</v>
      </c>
      <c r="T11" s="284">
        <v>398</v>
      </c>
      <c r="U11" s="284">
        <v>458</v>
      </c>
      <c r="V11" s="284">
        <v>490</v>
      </c>
      <c r="W11" s="284">
        <v>509</v>
      </c>
      <c r="X11" s="284">
        <v>557</v>
      </c>
      <c r="Y11" s="284">
        <v>600</v>
      </c>
      <c r="Z11" s="284">
        <v>574</v>
      </c>
      <c r="AA11" s="129">
        <v>579</v>
      </c>
      <c r="AB11" s="129">
        <v>529</v>
      </c>
      <c r="AC11" s="129">
        <v>463</v>
      </c>
      <c r="AD11" s="129">
        <v>474</v>
      </c>
      <c r="AE11" s="129"/>
      <c r="AF11" s="129"/>
      <c r="AG11" s="129"/>
      <c r="AH11" s="284"/>
      <c r="AI11" s="284"/>
      <c r="AJ11" s="284"/>
      <c r="AK11" s="284"/>
      <c r="AL11" s="284"/>
      <c r="AM11" s="284"/>
      <c r="AN11" s="284"/>
      <c r="AO11" s="284"/>
      <c r="AP11" s="284"/>
      <c r="AQ11" s="284"/>
      <c r="AR11" s="284"/>
      <c r="AS11" s="284"/>
      <c r="AT11" s="284"/>
      <c r="AU11" s="284"/>
      <c r="AV11" s="284"/>
      <c r="AW11" s="284"/>
    </row>
    <row r="12" spans="1:49" x14ac:dyDescent="0.2">
      <c r="A12" s="239" t="s">
        <v>412</v>
      </c>
      <c r="B12" s="129">
        <v>88</v>
      </c>
      <c r="C12" s="129">
        <v>86</v>
      </c>
      <c r="D12" s="129">
        <v>60</v>
      </c>
      <c r="E12" s="129">
        <v>55</v>
      </c>
      <c r="F12" s="129">
        <v>62</v>
      </c>
      <c r="G12" s="129">
        <v>40</v>
      </c>
      <c r="H12" s="129">
        <v>32</v>
      </c>
      <c r="I12" s="129">
        <v>24</v>
      </c>
      <c r="J12" s="284">
        <v>25</v>
      </c>
      <c r="K12" s="284">
        <v>28</v>
      </c>
      <c r="L12" s="284">
        <v>42</v>
      </c>
      <c r="M12" s="284">
        <v>52</v>
      </c>
      <c r="N12" s="284">
        <v>73</v>
      </c>
      <c r="O12" s="284">
        <v>52</v>
      </c>
      <c r="P12" s="284">
        <v>32</v>
      </c>
      <c r="Q12" s="284">
        <v>47</v>
      </c>
      <c r="R12" s="284">
        <v>77</v>
      </c>
      <c r="S12" s="284">
        <v>105</v>
      </c>
      <c r="T12" s="284">
        <v>119</v>
      </c>
      <c r="U12" s="284">
        <v>226</v>
      </c>
      <c r="V12" s="284">
        <v>326</v>
      </c>
      <c r="W12" s="284">
        <v>392</v>
      </c>
      <c r="X12" s="284">
        <v>368</v>
      </c>
      <c r="Y12" s="284">
        <v>271</v>
      </c>
      <c r="Z12" s="284">
        <v>344</v>
      </c>
      <c r="AA12" s="129">
        <v>342</v>
      </c>
      <c r="AB12" s="129">
        <v>310</v>
      </c>
      <c r="AC12" s="129">
        <v>294</v>
      </c>
      <c r="AD12" s="129">
        <v>306</v>
      </c>
      <c r="AE12" s="129"/>
      <c r="AF12" s="129"/>
      <c r="AG12" s="129"/>
      <c r="AH12" s="284"/>
      <c r="AI12" s="284"/>
      <c r="AJ12" s="284"/>
      <c r="AK12" s="284"/>
      <c r="AL12" s="284"/>
      <c r="AM12" s="284"/>
      <c r="AN12" s="284"/>
      <c r="AO12" s="284"/>
      <c r="AP12" s="284"/>
      <c r="AQ12" s="284"/>
      <c r="AR12" s="284"/>
      <c r="AS12" s="284"/>
      <c r="AT12" s="284"/>
      <c r="AU12" s="284"/>
      <c r="AV12" s="284"/>
      <c r="AW12" s="284"/>
    </row>
    <row r="13" spans="1:49" x14ac:dyDescent="0.2">
      <c r="A13" s="285" t="s">
        <v>411</v>
      </c>
      <c r="B13" s="129">
        <v>48</v>
      </c>
      <c r="C13" s="129">
        <v>39</v>
      </c>
      <c r="D13" s="129">
        <v>18</v>
      </c>
      <c r="E13" s="129">
        <v>29</v>
      </c>
      <c r="F13" s="129">
        <v>21</v>
      </c>
      <c r="G13" s="129">
        <v>15</v>
      </c>
      <c r="H13" s="129">
        <v>18</v>
      </c>
      <c r="I13" s="129">
        <v>9</v>
      </c>
      <c r="J13" s="284">
        <v>12</v>
      </c>
      <c r="K13" s="284">
        <v>25</v>
      </c>
      <c r="L13" s="284">
        <v>30</v>
      </c>
      <c r="M13" s="284">
        <v>51</v>
      </c>
      <c r="N13" s="284">
        <v>51</v>
      </c>
      <c r="O13" s="284">
        <v>71</v>
      </c>
      <c r="P13" s="284">
        <v>59</v>
      </c>
      <c r="Q13" s="284">
        <v>67</v>
      </c>
      <c r="R13" s="284">
        <v>45</v>
      </c>
      <c r="S13" s="284">
        <v>117</v>
      </c>
      <c r="T13" s="284">
        <v>155</v>
      </c>
      <c r="U13" s="284">
        <v>128</v>
      </c>
      <c r="V13" s="284">
        <v>134</v>
      </c>
      <c r="W13" s="284">
        <v>132</v>
      </c>
      <c r="X13" s="284">
        <v>149</v>
      </c>
      <c r="Y13" s="284">
        <v>111</v>
      </c>
      <c r="Z13" s="284">
        <v>151</v>
      </c>
      <c r="AA13" s="129">
        <v>104</v>
      </c>
      <c r="AB13" s="129">
        <v>106</v>
      </c>
      <c r="AC13" s="129">
        <v>110</v>
      </c>
      <c r="AD13" s="129">
        <v>70</v>
      </c>
      <c r="AE13" s="129"/>
      <c r="AF13" s="129"/>
      <c r="AG13" s="129"/>
      <c r="AH13" s="284"/>
      <c r="AI13" s="284"/>
      <c r="AJ13" s="284"/>
      <c r="AK13" s="284"/>
      <c r="AL13" s="284"/>
      <c r="AM13" s="284"/>
      <c r="AN13" s="284"/>
      <c r="AO13" s="284"/>
      <c r="AP13" s="284"/>
      <c r="AQ13" s="284"/>
      <c r="AR13" s="284"/>
      <c r="AS13" s="284"/>
      <c r="AT13" s="284"/>
      <c r="AU13" s="284"/>
      <c r="AV13" s="284"/>
      <c r="AW13" s="284"/>
    </row>
    <row r="14" spans="1:49" x14ac:dyDescent="0.2">
      <c r="A14" s="239" t="s">
        <v>171</v>
      </c>
      <c r="B14" s="129">
        <v>1</v>
      </c>
      <c r="C14" s="129">
        <v>4</v>
      </c>
      <c r="D14" s="129">
        <v>1</v>
      </c>
      <c r="E14" s="129">
        <v>1</v>
      </c>
      <c r="F14" s="129">
        <v>1</v>
      </c>
      <c r="G14" s="129">
        <v>1</v>
      </c>
      <c r="H14" s="129">
        <v>0</v>
      </c>
      <c r="I14" s="129">
        <v>0</v>
      </c>
      <c r="J14" s="284">
        <v>0</v>
      </c>
      <c r="K14" s="284">
        <v>2</v>
      </c>
      <c r="L14" s="284">
        <v>5</v>
      </c>
      <c r="M14" s="284">
        <v>2</v>
      </c>
      <c r="N14" s="284">
        <v>1</v>
      </c>
      <c r="O14" s="284">
        <v>1</v>
      </c>
      <c r="P14" s="284">
        <v>3</v>
      </c>
      <c r="Q14" s="284">
        <v>4</v>
      </c>
      <c r="R14" s="284">
        <v>2</v>
      </c>
      <c r="S14" s="284">
        <v>2</v>
      </c>
      <c r="T14" s="284">
        <v>3</v>
      </c>
      <c r="U14" s="284">
        <v>11</v>
      </c>
      <c r="V14" s="284">
        <v>15</v>
      </c>
      <c r="W14" s="284">
        <v>39</v>
      </c>
      <c r="X14" s="284">
        <v>39</v>
      </c>
      <c r="Y14" s="284">
        <v>26</v>
      </c>
      <c r="Z14" s="284">
        <v>46</v>
      </c>
      <c r="AA14" s="129">
        <v>60</v>
      </c>
      <c r="AB14" s="129">
        <v>59</v>
      </c>
      <c r="AC14" s="129">
        <v>60</v>
      </c>
      <c r="AD14" s="129">
        <v>59</v>
      </c>
      <c r="AE14" s="129"/>
      <c r="AF14" s="129"/>
      <c r="AG14" s="129"/>
      <c r="AH14" s="284"/>
      <c r="AI14" s="284"/>
      <c r="AJ14" s="284"/>
      <c r="AK14" s="284"/>
      <c r="AL14" s="284"/>
      <c r="AM14" s="284"/>
      <c r="AN14" s="284"/>
      <c r="AO14" s="284"/>
      <c r="AP14" s="284"/>
      <c r="AQ14" s="284"/>
      <c r="AR14" s="284"/>
      <c r="AS14" s="284"/>
      <c r="AT14" s="284"/>
      <c r="AU14" s="284"/>
      <c r="AV14" s="284"/>
      <c r="AW14" s="284"/>
    </row>
    <row r="15" spans="1:49" x14ac:dyDescent="0.2">
      <c r="A15" s="239" t="s">
        <v>514</v>
      </c>
      <c r="B15" s="129">
        <v>21</v>
      </c>
      <c r="C15" s="129">
        <v>15</v>
      </c>
      <c r="D15" s="129">
        <v>3</v>
      </c>
      <c r="E15" s="129">
        <v>12</v>
      </c>
      <c r="F15" s="129">
        <v>12</v>
      </c>
      <c r="G15" s="129">
        <v>5</v>
      </c>
      <c r="H15" s="129">
        <v>5</v>
      </c>
      <c r="I15" s="129">
        <v>3</v>
      </c>
      <c r="J15" s="284">
        <v>4</v>
      </c>
      <c r="K15" s="284">
        <v>2</v>
      </c>
      <c r="L15" s="284">
        <v>3</v>
      </c>
      <c r="M15" s="284">
        <v>7</v>
      </c>
      <c r="N15" s="284">
        <v>4</v>
      </c>
      <c r="O15" s="284">
        <v>8</v>
      </c>
      <c r="P15" s="284">
        <v>9</v>
      </c>
      <c r="Q15" s="284">
        <v>20</v>
      </c>
      <c r="R15" s="284">
        <v>23</v>
      </c>
      <c r="S15" s="284">
        <v>23</v>
      </c>
      <c r="T15" s="284">
        <v>19</v>
      </c>
      <c r="U15" s="284">
        <v>22</v>
      </c>
      <c r="V15" s="284">
        <v>23</v>
      </c>
      <c r="W15" s="284">
        <v>22</v>
      </c>
      <c r="X15" s="284">
        <v>32</v>
      </c>
      <c r="Y15" s="284">
        <v>45</v>
      </c>
      <c r="Z15" s="284">
        <v>42</v>
      </c>
      <c r="AA15" s="129">
        <v>40</v>
      </c>
      <c r="AB15" s="129">
        <v>41</v>
      </c>
      <c r="AC15" s="129">
        <v>55</v>
      </c>
      <c r="AD15" s="129">
        <v>51</v>
      </c>
      <c r="AE15" s="129"/>
      <c r="AF15" s="129"/>
      <c r="AG15" s="129"/>
      <c r="AH15" s="284"/>
      <c r="AI15" s="284"/>
      <c r="AJ15" s="284"/>
      <c r="AK15" s="284"/>
      <c r="AL15" s="284"/>
      <c r="AM15" s="284"/>
      <c r="AN15" s="284"/>
      <c r="AO15" s="284"/>
      <c r="AP15" s="284"/>
      <c r="AQ15" s="284"/>
      <c r="AR15" s="284"/>
      <c r="AS15" s="284"/>
      <c r="AT15" s="284"/>
      <c r="AU15" s="284"/>
      <c r="AV15" s="284"/>
      <c r="AW15" s="284"/>
    </row>
    <row r="16" spans="1:49" x14ac:dyDescent="0.2">
      <c r="A16" s="239" t="s">
        <v>290</v>
      </c>
      <c r="B16" s="129">
        <v>1</v>
      </c>
      <c r="C16" s="129">
        <v>0</v>
      </c>
      <c r="D16" s="129">
        <v>1</v>
      </c>
      <c r="E16" s="129">
        <v>2</v>
      </c>
      <c r="F16" s="129">
        <v>1</v>
      </c>
      <c r="G16" s="129">
        <v>0</v>
      </c>
      <c r="H16" s="129">
        <v>1</v>
      </c>
      <c r="I16" s="129">
        <v>2</v>
      </c>
      <c r="J16" s="284">
        <v>1</v>
      </c>
      <c r="K16" s="284">
        <v>13</v>
      </c>
      <c r="L16" s="284">
        <v>16</v>
      </c>
      <c r="M16" s="284">
        <v>21</v>
      </c>
      <c r="N16" s="284">
        <v>18</v>
      </c>
      <c r="O16" s="284">
        <v>5</v>
      </c>
      <c r="P16" s="284">
        <v>3</v>
      </c>
      <c r="Q16" s="284">
        <v>4</v>
      </c>
      <c r="R16" s="284">
        <v>14</v>
      </c>
      <c r="S16" s="284">
        <v>10</v>
      </c>
      <c r="T16" s="284">
        <v>38</v>
      </c>
      <c r="U16" s="284">
        <v>87</v>
      </c>
      <c r="V16" s="284">
        <v>138</v>
      </c>
      <c r="W16" s="284">
        <v>138</v>
      </c>
      <c r="X16" s="284">
        <v>128</v>
      </c>
      <c r="Y16" s="284">
        <v>124</v>
      </c>
      <c r="Z16" s="284">
        <v>117</v>
      </c>
      <c r="AA16" s="129">
        <v>76</v>
      </c>
      <c r="AB16" s="129">
        <v>46</v>
      </c>
      <c r="AC16" s="129">
        <v>39</v>
      </c>
      <c r="AD16" s="129">
        <v>12</v>
      </c>
      <c r="AE16" s="129"/>
      <c r="AF16" s="129"/>
      <c r="AG16" s="129"/>
      <c r="AH16" s="284"/>
      <c r="AI16" s="284"/>
      <c r="AJ16" s="284"/>
      <c r="AK16" s="284"/>
      <c r="AL16" s="284"/>
      <c r="AM16" s="284"/>
      <c r="AN16" s="284"/>
      <c r="AO16" s="284"/>
      <c r="AP16" s="284"/>
      <c r="AQ16" s="284"/>
      <c r="AR16" s="284"/>
      <c r="AS16" s="284"/>
      <c r="AT16" s="284"/>
      <c r="AU16" s="284"/>
      <c r="AV16" s="284"/>
      <c r="AW16" s="284"/>
    </row>
    <row r="17" spans="1:49" x14ac:dyDescent="0.2">
      <c r="A17" s="239" t="s">
        <v>761</v>
      </c>
      <c r="B17" s="129">
        <v>42</v>
      </c>
      <c r="C17" s="129">
        <v>46</v>
      </c>
      <c r="D17" s="129">
        <v>34</v>
      </c>
      <c r="E17" s="129">
        <v>31</v>
      </c>
      <c r="F17" s="129">
        <v>30</v>
      </c>
      <c r="G17" s="129">
        <v>33</v>
      </c>
      <c r="H17" s="129">
        <v>30</v>
      </c>
      <c r="I17" s="129">
        <v>20</v>
      </c>
      <c r="J17" s="284">
        <v>2</v>
      </c>
      <c r="K17" s="284">
        <v>0</v>
      </c>
      <c r="L17" s="284">
        <v>3</v>
      </c>
      <c r="M17" s="284">
        <v>4</v>
      </c>
      <c r="N17" s="284">
        <v>10</v>
      </c>
      <c r="O17" s="284">
        <v>9</v>
      </c>
      <c r="P17" s="284">
        <v>5</v>
      </c>
      <c r="Q17" s="284">
        <v>7</v>
      </c>
      <c r="R17" s="284">
        <v>17</v>
      </c>
      <c r="S17" s="284">
        <v>21</v>
      </c>
      <c r="T17" s="284">
        <v>31</v>
      </c>
      <c r="U17" s="284">
        <v>41</v>
      </c>
      <c r="V17" s="284">
        <v>34</v>
      </c>
      <c r="W17" s="284">
        <v>16</v>
      </c>
      <c r="X17" s="284">
        <v>15</v>
      </c>
      <c r="Y17" s="284">
        <v>7</v>
      </c>
      <c r="Z17" s="284">
        <v>12</v>
      </c>
      <c r="AA17" s="129">
        <v>21</v>
      </c>
      <c r="AB17" s="129">
        <v>33</v>
      </c>
      <c r="AC17" s="129">
        <v>32</v>
      </c>
      <c r="AD17" s="129">
        <v>28</v>
      </c>
      <c r="AE17" s="129"/>
      <c r="AF17" s="129"/>
      <c r="AG17" s="129"/>
      <c r="AH17" s="284"/>
      <c r="AI17" s="284"/>
      <c r="AJ17" s="284"/>
      <c r="AK17" s="284"/>
      <c r="AL17" s="284"/>
      <c r="AM17" s="284"/>
      <c r="AN17" s="284"/>
      <c r="AO17" s="284"/>
      <c r="AP17" s="284"/>
      <c r="AQ17" s="284"/>
      <c r="AR17" s="284"/>
      <c r="AS17" s="284"/>
      <c r="AT17" s="284"/>
      <c r="AU17" s="284"/>
      <c r="AV17" s="284"/>
      <c r="AW17" s="284"/>
    </row>
    <row r="18" spans="1:49" x14ac:dyDescent="0.2">
      <c r="A18" s="239" t="s">
        <v>413</v>
      </c>
      <c r="B18" s="129">
        <v>162</v>
      </c>
      <c r="C18" s="129">
        <v>163</v>
      </c>
      <c r="D18" s="129">
        <v>140</v>
      </c>
      <c r="E18" s="129">
        <v>113</v>
      </c>
      <c r="F18" s="129">
        <v>138</v>
      </c>
      <c r="G18" s="129">
        <v>108</v>
      </c>
      <c r="H18" s="129">
        <v>75</v>
      </c>
      <c r="I18" s="129">
        <v>59</v>
      </c>
      <c r="J18" s="284">
        <v>50</v>
      </c>
      <c r="K18" s="284">
        <v>68</v>
      </c>
      <c r="L18" s="284">
        <v>85</v>
      </c>
      <c r="M18" s="284">
        <v>93</v>
      </c>
      <c r="N18" s="284">
        <v>125</v>
      </c>
      <c r="O18" s="284">
        <v>134</v>
      </c>
      <c r="P18" s="284">
        <v>106</v>
      </c>
      <c r="Q18" s="284">
        <v>93</v>
      </c>
      <c r="R18" s="284">
        <v>109</v>
      </c>
      <c r="S18" s="284">
        <v>127</v>
      </c>
      <c r="T18" s="284">
        <v>147</v>
      </c>
      <c r="U18" s="284">
        <v>141</v>
      </c>
      <c r="V18" s="284">
        <v>158</v>
      </c>
      <c r="W18" s="284">
        <v>186</v>
      </c>
      <c r="X18" s="284">
        <v>209</v>
      </c>
      <c r="Y18" s="284">
        <v>178</v>
      </c>
      <c r="Z18" s="284">
        <v>214</v>
      </c>
      <c r="AA18" s="129">
        <v>225</v>
      </c>
      <c r="AB18" s="129">
        <v>237</v>
      </c>
      <c r="AC18" s="129">
        <v>227</v>
      </c>
      <c r="AD18" s="129">
        <v>198</v>
      </c>
      <c r="AE18" s="129"/>
      <c r="AF18" s="129"/>
      <c r="AG18" s="129"/>
      <c r="AH18" s="284"/>
      <c r="AI18" s="284"/>
      <c r="AJ18" s="284"/>
      <c r="AK18" s="284"/>
      <c r="AL18" s="284"/>
      <c r="AM18" s="284"/>
      <c r="AN18" s="284"/>
      <c r="AO18" s="284"/>
      <c r="AP18" s="284"/>
      <c r="AQ18" s="284"/>
      <c r="AR18" s="284"/>
      <c r="AS18" s="284"/>
      <c r="AT18" s="284"/>
      <c r="AU18" s="284"/>
      <c r="AV18" s="284"/>
      <c r="AW18" s="284"/>
    </row>
    <row r="19" spans="1:49" x14ac:dyDescent="0.2">
      <c r="A19" s="286" t="s">
        <v>612</v>
      </c>
      <c r="B19" s="104">
        <v>500</v>
      </c>
      <c r="C19" s="104">
        <v>476</v>
      </c>
      <c r="D19" s="104">
        <v>349</v>
      </c>
      <c r="E19" s="104">
        <v>347</v>
      </c>
      <c r="F19" s="104">
        <v>398</v>
      </c>
      <c r="G19" s="104">
        <v>345</v>
      </c>
      <c r="H19" s="104">
        <v>277</v>
      </c>
      <c r="I19" s="104">
        <v>193</v>
      </c>
      <c r="J19" s="287">
        <v>127</v>
      </c>
      <c r="K19" s="287">
        <v>161</v>
      </c>
      <c r="L19" s="287">
        <v>221</v>
      </c>
      <c r="M19" s="287">
        <v>289</v>
      </c>
      <c r="N19" s="287">
        <v>404</v>
      </c>
      <c r="O19" s="287">
        <v>416</v>
      </c>
      <c r="P19" s="287">
        <v>399</v>
      </c>
      <c r="Q19" s="287">
        <v>463</v>
      </c>
      <c r="R19" s="287">
        <v>583</v>
      </c>
      <c r="S19" s="287">
        <v>791</v>
      </c>
      <c r="T19" s="287">
        <v>910</v>
      </c>
      <c r="U19" s="287">
        <v>1114</v>
      </c>
      <c r="V19" s="287">
        <v>1318</v>
      </c>
      <c r="W19" s="287">
        <v>1434</v>
      </c>
      <c r="X19" s="287">
        <v>1497</v>
      </c>
      <c r="Y19" s="287">
        <v>1362</v>
      </c>
      <c r="Z19" s="287">
        <v>1500</v>
      </c>
      <c r="AA19" s="104">
        <v>1447</v>
      </c>
      <c r="AB19" s="104">
        <v>1361</v>
      </c>
      <c r="AC19" s="104">
        <v>1280</v>
      </c>
      <c r="AD19" s="104">
        <v>1198</v>
      </c>
      <c r="AE19" s="104"/>
      <c r="AF19" s="104"/>
      <c r="AG19" s="104"/>
      <c r="AH19" s="287"/>
      <c r="AI19" s="287"/>
      <c r="AJ19" s="287"/>
      <c r="AK19" s="287"/>
      <c r="AL19" s="287"/>
      <c r="AM19" s="287"/>
      <c r="AN19" s="287"/>
      <c r="AO19" s="287"/>
      <c r="AP19" s="287"/>
      <c r="AQ19" s="287"/>
      <c r="AR19" s="287"/>
      <c r="AS19" s="287"/>
      <c r="AT19" s="287"/>
      <c r="AU19" s="287"/>
      <c r="AV19" s="287"/>
      <c r="AW19" s="287"/>
    </row>
    <row r="20" spans="1:49" s="433" customFormat="1" x14ac:dyDescent="0.2">
      <c r="A20" s="436" t="s">
        <v>16</v>
      </c>
      <c r="B20" s="437">
        <v>0</v>
      </c>
      <c r="C20" s="437">
        <v>0</v>
      </c>
      <c r="D20" s="437">
        <v>0</v>
      </c>
      <c r="E20" s="437">
        <v>0</v>
      </c>
      <c r="F20" s="437">
        <v>0</v>
      </c>
      <c r="G20" s="437">
        <v>0</v>
      </c>
      <c r="H20" s="437">
        <v>0</v>
      </c>
      <c r="I20" s="437">
        <v>0</v>
      </c>
      <c r="J20" s="437">
        <v>0</v>
      </c>
      <c r="K20" s="437">
        <v>0</v>
      </c>
      <c r="L20" s="437">
        <v>0</v>
      </c>
      <c r="M20" s="437">
        <v>0</v>
      </c>
      <c r="N20" s="437">
        <v>0</v>
      </c>
      <c r="O20" s="437">
        <v>0</v>
      </c>
      <c r="P20" s="437">
        <v>0</v>
      </c>
      <c r="Q20" s="437">
        <v>0</v>
      </c>
      <c r="R20" s="437">
        <v>0</v>
      </c>
      <c r="S20" s="437">
        <v>0</v>
      </c>
      <c r="T20" s="437">
        <v>0</v>
      </c>
      <c r="U20" s="437">
        <v>0</v>
      </c>
      <c r="V20" s="437">
        <v>0</v>
      </c>
      <c r="W20" s="437">
        <v>0</v>
      </c>
      <c r="X20" s="437">
        <v>0</v>
      </c>
      <c r="Y20" s="437">
        <v>0</v>
      </c>
      <c r="Z20" s="437">
        <v>0</v>
      </c>
      <c r="AA20" s="437">
        <v>0</v>
      </c>
      <c r="AB20" s="437">
        <v>0</v>
      </c>
      <c r="AC20" s="437">
        <v>0</v>
      </c>
      <c r="AD20" s="437">
        <v>0</v>
      </c>
      <c r="AE20" s="437">
        <v>0</v>
      </c>
      <c r="AF20" s="437">
        <v>0</v>
      </c>
      <c r="AG20" s="437">
        <v>0</v>
      </c>
      <c r="AH20" s="437">
        <v>0</v>
      </c>
      <c r="AI20" s="437">
        <v>0</v>
      </c>
      <c r="AJ20" s="437">
        <v>0</v>
      </c>
      <c r="AK20" s="437">
        <v>0</v>
      </c>
      <c r="AL20" s="437">
        <v>0</v>
      </c>
      <c r="AM20" s="437">
        <v>0</v>
      </c>
      <c r="AN20" s="437">
        <v>0</v>
      </c>
      <c r="AO20" s="437">
        <v>0</v>
      </c>
      <c r="AP20" s="437">
        <v>0</v>
      </c>
      <c r="AQ20" s="437">
        <v>0</v>
      </c>
      <c r="AR20" s="437">
        <v>0</v>
      </c>
      <c r="AS20" s="437">
        <v>0</v>
      </c>
      <c r="AT20" s="437">
        <v>0</v>
      </c>
      <c r="AU20" s="437">
        <v>0</v>
      </c>
      <c r="AV20" s="437">
        <v>0</v>
      </c>
      <c r="AW20" s="437">
        <v>0</v>
      </c>
    </row>
    <row r="21" spans="1:49" x14ac:dyDescent="0.2">
      <c r="A21" s="99"/>
      <c r="B21" s="113"/>
      <c r="C21" s="113"/>
      <c r="D21" s="113"/>
      <c r="E21" s="115"/>
      <c r="F21" s="113"/>
      <c r="G21" s="113"/>
      <c r="H21" s="113"/>
      <c r="I21" s="113"/>
      <c r="J21" s="113"/>
      <c r="K21" s="113"/>
      <c r="L21" s="113"/>
      <c r="M21" s="113"/>
      <c r="N21" s="113"/>
      <c r="O21" s="113"/>
      <c r="P21" s="113"/>
      <c r="Q21" s="113"/>
      <c r="R21" s="113"/>
      <c r="S21" s="113"/>
      <c r="T21" s="113"/>
      <c r="U21" s="113"/>
      <c r="V21" s="113"/>
      <c r="W21" s="115"/>
      <c r="X21" s="113"/>
      <c r="Y21" s="113"/>
      <c r="Z21" s="113"/>
      <c r="AA21" s="113"/>
      <c r="AB21" s="113"/>
      <c r="AC21" s="115"/>
      <c r="AD21" s="113"/>
      <c r="AE21" s="113"/>
      <c r="AF21" s="113"/>
      <c r="AG21" s="113"/>
      <c r="AH21" s="113"/>
      <c r="AI21" s="113"/>
      <c r="AJ21" s="113"/>
      <c r="AK21" s="113"/>
      <c r="AL21" s="113"/>
      <c r="AM21" s="113"/>
      <c r="AN21" s="113"/>
      <c r="AO21" s="113"/>
      <c r="AP21" s="113"/>
      <c r="AQ21" s="113"/>
      <c r="AR21" s="113"/>
      <c r="AS21" s="113"/>
      <c r="AT21" s="113"/>
      <c r="AU21" s="115"/>
      <c r="AV21" s="113"/>
      <c r="AW21" s="113"/>
    </row>
    <row r="22" spans="1:49" s="155" customFormat="1" x14ac:dyDescent="0.2">
      <c r="A22" s="288"/>
      <c r="B22" s="175">
        <v>42095</v>
      </c>
      <c r="C22" s="175">
        <v>42125</v>
      </c>
      <c r="D22" s="175">
        <v>42156</v>
      </c>
      <c r="E22" s="175">
        <v>42186</v>
      </c>
      <c r="F22" s="175">
        <v>42217</v>
      </c>
      <c r="G22" s="175">
        <v>42248</v>
      </c>
      <c r="H22" s="175">
        <v>42278</v>
      </c>
      <c r="I22" s="175">
        <v>42309</v>
      </c>
      <c r="J22" s="175">
        <v>42339</v>
      </c>
      <c r="K22" s="175">
        <v>42370</v>
      </c>
      <c r="L22" s="175">
        <v>42401</v>
      </c>
      <c r="M22" s="175">
        <v>42430</v>
      </c>
      <c r="N22" s="175">
        <v>42461</v>
      </c>
      <c r="O22" s="175">
        <v>42491</v>
      </c>
      <c r="P22" s="175">
        <v>42522</v>
      </c>
      <c r="Q22" s="175">
        <v>42552</v>
      </c>
      <c r="R22" s="175">
        <v>42583</v>
      </c>
      <c r="S22" s="175">
        <v>42614</v>
      </c>
      <c r="T22" s="175">
        <v>42644</v>
      </c>
      <c r="U22" s="175">
        <v>42675</v>
      </c>
      <c r="V22" s="175">
        <v>42705</v>
      </c>
      <c r="W22" s="167">
        <v>42736</v>
      </c>
      <c r="X22" s="175">
        <v>42767</v>
      </c>
      <c r="Y22" s="167">
        <v>42795</v>
      </c>
      <c r="Z22" s="167">
        <v>42826</v>
      </c>
      <c r="AA22" s="167">
        <v>42856</v>
      </c>
      <c r="AB22" s="549">
        <v>42887</v>
      </c>
      <c r="AC22" s="549">
        <v>42917</v>
      </c>
      <c r="AD22" s="175">
        <v>42948</v>
      </c>
      <c r="AE22" s="175"/>
      <c r="AF22" s="175"/>
      <c r="AG22" s="175"/>
      <c r="AH22" s="175"/>
      <c r="AI22" s="175"/>
      <c r="AJ22" s="175"/>
      <c r="AK22" s="175"/>
      <c r="AL22" s="175"/>
      <c r="AM22" s="175"/>
      <c r="AN22" s="175"/>
      <c r="AO22" s="175"/>
      <c r="AP22" s="175"/>
      <c r="AQ22" s="175"/>
      <c r="AR22" s="175"/>
      <c r="AS22" s="175"/>
      <c r="AT22" s="175"/>
      <c r="AU22" s="167"/>
      <c r="AV22" s="175"/>
      <c r="AW22" s="167"/>
    </row>
    <row r="23" spans="1:49" s="155" customFormat="1" x14ac:dyDescent="0.2">
      <c r="A23" s="245" t="s">
        <v>31</v>
      </c>
      <c r="B23" s="510">
        <v>3646</v>
      </c>
      <c r="C23" s="510">
        <v>3807</v>
      </c>
      <c r="D23" s="510">
        <v>4175</v>
      </c>
      <c r="E23" s="510">
        <v>3760</v>
      </c>
      <c r="F23" s="510">
        <v>3833</v>
      </c>
      <c r="G23" s="510">
        <v>4048</v>
      </c>
      <c r="H23" s="510">
        <v>4110</v>
      </c>
      <c r="I23" s="510">
        <v>4347</v>
      </c>
      <c r="J23" s="510">
        <v>3879</v>
      </c>
      <c r="K23" s="510">
        <v>3838</v>
      </c>
      <c r="L23" s="510">
        <v>4197</v>
      </c>
      <c r="M23" s="510">
        <v>4212</v>
      </c>
      <c r="N23" s="510">
        <v>3845</v>
      </c>
      <c r="O23" s="510">
        <v>3663</v>
      </c>
      <c r="P23" s="510">
        <v>3680</v>
      </c>
      <c r="Q23" s="510">
        <v>3123</v>
      </c>
      <c r="R23" s="510">
        <v>3583</v>
      </c>
      <c r="S23" s="510">
        <v>3228</v>
      </c>
      <c r="T23" s="510">
        <v>3113</v>
      </c>
      <c r="U23" s="510">
        <v>3513</v>
      </c>
      <c r="V23" s="510">
        <v>2930</v>
      </c>
      <c r="W23" s="510">
        <v>2957</v>
      </c>
      <c r="X23" s="510">
        <v>2799</v>
      </c>
      <c r="Y23" s="510">
        <v>3285</v>
      </c>
      <c r="Z23" s="510">
        <v>2806</v>
      </c>
      <c r="AA23" s="510">
        <v>3328</v>
      </c>
      <c r="AB23" s="510">
        <v>3051</v>
      </c>
      <c r="AC23" s="510">
        <v>2882</v>
      </c>
      <c r="AD23" s="410">
        <v>3408</v>
      </c>
      <c r="AE23" s="410"/>
      <c r="AF23" s="410"/>
      <c r="AG23" s="410"/>
      <c r="AH23" s="410"/>
      <c r="AI23" s="410"/>
      <c r="AJ23" s="410"/>
      <c r="AK23" s="410"/>
      <c r="AL23" s="410"/>
      <c r="AM23" s="410"/>
      <c r="AN23" s="410"/>
      <c r="AO23" s="410"/>
      <c r="AP23" s="410"/>
      <c r="AQ23" s="410"/>
      <c r="AR23" s="410"/>
      <c r="AS23" s="410"/>
      <c r="AT23" s="410"/>
      <c r="AU23" s="410"/>
      <c r="AV23" s="410"/>
      <c r="AW23" s="410"/>
    </row>
    <row r="24" spans="1:49" s="155" customFormat="1" x14ac:dyDescent="0.2">
      <c r="A24" s="245" t="s">
        <v>30</v>
      </c>
      <c r="B24" s="284">
        <v>476</v>
      </c>
      <c r="C24" s="284">
        <v>463</v>
      </c>
      <c r="D24" s="284">
        <v>389</v>
      </c>
      <c r="E24" s="284">
        <v>314</v>
      </c>
      <c r="F24" s="284">
        <v>314</v>
      </c>
      <c r="G24" s="284">
        <v>368</v>
      </c>
      <c r="H24" s="284">
        <v>293</v>
      </c>
      <c r="I24" s="284">
        <v>276</v>
      </c>
      <c r="J24" s="284">
        <v>207</v>
      </c>
      <c r="K24" s="284">
        <v>163</v>
      </c>
      <c r="L24" s="284">
        <v>219</v>
      </c>
      <c r="M24" s="284">
        <v>297</v>
      </c>
      <c r="N24" s="284">
        <v>297</v>
      </c>
      <c r="O24" s="284">
        <v>404</v>
      </c>
      <c r="P24" s="284">
        <v>398</v>
      </c>
      <c r="Q24" s="284">
        <v>318</v>
      </c>
      <c r="R24" s="302">
        <v>402</v>
      </c>
      <c r="S24" s="284">
        <v>373</v>
      </c>
      <c r="T24" s="284">
        <v>454</v>
      </c>
      <c r="U24" s="284">
        <v>500</v>
      </c>
      <c r="V24" s="284">
        <v>444</v>
      </c>
      <c r="W24" s="284">
        <v>559</v>
      </c>
      <c r="X24" s="284">
        <v>668</v>
      </c>
      <c r="Y24" s="284">
        <v>839</v>
      </c>
      <c r="Z24" s="284">
        <v>543</v>
      </c>
      <c r="AA24" s="284">
        <v>747</v>
      </c>
      <c r="AB24" s="284">
        <v>706</v>
      </c>
      <c r="AC24" s="284">
        <v>560</v>
      </c>
      <c r="AD24" s="284" t="s">
        <v>762</v>
      </c>
      <c r="AE24" s="284"/>
      <c r="AF24" s="284"/>
      <c r="AG24" s="284"/>
      <c r="AH24" s="284"/>
      <c r="AI24" s="284"/>
      <c r="AJ24" s="284"/>
      <c r="AK24" s="284"/>
      <c r="AL24" s="284"/>
      <c r="AM24" s="284"/>
      <c r="AN24" s="284"/>
      <c r="AO24" s="284"/>
      <c r="AP24" s="302"/>
      <c r="AQ24" s="284"/>
      <c r="AR24" s="284"/>
      <c r="AS24" s="284"/>
      <c r="AT24" s="284"/>
      <c r="AU24" s="284"/>
      <c r="AV24" s="284"/>
      <c r="AW24" s="284"/>
    </row>
    <row r="25" spans="1:49" s="155" customFormat="1" x14ac:dyDescent="0.2">
      <c r="A25" s="245" t="s">
        <v>460</v>
      </c>
      <c r="B25" s="284">
        <v>4122</v>
      </c>
      <c r="C25" s="284">
        <v>4270</v>
      </c>
      <c r="D25" s="284">
        <v>4564</v>
      </c>
      <c r="E25" s="284">
        <v>4074</v>
      </c>
      <c r="F25" s="284">
        <v>4147</v>
      </c>
      <c r="G25" s="284">
        <v>4416</v>
      </c>
      <c r="H25" s="284">
        <v>4403</v>
      </c>
      <c r="I25" s="284">
        <v>4623</v>
      </c>
      <c r="J25" s="284">
        <v>4086</v>
      </c>
      <c r="K25" s="284">
        <v>4001</v>
      </c>
      <c r="L25" s="284">
        <v>4416</v>
      </c>
      <c r="M25" s="284">
        <v>4509</v>
      </c>
      <c r="N25" s="284">
        <v>4142</v>
      </c>
      <c r="O25" s="284">
        <v>4067</v>
      </c>
      <c r="P25" s="284">
        <v>4078</v>
      </c>
      <c r="Q25" s="284">
        <v>3441</v>
      </c>
      <c r="R25" s="302">
        <v>3985</v>
      </c>
      <c r="S25" s="284">
        <v>3601</v>
      </c>
      <c r="T25" s="284">
        <v>3567</v>
      </c>
      <c r="U25" s="284">
        <v>4013</v>
      </c>
      <c r="V25" s="284">
        <v>3374</v>
      </c>
      <c r="W25" s="284">
        <v>3516</v>
      </c>
      <c r="X25" s="284">
        <v>3467</v>
      </c>
      <c r="Y25" s="284">
        <v>4124</v>
      </c>
      <c r="Z25" s="284">
        <v>3349</v>
      </c>
      <c r="AA25" s="284">
        <v>4075</v>
      </c>
      <c r="AB25" s="410">
        <v>3757</v>
      </c>
      <c r="AC25" s="284">
        <v>3442</v>
      </c>
      <c r="AD25" s="284" t="s">
        <v>763</v>
      </c>
      <c r="AE25" s="284"/>
      <c r="AF25" s="284"/>
      <c r="AG25" s="284"/>
      <c r="AH25" s="284"/>
      <c r="AI25" s="284"/>
      <c r="AJ25" s="284"/>
      <c r="AK25" s="284"/>
      <c r="AL25" s="284"/>
      <c r="AM25" s="284"/>
      <c r="AN25" s="284"/>
      <c r="AO25" s="284"/>
      <c r="AP25" s="302"/>
      <c r="AQ25" s="284"/>
      <c r="AR25" s="284"/>
      <c r="AS25" s="284"/>
      <c r="AT25" s="284"/>
      <c r="AU25" s="284"/>
      <c r="AV25" s="284"/>
      <c r="AW25" s="284"/>
    </row>
    <row r="26" spans="1:49" s="155" customFormat="1" ht="25.5" x14ac:dyDescent="0.2">
      <c r="A26" s="587" t="s">
        <v>19</v>
      </c>
      <c r="B26" s="446">
        <v>0.8845220766618147</v>
      </c>
      <c r="C26" s="446">
        <v>0.89156908665105383</v>
      </c>
      <c r="D26" s="446">
        <v>0.91476774758983348</v>
      </c>
      <c r="E26" s="446">
        <v>0.92292587137947968</v>
      </c>
      <c r="F26" s="446">
        <v>0.92428261393778632</v>
      </c>
      <c r="G26" s="446">
        <v>0.91666666666666663</v>
      </c>
      <c r="H26" s="446">
        <v>0.93345446286622757</v>
      </c>
      <c r="I26" s="446">
        <v>0.94029850746268662</v>
      </c>
      <c r="J26" s="446">
        <v>0.9493392070484582</v>
      </c>
      <c r="K26" s="446">
        <v>0.95926018495376153</v>
      </c>
      <c r="L26" s="446">
        <v>0.95040760869565222</v>
      </c>
      <c r="M26" s="446">
        <v>0.93413173652694614</v>
      </c>
      <c r="N26" s="446">
        <v>0.92829550941574124</v>
      </c>
      <c r="O26" s="446">
        <v>0.90066388000983522</v>
      </c>
      <c r="P26" s="446">
        <v>0.90240313879352629</v>
      </c>
      <c r="Q26" s="446">
        <v>0.90758500435919787</v>
      </c>
      <c r="R26" s="446">
        <v>0.89912170639899625</v>
      </c>
      <c r="S26" s="446">
        <v>0.8964176617606221</v>
      </c>
      <c r="T26" s="446">
        <v>0.8727221754976171</v>
      </c>
      <c r="U26" s="446">
        <v>0.87540493396461505</v>
      </c>
      <c r="V26" s="446">
        <v>0.86840545346769416</v>
      </c>
      <c r="W26" s="446">
        <v>0.84101251422070533</v>
      </c>
      <c r="X26" s="446">
        <v>0.80732621863282383</v>
      </c>
      <c r="Y26" s="446">
        <v>0.79655674102812801</v>
      </c>
      <c r="Z26" s="446">
        <v>0.83786204837264855</v>
      </c>
      <c r="AA26" s="446">
        <v>0.81668711656441717</v>
      </c>
      <c r="AB26" s="446">
        <v>0.81208410966196432</v>
      </c>
      <c r="AC26" s="446">
        <v>0.83730389308541542</v>
      </c>
      <c r="AD26" s="411">
        <v>0.83940886699507389</v>
      </c>
      <c r="AE26" s="411"/>
      <c r="AF26" s="411"/>
      <c r="AG26" s="411"/>
      <c r="AH26" s="411"/>
      <c r="AI26" s="411"/>
      <c r="AJ26" s="411"/>
      <c r="AK26" s="411"/>
      <c r="AL26" s="411"/>
      <c r="AM26" s="411"/>
      <c r="AN26" s="411"/>
      <c r="AO26" s="411"/>
      <c r="AP26" s="411"/>
      <c r="AQ26" s="411"/>
      <c r="AR26" s="411"/>
      <c r="AS26" s="411"/>
      <c r="AT26" s="411"/>
      <c r="AU26" s="411"/>
      <c r="AV26" s="411"/>
      <c r="AW26" s="411"/>
    </row>
    <row r="27" spans="1:49" s="433" customFormat="1" x14ac:dyDescent="0.2">
      <c r="A27" s="434" t="s">
        <v>15</v>
      </c>
      <c r="B27" s="435">
        <v>1</v>
      </c>
      <c r="C27" s="435">
        <v>1</v>
      </c>
      <c r="D27" s="435">
        <v>1</v>
      </c>
      <c r="E27" s="435">
        <v>1</v>
      </c>
      <c r="F27" s="435">
        <v>1</v>
      </c>
      <c r="G27" s="435">
        <v>1</v>
      </c>
      <c r="H27" s="435">
        <v>1</v>
      </c>
      <c r="I27" s="435">
        <v>1</v>
      </c>
      <c r="J27" s="435">
        <v>1</v>
      </c>
      <c r="K27" s="435">
        <v>1</v>
      </c>
      <c r="L27" s="435">
        <v>1</v>
      </c>
      <c r="M27" s="435">
        <v>1</v>
      </c>
      <c r="N27" s="435">
        <v>1</v>
      </c>
      <c r="O27" s="435">
        <v>1</v>
      </c>
      <c r="P27" s="435">
        <v>1</v>
      </c>
      <c r="Q27" s="435">
        <v>1</v>
      </c>
      <c r="R27" s="435">
        <v>1</v>
      </c>
      <c r="S27" s="435">
        <v>1</v>
      </c>
      <c r="T27" s="435">
        <v>1</v>
      </c>
      <c r="U27" s="435">
        <v>1</v>
      </c>
      <c r="V27" s="435">
        <v>1</v>
      </c>
      <c r="W27" s="435">
        <v>1</v>
      </c>
      <c r="X27" s="435">
        <v>1</v>
      </c>
      <c r="Y27" s="435">
        <v>1</v>
      </c>
      <c r="Z27" s="435">
        <v>1</v>
      </c>
      <c r="AA27" s="435">
        <v>1</v>
      </c>
      <c r="AB27" s="435">
        <v>1</v>
      </c>
      <c r="AC27" s="435">
        <v>1</v>
      </c>
      <c r="AD27" s="435">
        <v>1</v>
      </c>
      <c r="AE27" s="435">
        <v>1</v>
      </c>
      <c r="AF27" s="435">
        <v>1</v>
      </c>
      <c r="AG27" s="435">
        <v>1</v>
      </c>
      <c r="AH27" s="435">
        <v>1</v>
      </c>
      <c r="AI27" s="435">
        <v>1</v>
      </c>
      <c r="AJ27" s="435">
        <v>1</v>
      </c>
      <c r="AK27" s="435">
        <v>1</v>
      </c>
      <c r="AL27" s="435">
        <v>1</v>
      </c>
      <c r="AM27" s="435">
        <v>1</v>
      </c>
      <c r="AN27" s="435">
        <v>1</v>
      </c>
      <c r="AO27" s="435">
        <v>1</v>
      </c>
      <c r="AP27" s="435">
        <v>1</v>
      </c>
      <c r="AQ27" s="435">
        <v>1</v>
      </c>
      <c r="AR27" s="435">
        <v>1</v>
      </c>
      <c r="AS27" s="435">
        <v>1</v>
      </c>
      <c r="AT27" s="435">
        <v>1</v>
      </c>
      <c r="AU27" s="435">
        <v>1</v>
      </c>
      <c r="AV27" s="435">
        <v>1</v>
      </c>
      <c r="AW27" s="435">
        <v>1</v>
      </c>
    </row>
    <row r="28" spans="1:49" x14ac:dyDescent="0.2">
      <c r="A28" s="289"/>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3"/>
      <c r="AN28" s="113"/>
      <c r="AO28" s="113"/>
      <c r="AP28" s="113"/>
      <c r="AQ28" s="113"/>
      <c r="AR28" s="113"/>
      <c r="AS28" s="113"/>
      <c r="AT28" s="113"/>
      <c r="AU28" s="113"/>
      <c r="AV28" s="113"/>
      <c r="AW28" s="113"/>
    </row>
    <row r="29" spans="1:49" x14ac:dyDescent="0.2">
      <c r="A29" s="264"/>
      <c r="B29" s="174">
        <v>42095</v>
      </c>
      <c r="C29" s="174">
        <v>42125</v>
      </c>
      <c r="D29" s="174">
        <v>42156</v>
      </c>
      <c r="E29" s="174">
        <v>42186</v>
      </c>
      <c r="F29" s="174">
        <v>42217</v>
      </c>
      <c r="G29" s="174">
        <v>42248</v>
      </c>
      <c r="H29" s="174">
        <v>42278</v>
      </c>
      <c r="I29" s="175">
        <v>42309</v>
      </c>
      <c r="J29" s="175">
        <v>42339</v>
      </c>
      <c r="K29" s="175">
        <v>42370</v>
      </c>
      <c r="L29" s="175">
        <v>42401</v>
      </c>
      <c r="M29" s="175">
        <v>42430</v>
      </c>
      <c r="N29" s="175">
        <v>42461</v>
      </c>
      <c r="O29" s="175">
        <v>42491</v>
      </c>
      <c r="P29" s="175">
        <v>42522</v>
      </c>
      <c r="Q29" s="175">
        <v>42552</v>
      </c>
      <c r="R29" s="175">
        <v>42583</v>
      </c>
      <c r="S29" s="175">
        <v>42614</v>
      </c>
      <c r="T29" s="175">
        <v>42644</v>
      </c>
      <c r="U29" s="175">
        <v>42675</v>
      </c>
      <c r="V29" s="175">
        <v>42705</v>
      </c>
      <c r="W29" s="167">
        <v>42736</v>
      </c>
      <c r="X29" s="175">
        <v>42767</v>
      </c>
      <c r="Y29" s="167">
        <v>42795</v>
      </c>
      <c r="Z29" s="167">
        <v>42826</v>
      </c>
      <c r="AA29" s="167">
        <v>42856</v>
      </c>
      <c r="AB29" s="549">
        <v>42887</v>
      </c>
      <c r="AC29" s="549">
        <v>42917</v>
      </c>
      <c r="AD29" s="174">
        <v>42948</v>
      </c>
      <c r="AE29" s="174"/>
      <c r="AF29" s="174"/>
      <c r="AG29" s="175"/>
      <c r="AH29" s="175"/>
      <c r="AI29" s="175"/>
      <c r="AJ29" s="175"/>
      <c r="AK29" s="175"/>
      <c r="AL29" s="175"/>
      <c r="AM29" s="175"/>
      <c r="AN29" s="175"/>
      <c r="AO29" s="175"/>
      <c r="AP29" s="175"/>
      <c r="AQ29" s="175"/>
      <c r="AR29" s="175"/>
      <c r="AS29" s="175"/>
      <c r="AT29" s="175"/>
      <c r="AU29" s="167"/>
      <c r="AV29" s="175"/>
      <c r="AW29" s="167"/>
    </row>
    <row r="30" spans="1:49" x14ac:dyDescent="0.2">
      <c r="A30" s="239" t="s">
        <v>414</v>
      </c>
      <c r="B30" s="129">
        <v>8941</v>
      </c>
      <c r="C30" s="129">
        <v>8692</v>
      </c>
      <c r="D30" s="129">
        <v>8642</v>
      </c>
      <c r="E30" s="129">
        <v>8421</v>
      </c>
      <c r="F30" s="129">
        <v>8599</v>
      </c>
      <c r="G30" s="129">
        <v>8826</v>
      </c>
      <c r="H30" s="129">
        <v>8820</v>
      </c>
      <c r="I30" s="284">
        <v>8944</v>
      </c>
      <c r="J30" s="284">
        <v>9140</v>
      </c>
      <c r="K30" s="284">
        <v>9216</v>
      </c>
      <c r="L30" s="284">
        <v>9809</v>
      </c>
      <c r="M30" s="284">
        <v>8814</v>
      </c>
      <c r="N30" s="284">
        <v>8625</v>
      </c>
      <c r="O30" s="284">
        <v>8628</v>
      </c>
      <c r="P30" s="284">
        <v>8856</v>
      </c>
      <c r="Q30" s="284">
        <v>9031</v>
      </c>
      <c r="R30" s="284">
        <v>8948</v>
      </c>
      <c r="S30" s="284">
        <v>9271</v>
      </c>
      <c r="T30" s="284">
        <v>9202</v>
      </c>
      <c r="U30" s="284">
        <v>9351</v>
      </c>
      <c r="V30" s="284">
        <v>9630</v>
      </c>
      <c r="W30" s="284">
        <v>9669</v>
      </c>
      <c r="X30" s="284">
        <v>9813</v>
      </c>
      <c r="Y30" s="284">
        <v>9995</v>
      </c>
      <c r="Z30" s="284">
        <v>9751</v>
      </c>
      <c r="AA30" s="129">
        <v>9679</v>
      </c>
      <c r="AB30" s="129">
        <v>9661</v>
      </c>
      <c r="AC30" s="129">
        <v>9628</v>
      </c>
      <c r="AD30" s="129">
        <v>9318</v>
      </c>
      <c r="AE30" s="129"/>
      <c r="AF30" s="129"/>
      <c r="AG30" s="284"/>
      <c r="AH30" s="284"/>
      <c r="AI30" s="284"/>
      <c r="AJ30" s="284"/>
      <c r="AK30" s="284"/>
      <c r="AL30" s="284"/>
      <c r="AM30" s="284"/>
      <c r="AN30" s="284"/>
      <c r="AO30" s="284"/>
      <c r="AP30" s="284"/>
      <c r="AQ30" s="284"/>
      <c r="AR30" s="284"/>
      <c r="AS30" s="284"/>
      <c r="AT30" s="284"/>
      <c r="AU30" s="284"/>
      <c r="AV30" s="284"/>
      <c r="AW30" s="284"/>
    </row>
    <row r="31" spans="1:49" x14ac:dyDescent="0.2">
      <c r="A31" s="239" t="s">
        <v>415</v>
      </c>
      <c r="B31" s="129">
        <v>7911</v>
      </c>
      <c r="C31" s="129">
        <v>7644</v>
      </c>
      <c r="D31" s="129">
        <v>7453</v>
      </c>
      <c r="E31" s="129">
        <v>7264</v>
      </c>
      <c r="F31" s="129">
        <v>7543</v>
      </c>
      <c r="G31" s="129">
        <v>7907</v>
      </c>
      <c r="H31" s="129">
        <v>8070</v>
      </c>
      <c r="I31" s="284">
        <v>7952</v>
      </c>
      <c r="J31" s="284">
        <v>8081</v>
      </c>
      <c r="K31" s="284">
        <v>8518</v>
      </c>
      <c r="L31" s="284">
        <v>8332</v>
      </c>
      <c r="M31" s="284">
        <v>7949</v>
      </c>
      <c r="N31" s="284">
        <v>7727</v>
      </c>
      <c r="O31" s="284">
        <v>7623</v>
      </c>
      <c r="P31" s="284">
        <v>7668</v>
      </c>
      <c r="Q31" s="284">
        <v>7902</v>
      </c>
      <c r="R31" s="284">
        <v>7954</v>
      </c>
      <c r="S31" s="284">
        <v>8374</v>
      </c>
      <c r="T31" s="284">
        <v>8441</v>
      </c>
      <c r="U31" s="284">
        <v>8442</v>
      </c>
      <c r="V31" s="284">
        <v>8589</v>
      </c>
      <c r="W31" s="284">
        <v>8957</v>
      </c>
      <c r="X31" s="284">
        <v>9053</v>
      </c>
      <c r="Y31" s="284">
        <v>9159</v>
      </c>
      <c r="Z31" s="284">
        <v>8948</v>
      </c>
      <c r="AA31" s="129">
        <v>8730</v>
      </c>
      <c r="AB31" s="129">
        <v>8522</v>
      </c>
      <c r="AC31" s="129">
        <v>8570</v>
      </c>
      <c r="AD31" s="129">
        <v>8308</v>
      </c>
      <c r="AE31" s="129"/>
      <c r="AF31" s="129"/>
      <c r="AG31" s="284"/>
      <c r="AH31" s="284"/>
      <c r="AI31" s="284"/>
      <c r="AJ31" s="284"/>
      <c r="AK31" s="284"/>
      <c r="AL31" s="284"/>
      <c r="AM31" s="284"/>
      <c r="AN31" s="284"/>
      <c r="AO31" s="284"/>
      <c r="AP31" s="284"/>
      <c r="AQ31" s="284"/>
      <c r="AR31" s="284"/>
      <c r="AS31" s="284"/>
      <c r="AT31" s="284"/>
      <c r="AU31" s="284"/>
      <c r="AV31" s="284"/>
      <c r="AW31" s="284"/>
    </row>
    <row r="32" spans="1:49" x14ac:dyDescent="0.2">
      <c r="A32" s="239" t="s">
        <v>416</v>
      </c>
      <c r="B32" s="129">
        <v>1030</v>
      </c>
      <c r="C32" s="129">
        <v>1048</v>
      </c>
      <c r="D32" s="129">
        <v>1189</v>
      </c>
      <c r="E32" s="129">
        <v>1157</v>
      </c>
      <c r="F32" s="129">
        <v>1056</v>
      </c>
      <c r="G32" s="236">
        <v>919</v>
      </c>
      <c r="H32" s="236">
        <v>750</v>
      </c>
      <c r="I32" s="237">
        <v>992</v>
      </c>
      <c r="J32" s="284">
        <v>1059</v>
      </c>
      <c r="K32" s="237">
        <v>698</v>
      </c>
      <c r="L32" s="237">
        <v>757</v>
      </c>
      <c r="M32" s="237">
        <v>865</v>
      </c>
      <c r="N32" s="237">
        <v>898</v>
      </c>
      <c r="O32" s="284">
        <v>1005</v>
      </c>
      <c r="P32" s="284">
        <v>1188</v>
      </c>
      <c r="Q32" s="284">
        <v>1129</v>
      </c>
      <c r="R32" s="284">
        <v>994</v>
      </c>
      <c r="S32" s="284">
        <v>897</v>
      </c>
      <c r="T32" s="284">
        <v>761</v>
      </c>
      <c r="U32" s="284">
        <v>909</v>
      </c>
      <c r="V32" s="284">
        <v>1041</v>
      </c>
      <c r="W32" s="284">
        <v>712</v>
      </c>
      <c r="X32" s="284">
        <v>760</v>
      </c>
      <c r="Y32" s="284">
        <v>836</v>
      </c>
      <c r="Z32" s="284">
        <v>803</v>
      </c>
      <c r="AA32" s="129">
        <v>949</v>
      </c>
      <c r="AB32" s="129">
        <v>1139</v>
      </c>
      <c r="AC32" s="129">
        <v>1058</v>
      </c>
      <c r="AD32" s="129">
        <v>1010</v>
      </c>
      <c r="AE32" s="236"/>
      <c r="AF32" s="236"/>
      <c r="AG32" s="237"/>
      <c r="AH32" s="284"/>
      <c r="AI32" s="237"/>
      <c r="AJ32" s="237"/>
      <c r="AK32" s="237"/>
      <c r="AL32" s="237"/>
      <c r="AM32" s="284"/>
      <c r="AN32" s="284"/>
      <c r="AO32" s="284"/>
      <c r="AP32" s="284"/>
      <c r="AQ32" s="284"/>
      <c r="AR32" s="284"/>
      <c r="AS32" s="284"/>
      <c r="AT32" s="284"/>
      <c r="AU32" s="284"/>
      <c r="AV32" s="284"/>
      <c r="AW32" s="284"/>
    </row>
    <row r="33" spans="1:49" x14ac:dyDescent="0.2">
      <c r="A33" s="239" t="s">
        <v>417</v>
      </c>
      <c r="B33" s="290">
        <v>0.1151996420981993</v>
      </c>
      <c r="C33" s="290">
        <v>0.12057063966866084</v>
      </c>
      <c r="D33" s="290">
        <v>0.13758389261744966</v>
      </c>
      <c r="E33" s="290">
        <v>0.13739460871630449</v>
      </c>
      <c r="F33" s="290">
        <v>0.12280497732294453</v>
      </c>
      <c r="G33" s="290">
        <v>0.1041241785633356</v>
      </c>
      <c r="H33" s="290">
        <v>8.5034013605442174E-2</v>
      </c>
      <c r="I33" s="290">
        <v>0.11091234347048301</v>
      </c>
      <c r="J33" s="290">
        <v>0.11586433260393873</v>
      </c>
      <c r="K33" s="290">
        <v>7.5737847222222224E-2</v>
      </c>
      <c r="L33" s="290">
        <v>7.7174023855642773E-2</v>
      </c>
      <c r="M33" s="290">
        <v>9.8139323803040621E-2</v>
      </c>
      <c r="N33" s="290">
        <v>0.10411594202898551</v>
      </c>
      <c r="O33" s="290">
        <v>0.11648122392211405</v>
      </c>
      <c r="P33" s="290">
        <v>0.13414634146341464</v>
      </c>
      <c r="Q33" s="290">
        <v>0.1250138412135976</v>
      </c>
      <c r="R33" s="290">
        <v>0.11108627626285203</v>
      </c>
      <c r="S33" s="290">
        <v>9.6753316794304822E-2</v>
      </c>
      <c r="T33" s="290">
        <v>8.2699413171049771E-2</v>
      </c>
      <c r="U33" s="290">
        <v>9.7208854667949957E-2</v>
      </c>
      <c r="V33" s="290">
        <v>0.10809968847352025</v>
      </c>
      <c r="W33" s="290">
        <v>7.3637397869479787E-2</v>
      </c>
      <c r="X33" s="290">
        <v>7.7448282890043824E-2</v>
      </c>
      <c r="Y33" s="290">
        <v>8.3641820910455231E-2</v>
      </c>
      <c r="Z33" s="290">
        <v>8.2350528150958877E-2</v>
      </c>
      <c r="AA33" s="290">
        <v>9.8047318937906802E-2</v>
      </c>
      <c r="AB33" s="290">
        <v>0.11789669806438256</v>
      </c>
      <c r="AC33" s="290">
        <v>0.10988782717075198</v>
      </c>
      <c r="AD33" s="290">
        <v>0.10839235887529512</v>
      </c>
      <c r="AE33" s="290"/>
      <c r="AF33" s="290"/>
      <c r="AG33" s="290"/>
      <c r="AH33" s="290"/>
      <c r="AI33" s="290"/>
      <c r="AJ33" s="290"/>
      <c r="AK33" s="290"/>
      <c r="AL33" s="290"/>
      <c r="AM33" s="290"/>
      <c r="AN33" s="290"/>
      <c r="AO33" s="290"/>
      <c r="AP33" s="290"/>
      <c r="AQ33" s="290"/>
      <c r="AR33" s="290"/>
      <c r="AS33" s="290"/>
      <c r="AT33" s="290"/>
      <c r="AU33" s="290"/>
      <c r="AV33" s="290"/>
      <c r="AW33" s="290"/>
    </row>
    <row r="34" spans="1:49" x14ac:dyDescent="0.2">
      <c r="A34" s="239" t="s">
        <v>418</v>
      </c>
      <c r="B34" s="129">
        <v>1180</v>
      </c>
      <c r="C34" s="129">
        <v>1244</v>
      </c>
      <c r="D34" s="129">
        <v>1246</v>
      </c>
      <c r="E34" s="129">
        <v>1187</v>
      </c>
      <c r="F34" s="129">
        <v>1048</v>
      </c>
      <c r="G34" s="129">
        <v>1023</v>
      </c>
      <c r="H34" s="129">
        <v>1013</v>
      </c>
      <c r="I34" s="284">
        <v>1012</v>
      </c>
      <c r="J34" s="284">
        <v>1069</v>
      </c>
      <c r="K34" s="284">
        <v>1110</v>
      </c>
      <c r="L34" s="284">
        <v>1090</v>
      </c>
      <c r="M34" s="284">
        <v>1063</v>
      </c>
      <c r="N34" s="237">
        <v>976</v>
      </c>
      <c r="O34" s="284">
        <v>1073</v>
      </c>
      <c r="P34" s="284">
        <v>1091</v>
      </c>
      <c r="Q34" s="284">
        <v>1064</v>
      </c>
      <c r="R34" s="284">
        <v>1096</v>
      </c>
      <c r="S34" s="284">
        <v>1147</v>
      </c>
      <c r="T34" s="284">
        <v>1167</v>
      </c>
      <c r="U34" s="284">
        <v>1220</v>
      </c>
      <c r="V34" s="284">
        <v>1174</v>
      </c>
      <c r="W34" s="284">
        <v>1261</v>
      </c>
      <c r="X34" s="284">
        <v>1234</v>
      </c>
      <c r="Y34" s="284">
        <v>1200</v>
      </c>
      <c r="Z34" s="284">
        <v>1159</v>
      </c>
      <c r="AA34" s="129">
        <v>1234</v>
      </c>
      <c r="AB34" s="129">
        <v>1300</v>
      </c>
      <c r="AC34" s="129">
        <v>1349</v>
      </c>
      <c r="AD34" s="129">
        <v>1291</v>
      </c>
      <c r="AE34" s="129"/>
      <c r="AF34" s="129"/>
      <c r="AG34" s="284"/>
      <c r="AH34" s="284"/>
      <c r="AI34" s="284"/>
      <c r="AJ34" s="284"/>
      <c r="AK34" s="284"/>
      <c r="AL34" s="237"/>
      <c r="AM34" s="284"/>
      <c r="AN34" s="284"/>
      <c r="AO34" s="284"/>
      <c r="AP34" s="284"/>
      <c r="AQ34" s="284"/>
      <c r="AR34" s="284"/>
      <c r="AS34" s="284"/>
      <c r="AT34" s="284"/>
      <c r="AU34" s="284"/>
      <c r="AV34" s="284"/>
      <c r="AW34" s="284"/>
    </row>
    <row r="35" spans="1:49" x14ac:dyDescent="0.2">
      <c r="A35" s="291" t="s">
        <v>385</v>
      </c>
      <c r="B35" s="292"/>
      <c r="C35" s="292"/>
      <c r="D35" s="292"/>
      <c r="E35" s="292"/>
      <c r="F35" s="292"/>
      <c r="G35" s="292"/>
      <c r="H35" s="292"/>
      <c r="I35" s="293"/>
      <c r="J35" s="293"/>
      <c r="K35" s="293"/>
      <c r="L35" s="293"/>
      <c r="M35" s="293"/>
      <c r="N35" s="294"/>
      <c r="O35" s="293"/>
      <c r="P35" s="293"/>
      <c r="Q35" s="293"/>
      <c r="R35" s="293"/>
      <c r="S35" s="293"/>
      <c r="T35" s="293"/>
      <c r="U35" s="293"/>
      <c r="V35" s="293"/>
      <c r="W35" s="293"/>
      <c r="X35" s="293"/>
      <c r="Y35" s="293"/>
      <c r="Z35" s="292"/>
      <c r="AA35" s="292"/>
      <c r="AB35" s="292"/>
      <c r="AC35" s="292"/>
      <c r="AD35" s="292"/>
      <c r="AE35" s="292"/>
      <c r="AF35" s="292"/>
      <c r="AG35" s="293"/>
      <c r="AH35" s="293"/>
      <c r="AI35" s="293"/>
      <c r="AJ35" s="293"/>
      <c r="AK35" s="293"/>
      <c r="AL35" s="294"/>
      <c r="AM35" s="293"/>
      <c r="AN35" s="293"/>
      <c r="AO35" s="293"/>
      <c r="AP35" s="293"/>
      <c r="AQ35" s="293"/>
      <c r="AR35" s="293"/>
      <c r="AS35" s="293"/>
      <c r="AT35" s="293"/>
      <c r="AU35" s="293"/>
      <c r="AV35" s="293"/>
      <c r="AW35" s="293"/>
    </row>
    <row r="36" spans="1:49" x14ac:dyDescent="0.2">
      <c r="A36" s="554" t="s">
        <v>613</v>
      </c>
      <c r="M36" s="554" t="s">
        <v>614</v>
      </c>
    </row>
    <row r="61" spans="1:1" x14ac:dyDescent="0.2">
      <c r="A61" s="137" t="s">
        <v>615</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70C0"/>
  </sheetPr>
  <dimension ref="A1:Q20"/>
  <sheetViews>
    <sheetView workbookViewId="0"/>
  </sheetViews>
  <sheetFormatPr defaultColWidth="9.140625" defaultRowHeight="12.75" x14ac:dyDescent="0.2"/>
  <cols>
    <col min="1" max="1" width="26" style="117" bestFit="1" customWidth="1"/>
    <col min="2" max="2" width="9.85546875" style="117" bestFit="1" customWidth="1"/>
    <col min="3" max="16384" width="9.140625" style="117"/>
  </cols>
  <sheetData>
    <row r="1" spans="1:17" x14ac:dyDescent="0.2">
      <c r="A1" s="116" t="s">
        <v>360</v>
      </c>
    </row>
    <row r="2" spans="1:17" x14ac:dyDescent="0.2">
      <c r="A2" s="116"/>
      <c r="B2" s="451"/>
    </row>
    <row r="3" spans="1:17" x14ac:dyDescent="0.2">
      <c r="A3" s="137" t="s">
        <v>239</v>
      </c>
      <c r="B3" s="357" t="str">
        <f>IF(HLOOKUP(MAX(B8:Q8),A8:Q10,3,0)&gt;HLOOKUP(MAX(B8:Q8),A8:Q10,2,0),"Better", "Worse")</f>
        <v>Better</v>
      </c>
      <c r="C3" s="476" t="b">
        <f>IF(HLOOKUP(MAX(B8:Q8),A8:Q10,3,0)=HLOOKUP(MAX(B8:Q8),A8:Q10,2,0),"Equal")</f>
        <v>0</v>
      </c>
    </row>
    <row r="4" spans="1:17" x14ac:dyDescent="0.2">
      <c r="A4" s="137" t="s">
        <v>240</v>
      </c>
      <c r="B4" s="357" t="str">
        <f>IF(HLOOKUP(MAX(B13:Q13),A13:Q17,4,0)&lt;HLOOKUP(MAX(B13:Q13),A13:Q17,3,0),"Better", "Worse")</f>
        <v>Worse</v>
      </c>
      <c r="C4" s="476"/>
    </row>
    <row r="5" spans="1:17" x14ac:dyDescent="0.2">
      <c r="A5" s="137" t="s">
        <v>148</v>
      </c>
      <c r="B5" s="477">
        <f>MAX(B8:Q8)</f>
        <v>42887</v>
      </c>
      <c r="C5" s="199"/>
    </row>
    <row r="6" spans="1:17" x14ac:dyDescent="0.2">
      <c r="A6" s="137" t="s">
        <v>215</v>
      </c>
      <c r="B6" s="138" t="s">
        <v>233</v>
      </c>
    </row>
    <row r="7" spans="1:17" x14ac:dyDescent="0.2">
      <c r="E7" s="155"/>
    </row>
    <row r="8" spans="1:17" x14ac:dyDescent="0.2">
      <c r="A8" s="146"/>
      <c r="B8" s="549">
        <v>42156</v>
      </c>
      <c r="C8" s="549">
        <v>42248</v>
      </c>
      <c r="D8" s="549">
        <v>42339</v>
      </c>
      <c r="E8" s="549">
        <v>42430</v>
      </c>
      <c r="F8" s="549">
        <v>42522</v>
      </c>
      <c r="G8" s="549">
        <v>42614</v>
      </c>
      <c r="H8" s="549">
        <v>42705</v>
      </c>
      <c r="I8" s="549">
        <v>42795</v>
      </c>
      <c r="J8" s="549">
        <v>42887</v>
      </c>
      <c r="K8" s="144"/>
      <c r="L8" s="144"/>
      <c r="M8" s="144"/>
      <c r="N8" s="144"/>
      <c r="O8" s="144"/>
      <c r="P8" s="144"/>
      <c r="Q8" s="144"/>
    </row>
    <row r="9" spans="1:17" x14ac:dyDescent="0.2">
      <c r="A9" s="168" t="s">
        <v>386</v>
      </c>
      <c r="B9" s="169">
        <v>0.94899999999999995</v>
      </c>
      <c r="C9" s="169">
        <v>0.94599999999999995</v>
      </c>
      <c r="D9" s="169">
        <v>0.95299999999999996</v>
      </c>
      <c r="E9" s="170">
        <v>0.92700000000000005</v>
      </c>
      <c r="F9" s="165">
        <v>0.91300000000000003</v>
      </c>
      <c r="G9" s="169">
        <v>0.89</v>
      </c>
      <c r="H9" s="169">
        <v>0.86799999999999999</v>
      </c>
      <c r="I9" s="169">
        <v>0.82199999999999995</v>
      </c>
      <c r="J9" s="169">
        <v>0.81399999999999995</v>
      </c>
      <c r="K9" s="169"/>
      <c r="L9" s="169"/>
      <c r="M9" s="170"/>
      <c r="N9" s="165"/>
      <c r="O9" s="169"/>
      <c r="P9" s="169"/>
      <c r="Q9" s="169"/>
    </row>
    <row r="10" spans="1:17" x14ac:dyDescent="0.2">
      <c r="A10" s="168" t="s">
        <v>387</v>
      </c>
      <c r="B10" s="169">
        <v>0.89800000000000002</v>
      </c>
      <c r="C10" s="169">
        <v>0.92100000000000004</v>
      </c>
      <c r="D10" s="169">
        <v>0.94099999999999995</v>
      </c>
      <c r="E10" s="169">
        <v>0.94699999999999995</v>
      </c>
      <c r="F10" s="169">
        <v>0.91</v>
      </c>
      <c r="G10" s="169">
        <v>0.90100000000000002</v>
      </c>
      <c r="H10" s="169">
        <v>0.873</v>
      </c>
      <c r="I10" s="169">
        <v>0.81399999999999995</v>
      </c>
      <c r="J10" s="169">
        <v>0.82199999999999995</v>
      </c>
      <c r="K10" s="169"/>
      <c r="L10" s="169"/>
      <c r="M10" s="169"/>
      <c r="N10" s="169"/>
      <c r="O10" s="169"/>
      <c r="P10" s="169"/>
      <c r="Q10" s="169"/>
    </row>
    <row r="11" spans="1:17" x14ac:dyDescent="0.2">
      <c r="A11" s="144" t="s">
        <v>15</v>
      </c>
      <c r="B11" s="170">
        <v>1</v>
      </c>
      <c r="C11" s="170">
        <v>1</v>
      </c>
      <c r="D11" s="170">
        <v>1</v>
      </c>
      <c r="E11" s="170">
        <v>1</v>
      </c>
      <c r="F11" s="170">
        <v>1</v>
      </c>
      <c r="G11" s="170">
        <v>1</v>
      </c>
      <c r="H11" s="170">
        <v>1</v>
      </c>
      <c r="I11" s="170">
        <v>1</v>
      </c>
      <c r="J11" s="170">
        <v>1</v>
      </c>
      <c r="K11" s="170">
        <v>1</v>
      </c>
      <c r="L11" s="170">
        <v>1</v>
      </c>
      <c r="M11" s="170">
        <v>1</v>
      </c>
      <c r="N11" s="170">
        <v>1</v>
      </c>
      <c r="O11" s="170">
        <v>1</v>
      </c>
      <c r="P11" s="170">
        <v>1</v>
      </c>
      <c r="Q11" s="170">
        <v>1</v>
      </c>
    </row>
    <row r="12" spans="1:17" x14ac:dyDescent="0.2">
      <c r="A12" s="137"/>
      <c r="B12" s="165"/>
      <c r="C12" s="165"/>
      <c r="D12" s="165"/>
      <c r="E12" s="165"/>
      <c r="F12" s="165"/>
      <c r="G12" s="165"/>
      <c r="H12" s="165"/>
      <c r="I12" s="165"/>
      <c r="J12" s="165"/>
      <c r="K12" s="165"/>
      <c r="L12" s="165"/>
      <c r="M12" s="165"/>
      <c r="N12" s="165"/>
      <c r="O12" s="165"/>
      <c r="P12" s="165"/>
      <c r="Q12" s="165"/>
    </row>
    <row r="13" spans="1:17" x14ac:dyDescent="0.2">
      <c r="A13" s="146"/>
      <c r="B13" s="167">
        <v>42156</v>
      </c>
      <c r="C13" s="167">
        <v>42248</v>
      </c>
      <c r="D13" s="167">
        <v>42339</v>
      </c>
      <c r="E13" s="167">
        <v>42430</v>
      </c>
      <c r="F13" s="167">
        <v>42522</v>
      </c>
      <c r="G13" s="167">
        <v>42615</v>
      </c>
      <c r="H13" s="167">
        <v>42705</v>
      </c>
      <c r="I13" s="167">
        <v>42795</v>
      </c>
      <c r="J13" s="549">
        <v>42887</v>
      </c>
      <c r="K13" s="167"/>
      <c r="L13" s="167"/>
      <c r="M13" s="167"/>
      <c r="N13" s="167"/>
      <c r="O13" s="167"/>
      <c r="P13" s="167"/>
      <c r="Q13" s="167"/>
    </row>
    <row r="14" spans="1:17" x14ac:dyDescent="0.2">
      <c r="A14" s="144" t="s">
        <v>386</v>
      </c>
      <c r="B14" s="161">
        <v>4056</v>
      </c>
      <c r="C14" s="161">
        <v>4263</v>
      </c>
      <c r="D14" s="161">
        <v>3754</v>
      </c>
      <c r="E14" s="161">
        <v>5733</v>
      </c>
      <c r="F14" s="161">
        <v>6951</v>
      </c>
      <c r="G14" s="161">
        <v>8242</v>
      </c>
      <c r="H14" s="161">
        <v>9799</v>
      </c>
      <c r="I14" s="161">
        <v>13286</v>
      </c>
      <c r="J14" s="161">
        <v>13357</v>
      </c>
      <c r="K14" s="161"/>
      <c r="L14" s="161"/>
      <c r="M14" s="161"/>
      <c r="N14" s="161"/>
      <c r="O14" s="161"/>
      <c r="P14" s="161"/>
      <c r="Q14" s="161"/>
    </row>
    <row r="15" spans="1:17" x14ac:dyDescent="0.2">
      <c r="A15" s="144" t="s">
        <v>230</v>
      </c>
      <c r="B15" s="161">
        <f>(B14/100)*14.5</f>
        <v>588.12</v>
      </c>
      <c r="C15" s="161">
        <f>(C14/100)*14.5</f>
        <v>618.13499999999999</v>
      </c>
      <c r="D15" s="161">
        <f>(D14/100)*14.5</f>
        <v>544.33000000000004</v>
      </c>
      <c r="E15" s="161">
        <f>(E14/100)*14.5</f>
        <v>831.28499999999997</v>
      </c>
      <c r="F15" s="162">
        <f>(F14/100)*14.66</f>
        <v>1019.0166</v>
      </c>
      <c r="G15" s="161">
        <f>(G14/100)*14.66</f>
        <v>1208.2772</v>
      </c>
      <c r="H15" s="161">
        <f>(H14/100)*14.66</f>
        <v>1436.5334</v>
      </c>
      <c r="I15" s="161">
        <f>(I14/100)*14.66</f>
        <v>1947.7276000000002</v>
      </c>
      <c r="J15" s="585">
        <f>(J14/100)*14.76</f>
        <v>1971.4931999999999</v>
      </c>
      <c r="K15" s="214">
        <f t="shared" ref="K15:M15" si="0">(K14/100)*14.76</f>
        <v>0</v>
      </c>
      <c r="L15" s="214">
        <f t="shared" si="0"/>
        <v>0</v>
      </c>
      <c r="M15" s="214">
        <f t="shared" si="0"/>
        <v>0</v>
      </c>
      <c r="N15" s="420"/>
      <c r="O15" s="161"/>
      <c r="P15" s="161"/>
      <c r="Q15" s="161"/>
    </row>
    <row r="16" spans="1:17" s="155" customFormat="1" x14ac:dyDescent="0.2">
      <c r="A16" s="144" t="s">
        <v>387</v>
      </c>
      <c r="B16" s="129">
        <v>1331</v>
      </c>
      <c r="C16" s="129">
        <v>1000</v>
      </c>
      <c r="D16" s="129">
        <v>779</v>
      </c>
      <c r="E16" s="129">
        <v>684</v>
      </c>
      <c r="F16" s="129">
        <v>1102</v>
      </c>
      <c r="G16" s="129">
        <v>1098</v>
      </c>
      <c r="H16" s="129">
        <v>1398</v>
      </c>
      <c r="I16" s="129">
        <v>2069</v>
      </c>
      <c r="J16" s="129">
        <v>1995</v>
      </c>
      <c r="K16" s="129"/>
      <c r="L16" s="129"/>
      <c r="M16" s="129"/>
      <c r="N16" s="129"/>
      <c r="O16" s="129"/>
      <c r="P16" s="129"/>
      <c r="Q16" s="129"/>
    </row>
    <row r="17" spans="1:17" s="155" customFormat="1" x14ac:dyDescent="0.2">
      <c r="A17" s="144" t="s">
        <v>16</v>
      </c>
      <c r="B17" s="203">
        <v>0</v>
      </c>
      <c r="C17" s="203">
        <v>0</v>
      </c>
      <c r="D17" s="203">
        <v>0</v>
      </c>
      <c r="E17" s="203">
        <v>0</v>
      </c>
      <c r="F17" s="203">
        <v>0</v>
      </c>
      <c r="G17" s="203">
        <v>0</v>
      </c>
      <c r="H17" s="203">
        <v>0</v>
      </c>
      <c r="I17" s="203">
        <v>0</v>
      </c>
      <c r="J17" s="203">
        <v>0</v>
      </c>
      <c r="K17" s="203">
        <v>0</v>
      </c>
      <c r="L17" s="203">
        <v>0</v>
      </c>
      <c r="M17" s="203">
        <v>0</v>
      </c>
      <c r="N17" s="203">
        <v>0</v>
      </c>
      <c r="O17" s="203">
        <v>0</v>
      </c>
      <c r="P17" s="203">
        <v>0</v>
      </c>
      <c r="Q17" s="203">
        <v>0</v>
      </c>
    </row>
    <row r="19" spans="1:17" x14ac:dyDescent="0.2">
      <c r="A19" s="150" t="s">
        <v>287</v>
      </c>
      <c r="B19" s="165"/>
      <c r="C19" s="165"/>
      <c r="D19" s="165"/>
      <c r="E19" s="165"/>
      <c r="F19" s="165"/>
    </row>
    <row r="20" spans="1:17" x14ac:dyDescent="0.2">
      <c r="A20" s="423" t="s">
        <v>472</v>
      </c>
      <c r="B20" s="165"/>
      <c r="C20" s="165"/>
      <c r="D20" s="165"/>
      <c r="E20" s="165"/>
      <c r="F20"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W16"/>
  <sheetViews>
    <sheetView workbookViewId="0">
      <pane xSplit="1" topLeftCell="B1" activePane="topRight" state="frozen"/>
      <selection pane="topRight"/>
    </sheetView>
  </sheetViews>
  <sheetFormatPr defaultColWidth="9.140625" defaultRowHeight="12.75" x14ac:dyDescent="0.2"/>
  <cols>
    <col min="1" max="1" width="28.28515625" style="117" customWidth="1"/>
    <col min="2" max="2" width="9.5703125" style="117" customWidth="1"/>
    <col min="3" max="16384" width="9.140625" style="117"/>
  </cols>
  <sheetData>
    <row r="1" spans="1:49" x14ac:dyDescent="0.2">
      <c r="A1" s="116" t="s">
        <v>360</v>
      </c>
    </row>
    <row r="3" spans="1:49" x14ac:dyDescent="0.2">
      <c r="A3" s="118" t="s">
        <v>454</v>
      </c>
      <c r="B3" s="155" t="s">
        <v>55</v>
      </c>
    </row>
    <row r="4" spans="1:49" x14ac:dyDescent="0.2">
      <c r="A4" s="118" t="s">
        <v>147</v>
      </c>
      <c r="B4" s="136">
        <f>HLOOKUP(MAX(B9:AW9),B9:AW13,5,0)</f>
        <v>1</v>
      </c>
    </row>
    <row r="5" spans="1:49" x14ac:dyDescent="0.2">
      <c r="A5" s="118" t="s">
        <v>119</v>
      </c>
      <c r="B5" s="138">
        <f>MAX(B9:AW9)</f>
        <v>42948</v>
      </c>
    </row>
    <row r="6" spans="1:49" x14ac:dyDescent="0.2">
      <c r="A6" s="118" t="s">
        <v>201</v>
      </c>
      <c r="B6" s="138"/>
    </row>
    <row r="7" spans="1:49" x14ac:dyDescent="0.2">
      <c r="A7" s="118" t="s">
        <v>456</v>
      </c>
      <c r="B7" s="173" t="s">
        <v>141</v>
      </c>
    </row>
    <row r="8" spans="1:49" x14ac:dyDescent="0.2">
      <c r="A8" s="296"/>
    </row>
    <row r="9" spans="1:49" x14ac:dyDescent="0.2">
      <c r="A9" s="239"/>
      <c r="B9" s="283">
        <v>42095</v>
      </c>
      <c r="C9" s="283">
        <v>42125</v>
      </c>
      <c r="D9" s="283">
        <v>42156</v>
      </c>
      <c r="E9" s="283">
        <v>42186</v>
      </c>
      <c r="F9" s="283">
        <v>42217</v>
      </c>
      <c r="G9" s="283">
        <v>42248</v>
      </c>
      <c r="H9" s="283">
        <v>42278</v>
      </c>
      <c r="I9" s="283">
        <v>42309</v>
      </c>
      <c r="J9" s="167">
        <v>42339</v>
      </c>
      <c r="K9" s="167">
        <v>42370</v>
      </c>
      <c r="L9" s="167">
        <v>42401</v>
      </c>
      <c r="M9" s="167">
        <v>42430</v>
      </c>
      <c r="N9" s="167">
        <v>42461</v>
      </c>
      <c r="O9" s="167">
        <v>42491</v>
      </c>
      <c r="P9" s="167">
        <v>42522</v>
      </c>
      <c r="Q9" s="167">
        <v>42552</v>
      </c>
      <c r="R9" s="167">
        <v>42583</v>
      </c>
      <c r="S9" s="167">
        <v>42614</v>
      </c>
      <c r="T9" s="167">
        <v>42644</v>
      </c>
      <c r="U9" s="167">
        <v>42675</v>
      </c>
      <c r="V9" s="167">
        <v>42705</v>
      </c>
      <c r="W9" s="167">
        <v>42736</v>
      </c>
      <c r="X9" s="167">
        <v>42767</v>
      </c>
      <c r="Y9" s="167">
        <v>42795</v>
      </c>
      <c r="Z9" s="167">
        <v>42826</v>
      </c>
      <c r="AA9" s="167">
        <v>42856</v>
      </c>
      <c r="AB9" s="283">
        <v>42887</v>
      </c>
      <c r="AC9" s="549">
        <v>42917</v>
      </c>
      <c r="AD9" s="283">
        <v>42948</v>
      </c>
      <c r="AE9" s="283"/>
      <c r="AF9" s="283"/>
      <c r="AG9" s="283"/>
      <c r="AH9" s="167"/>
      <c r="AI9" s="167"/>
      <c r="AJ9" s="167"/>
      <c r="AK9" s="167"/>
      <c r="AL9" s="167"/>
      <c r="AM9" s="167"/>
      <c r="AN9" s="167"/>
      <c r="AO9" s="167"/>
      <c r="AP9" s="167"/>
      <c r="AQ9" s="167"/>
      <c r="AR9" s="167"/>
      <c r="AS9" s="167"/>
      <c r="AT9" s="167"/>
      <c r="AU9" s="167"/>
      <c r="AV9" s="167"/>
      <c r="AW9" s="167"/>
    </row>
    <row r="10" spans="1:49" x14ac:dyDescent="0.2">
      <c r="A10" s="239" t="s">
        <v>71</v>
      </c>
      <c r="B10" s="234">
        <v>18</v>
      </c>
      <c r="C10" s="234">
        <v>28</v>
      </c>
      <c r="D10" s="234">
        <v>18</v>
      </c>
      <c r="E10" s="234">
        <v>10</v>
      </c>
      <c r="F10" s="234">
        <v>18</v>
      </c>
      <c r="G10" s="234">
        <v>13</v>
      </c>
      <c r="H10" s="234">
        <v>20</v>
      </c>
      <c r="I10" s="234">
        <v>16</v>
      </c>
      <c r="J10" s="288">
        <v>11</v>
      </c>
      <c r="K10" s="288">
        <v>30</v>
      </c>
      <c r="L10" s="288">
        <v>28</v>
      </c>
      <c r="M10" s="288">
        <v>29</v>
      </c>
      <c r="N10" s="288">
        <v>29</v>
      </c>
      <c r="O10" s="288">
        <v>28</v>
      </c>
      <c r="P10" s="288">
        <v>11</v>
      </c>
      <c r="Q10" s="234">
        <v>14</v>
      </c>
      <c r="R10" s="288">
        <v>22</v>
      </c>
      <c r="S10" s="288">
        <v>31</v>
      </c>
      <c r="T10" s="288">
        <v>47</v>
      </c>
      <c r="U10" s="288">
        <v>35</v>
      </c>
      <c r="V10" s="288">
        <v>23</v>
      </c>
      <c r="W10" s="288">
        <v>32</v>
      </c>
      <c r="X10" s="288">
        <v>23</v>
      </c>
      <c r="Y10" s="288">
        <v>17</v>
      </c>
      <c r="Z10" s="234">
        <v>16</v>
      </c>
      <c r="AA10" s="234">
        <v>21</v>
      </c>
      <c r="AB10" s="234">
        <v>29</v>
      </c>
      <c r="AC10" s="234">
        <v>26</v>
      </c>
      <c r="AD10" s="234">
        <v>18</v>
      </c>
      <c r="AE10" s="234"/>
      <c r="AF10" s="234"/>
      <c r="AG10" s="234"/>
      <c r="AH10" s="288"/>
      <c r="AI10" s="288"/>
      <c r="AJ10" s="288"/>
      <c r="AK10" s="288"/>
      <c r="AL10" s="288"/>
      <c r="AM10" s="288"/>
      <c r="AN10" s="288"/>
      <c r="AO10" s="234"/>
      <c r="AP10" s="288"/>
      <c r="AQ10" s="288"/>
      <c r="AR10" s="288"/>
      <c r="AS10" s="288"/>
      <c r="AT10" s="288"/>
      <c r="AU10" s="288"/>
      <c r="AV10" s="288"/>
      <c r="AW10" s="288"/>
    </row>
    <row r="11" spans="1:49" x14ac:dyDescent="0.2">
      <c r="A11" s="239" t="s">
        <v>72</v>
      </c>
      <c r="B11" s="234">
        <v>0</v>
      </c>
      <c r="C11" s="234">
        <v>0</v>
      </c>
      <c r="D11" s="234">
        <v>0</v>
      </c>
      <c r="E11" s="234">
        <v>0</v>
      </c>
      <c r="F11" s="234">
        <v>0</v>
      </c>
      <c r="G11" s="234">
        <v>0</v>
      </c>
      <c r="H11" s="234">
        <v>0</v>
      </c>
      <c r="I11" s="234">
        <v>0</v>
      </c>
      <c r="J11" s="288">
        <v>0</v>
      </c>
      <c r="K11" s="288">
        <v>1</v>
      </c>
      <c r="L11" s="288">
        <v>0</v>
      </c>
      <c r="M11" s="288">
        <v>0</v>
      </c>
      <c r="N11" s="288">
        <v>0</v>
      </c>
      <c r="O11" s="288">
        <v>1</v>
      </c>
      <c r="P11" s="288">
        <v>0</v>
      </c>
      <c r="Q11" s="234">
        <v>0</v>
      </c>
      <c r="R11" s="288">
        <v>0</v>
      </c>
      <c r="S11" s="288">
        <v>0</v>
      </c>
      <c r="T11" s="288">
        <v>0</v>
      </c>
      <c r="U11" s="288">
        <v>1</v>
      </c>
      <c r="V11" s="288">
        <v>0</v>
      </c>
      <c r="W11" s="288">
        <v>0</v>
      </c>
      <c r="X11" s="288">
        <v>0</v>
      </c>
      <c r="Y11" s="288">
        <v>0</v>
      </c>
      <c r="Z11" s="234">
        <v>1</v>
      </c>
      <c r="AA11" s="234">
        <v>0</v>
      </c>
      <c r="AB11" s="234">
        <v>0</v>
      </c>
      <c r="AC11" s="234">
        <v>0</v>
      </c>
      <c r="AD11" s="234">
        <v>0</v>
      </c>
      <c r="AE11" s="234"/>
      <c r="AF11" s="234"/>
      <c r="AG11" s="234"/>
      <c r="AH11" s="288"/>
      <c r="AI11" s="288"/>
      <c r="AJ11" s="288"/>
      <c r="AK11" s="288"/>
      <c r="AL11" s="288"/>
      <c r="AM11" s="288"/>
      <c r="AN11" s="288"/>
      <c r="AO11" s="234"/>
      <c r="AP11" s="288"/>
      <c r="AQ11" s="288"/>
      <c r="AR11" s="288"/>
      <c r="AS11" s="288"/>
      <c r="AT11" s="288"/>
      <c r="AU11" s="288"/>
      <c r="AV11" s="288"/>
      <c r="AW11" s="288"/>
    </row>
    <row r="12" spans="1:49" x14ac:dyDescent="0.2">
      <c r="A12" s="239" t="s">
        <v>73</v>
      </c>
      <c r="B12" s="234">
        <v>18</v>
      </c>
      <c r="C12" s="234">
        <v>28</v>
      </c>
      <c r="D12" s="234">
        <v>18</v>
      </c>
      <c r="E12" s="234">
        <v>10</v>
      </c>
      <c r="F12" s="234">
        <v>18</v>
      </c>
      <c r="G12" s="234">
        <v>13</v>
      </c>
      <c r="H12" s="234">
        <v>20</v>
      </c>
      <c r="I12" s="234">
        <v>16</v>
      </c>
      <c r="J12" s="288">
        <v>11</v>
      </c>
      <c r="K12" s="288">
        <v>31</v>
      </c>
      <c r="L12" s="288">
        <v>28</v>
      </c>
      <c r="M12" s="288">
        <v>29</v>
      </c>
      <c r="N12" s="288">
        <v>29</v>
      </c>
      <c r="O12" s="288">
        <v>29</v>
      </c>
      <c r="P12" s="288">
        <v>11</v>
      </c>
      <c r="Q12" s="234">
        <v>14</v>
      </c>
      <c r="R12" s="288">
        <v>22</v>
      </c>
      <c r="S12" s="288">
        <v>31</v>
      </c>
      <c r="T12" s="288">
        <v>47</v>
      </c>
      <c r="U12" s="288">
        <v>36</v>
      </c>
      <c r="V12" s="288">
        <v>23</v>
      </c>
      <c r="W12" s="288">
        <v>32</v>
      </c>
      <c r="X12" s="288">
        <v>23</v>
      </c>
      <c r="Y12" s="288">
        <v>17</v>
      </c>
      <c r="Z12" s="234">
        <v>17</v>
      </c>
      <c r="AA12" s="234">
        <v>21</v>
      </c>
      <c r="AB12" s="234">
        <v>29</v>
      </c>
      <c r="AC12" s="234">
        <v>26</v>
      </c>
      <c r="AD12" s="234">
        <v>18</v>
      </c>
      <c r="AE12" s="234"/>
      <c r="AF12" s="234"/>
      <c r="AG12" s="234"/>
      <c r="AH12" s="288"/>
      <c r="AI12" s="288"/>
      <c r="AJ12" s="288"/>
      <c r="AK12" s="288"/>
      <c r="AL12" s="288"/>
      <c r="AM12" s="288"/>
      <c r="AN12" s="288"/>
      <c r="AO12" s="234"/>
      <c r="AP12" s="288"/>
      <c r="AQ12" s="288"/>
      <c r="AR12" s="288"/>
      <c r="AS12" s="288"/>
      <c r="AT12" s="288"/>
      <c r="AU12" s="288"/>
      <c r="AV12" s="288"/>
      <c r="AW12" s="288"/>
    </row>
    <row r="13" spans="1:49" x14ac:dyDescent="0.2">
      <c r="A13" s="239" t="s">
        <v>20</v>
      </c>
      <c r="B13" s="295">
        <f t="shared" ref="B13:AW13" si="0">B10/B12</f>
        <v>1</v>
      </c>
      <c r="C13" s="295">
        <f>C10/C12</f>
        <v>1</v>
      </c>
      <c r="D13" s="295">
        <f t="shared" si="0"/>
        <v>1</v>
      </c>
      <c r="E13" s="295">
        <f t="shared" si="0"/>
        <v>1</v>
      </c>
      <c r="F13" s="295">
        <f t="shared" si="0"/>
        <v>1</v>
      </c>
      <c r="G13" s="295">
        <f t="shared" si="0"/>
        <v>1</v>
      </c>
      <c r="H13" s="295">
        <f t="shared" si="0"/>
        <v>1</v>
      </c>
      <c r="I13" s="295">
        <f t="shared" si="0"/>
        <v>1</v>
      </c>
      <c r="J13" s="295">
        <f t="shared" si="0"/>
        <v>1</v>
      </c>
      <c r="K13" s="295">
        <f t="shared" si="0"/>
        <v>0.967741935483871</v>
      </c>
      <c r="L13" s="295">
        <f t="shared" si="0"/>
        <v>1</v>
      </c>
      <c r="M13" s="295">
        <f t="shared" si="0"/>
        <v>1</v>
      </c>
      <c r="N13" s="295">
        <f>N10/N12</f>
        <v>1</v>
      </c>
      <c r="O13" s="295">
        <f>O10/O12</f>
        <v>0.96551724137931039</v>
      </c>
      <c r="P13" s="295">
        <f t="shared" si="0"/>
        <v>1</v>
      </c>
      <c r="Q13" s="295">
        <f t="shared" si="0"/>
        <v>1</v>
      </c>
      <c r="R13" s="295">
        <f t="shared" si="0"/>
        <v>1</v>
      </c>
      <c r="S13" s="295">
        <f t="shared" si="0"/>
        <v>1</v>
      </c>
      <c r="T13" s="295">
        <f t="shared" si="0"/>
        <v>1</v>
      </c>
      <c r="U13" s="295">
        <f t="shared" si="0"/>
        <v>0.97222222222222221</v>
      </c>
      <c r="V13" s="295">
        <f t="shared" si="0"/>
        <v>1</v>
      </c>
      <c r="W13" s="295">
        <f t="shared" si="0"/>
        <v>1</v>
      </c>
      <c r="X13" s="295">
        <f t="shared" si="0"/>
        <v>1</v>
      </c>
      <c r="Y13" s="295">
        <f t="shared" si="0"/>
        <v>1</v>
      </c>
      <c r="Z13" s="295">
        <f t="shared" si="0"/>
        <v>0.94117647058823528</v>
      </c>
      <c r="AA13" s="295">
        <f t="shared" si="0"/>
        <v>1</v>
      </c>
      <c r="AB13" s="295">
        <f t="shared" si="0"/>
        <v>1</v>
      </c>
      <c r="AC13" s="295">
        <f t="shared" si="0"/>
        <v>1</v>
      </c>
      <c r="AD13" s="295">
        <f t="shared" si="0"/>
        <v>1</v>
      </c>
      <c r="AE13" s="295" t="e">
        <f t="shared" si="0"/>
        <v>#DIV/0!</v>
      </c>
      <c r="AF13" s="295" t="e">
        <f t="shared" si="0"/>
        <v>#DIV/0!</v>
      </c>
      <c r="AG13" s="295" t="e">
        <f t="shared" si="0"/>
        <v>#DIV/0!</v>
      </c>
      <c r="AH13" s="295" t="e">
        <f t="shared" si="0"/>
        <v>#DIV/0!</v>
      </c>
      <c r="AI13" s="295" t="e">
        <f t="shared" si="0"/>
        <v>#DIV/0!</v>
      </c>
      <c r="AJ13" s="295" t="e">
        <f t="shared" si="0"/>
        <v>#DIV/0!</v>
      </c>
      <c r="AK13" s="295" t="e">
        <f t="shared" si="0"/>
        <v>#DIV/0!</v>
      </c>
      <c r="AL13" s="295" t="e">
        <f t="shared" si="0"/>
        <v>#DIV/0!</v>
      </c>
      <c r="AM13" s="295" t="e">
        <f t="shared" si="0"/>
        <v>#DIV/0!</v>
      </c>
      <c r="AN13" s="295" t="e">
        <f t="shared" si="0"/>
        <v>#DIV/0!</v>
      </c>
      <c r="AO13" s="295" t="e">
        <f t="shared" si="0"/>
        <v>#DIV/0!</v>
      </c>
      <c r="AP13" s="295" t="e">
        <f t="shared" si="0"/>
        <v>#DIV/0!</v>
      </c>
      <c r="AQ13" s="295" t="e">
        <f t="shared" si="0"/>
        <v>#DIV/0!</v>
      </c>
      <c r="AR13" s="295" t="e">
        <f t="shared" si="0"/>
        <v>#DIV/0!</v>
      </c>
      <c r="AS13" s="295" t="e">
        <f t="shared" si="0"/>
        <v>#DIV/0!</v>
      </c>
      <c r="AT13" s="295" t="e">
        <f t="shared" si="0"/>
        <v>#DIV/0!</v>
      </c>
      <c r="AU13" s="295" t="e">
        <f t="shared" si="0"/>
        <v>#DIV/0!</v>
      </c>
      <c r="AV13" s="295" t="e">
        <f t="shared" si="0"/>
        <v>#DIV/0!</v>
      </c>
      <c r="AW13" s="295" t="e">
        <f t="shared" si="0"/>
        <v>#DIV/0!</v>
      </c>
    </row>
    <row r="14" spans="1:49" x14ac:dyDescent="0.2">
      <c r="A14" s="377" t="s">
        <v>332</v>
      </c>
      <c r="B14" s="378">
        <v>0.9</v>
      </c>
      <c r="C14" s="378">
        <v>0.9</v>
      </c>
      <c r="D14" s="378">
        <v>0.9</v>
      </c>
      <c r="E14" s="378">
        <v>0.9</v>
      </c>
      <c r="F14" s="378">
        <v>0.9</v>
      </c>
      <c r="G14" s="378">
        <v>0.9</v>
      </c>
      <c r="H14" s="378">
        <v>0.9</v>
      </c>
      <c r="I14" s="378">
        <v>0.9</v>
      </c>
      <c r="J14" s="378">
        <v>0.9</v>
      </c>
      <c r="K14" s="378">
        <v>0.9</v>
      </c>
      <c r="L14" s="378">
        <v>0.9</v>
      </c>
      <c r="M14" s="378">
        <v>0.9</v>
      </c>
      <c r="N14" s="378">
        <v>0.9</v>
      </c>
      <c r="O14" s="378">
        <v>0.9</v>
      </c>
      <c r="P14" s="378">
        <v>0.9</v>
      </c>
      <c r="Q14" s="378">
        <v>0.9</v>
      </c>
      <c r="R14" s="378">
        <v>0.9</v>
      </c>
      <c r="S14" s="378">
        <v>0.9</v>
      </c>
      <c r="T14" s="378">
        <v>0.9</v>
      </c>
      <c r="U14" s="378">
        <v>0.9</v>
      </c>
      <c r="V14" s="378">
        <v>0.9</v>
      </c>
      <c r="W14" s="378">
        <v>0.9</v>
      </c>
      <c r="X14" s="378">
        <v>0.9</v>
      </c>
      <c r="Y14" s="378">
        <v>0.9</v>
      </c>
      <c r="Z14" s="378">
        <v>0.9</v>
      </c>
      <c r="AA14" s="378">
        <v>0.9</v>
      </c>
      <c r="AB14" s="378">
        <v>0.9</v>
      </c>
      <c r="AC14" s="378">
        <v>0.9</v>
      </c>
      <c r="AD14" s="378">
        <v>0.9</v>
      </c>
      <c r="AE14" s="378">
        <v>0.9</v>
      </c>
      <c r="AF14" s="378">
        <v>0.9</v>
      </c>
      <c r="AG14" s="378">
        <v>0.9</v>
      </c>
      <c r="AH14" s="378">
        <v>0.9</v>
      </c>
      <c r="AI14" s="378">
        <v>0.9</v>
      </c>
      <c r="AJ14" s="378">
        <v>0.9</v>
      </c>
      <c r="AK14" s="378">
        <v>0.9</v>
      </c>
      <c r="AL14" s="378">
        <v>0.9</v>
      </c>
      <c r="AM14" s="378">
        <v>0.9</v>
      </c>
      <c r="AN14" s="378">
        <v>0.9</v>
      </c>
      <c r="AO14" s="378">
        <v>0.9</v>
      </c>
      <c r="AP14" s="378">
        <v>0.9</v>
      </c>
      <c r="AQ14" s="378">
        <v>0.9</v>
      </c>
      <c r="AR14" s="378">
        <v>0.9</v>
      </c>
      <c r="AS14" s="378">
        <v>0.9</v>
      </c>
      <c r="AT14" s="378">
        <v>0.9</v>
      </c>
      <c r="AU14" s="378">
        <v>0.9</v>
      </c>
      <c r="AV14" s="378">
        <v>0.9</v>
      </c>
      <c r="AW14" s="378">
        <v>0.9</v>
      </c>
    </row>
    <row r="16" spans="1:49" x14ac:dyDescent="0.2">
      <c r="A16" s="137" t="s">
        <v>616</v>
      </c>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8" scale="41" orientation="landscape" copies="1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70C0"/>
  </sheetPr>
  <dimension ref="A1:Q34"/>
  <sheetViews>
    <sheetView workbookViewId="0"/>
  </sheetViews>
  <sheetFormatPr defaultColWidth="9.140625" defaultRowHeight="12.75" x14ac:dyDescent="0.2"/>
  <cols>
    <col min="1" max="1" width="29.7109375" style="117" customWidth="1"/>
    <col min="2" max="2" width="9.85546875" style="117" bestFit="1" customWidth="1"/>
    <col min="3" max="16384" width="9.140625" style="117"/>
  </cols>
  <sheetData>
    <row r="1" spans="1:17" x14ac:dyDescent="0.2">
      <c r="A1" s="116" t="s">
        <v>360</v>
      </c>
    </row>
    <row r="2" spans="1:17" x14ac:dyDescent="0.2">
      <c r="A2" s="116"/>
    </row>
    <row r="3" spans="1:17" x14ac:dyDescent="0.2">
      <c r="A3" s="137" t="s">
        <v>151</v>
      </c>
      <c r="B3" s="139" t="str">
        <f>IF(HLOOKUP(MAX(B7:Q7),A7:Q9,3,0)&gt;HLOOKUP(MAX(B7:Q7),A7:Q9,2,0),"Better", "Worse")</f>
        <v>Worse</v>
      </c>
      <c r="C3" s="122" t="b">
        <f>IF(HLOOKUP(MAX(B7:Q7),A7:Q9,3,0)=HLOOKUP(MAX(B7:Q7),A7:Q9,2,0),"Equal")</f>
        <v>0</v>
      </c>
    </row>
    <row r="4" spans="1:17" x14ac:dyDescent="0.2">
      <c r="A4" s="137" t="s">
        <v>148</v>
      </c>
      <c r="B4" s="121">
        <f>MAX(B7:Q7)</f>
        <v>42887</v>
      </c>
    </row>
    <row r="5" spans="1:17" x14ac:dyDescent="0.2">
      <c r="A5" s="137" t="s">
        <v>215</v>
      </c>
      <c r="B5" s="138" t="s">
        <v>233</v>
      </c>
    </row>
    <row r="7" spans="1:17" x14ac:dyDescent="0.2">
      <c r="A7" s="146"/>
      <c r="B7" s="167">
        <v>42156</v>
      </c>
      <c r="C7" s="167">
        <v>42248</v>
      </c>
      <c r="D7" s="167">
        <v>42339</v>
      </c>
      <c r="E7" s="167">
        <v>42430</v>
      </c>
      <c r="F7" s="167">
        <v>42522</v>
      </c>
      <c r="G7" s="167">
        <v>42615</v>
      </c>
      <c r="H7" s="167">
        <v>42705</v>
      </c>
      <c r="I7" s="167">
        <v>42795</v>
      </c>
      <c r="J7" s="549">
        <v>42887</v>
      </c>
      <c r="K7" s="167"/>
      <c r="L7" s="167"/>
      <c r="M7" s="167"/>
      <c r="N7" s="167"/>
      <c r="O7" s="167"/>
      <c r="P7" s="167"/>
      <c r="Q7" s="167"/>
    </row>
    <row r="8" spans="1:17" x14ac:dyDescent="0.2">
      <c r="A8" s="168" t="s">
        <v>386</v>
      </c>
      <c r="B8" s="169">
        <v>1</v>
      </c>
      <c r="C8" s="169">
        <v>1</v>
      </c>
      <c r="D8" s="169">
        <v>1</v>
      </c>
      <c r="E8" s="170">
        <v>0.997</v>
      </c>
      <c r="F8" s="165">
        <v>0.997</v>
      </c>
      <c r="G8" s="169">
        <v>1</v>
      </c>
      <c r="H8" s="169">
        <v>0.998</v>
      </c>
      <c r="I8" s="169">
        <v>1</v>
      </c>
      <c r="J8" s="169">
        <v>0.99757281553398058</v>
      </c>
      <c r="K8" s="169"/>
      <c r="L8" s="169"/>
      <c r="M8" s="170"/>
      <c r="N8" s="165"/>
      <c r="O8" s="169"/>
      <c r="P8" s="169"/>
      <c r="Q8" s="169"/>
    </row>
    <row r="9" spans="1:17" x14ac:dyDescent="0.2">
      <c r="A9" s="168" t="s">
        <v>387</v>
      </c>
      <c r="B9" s="169">
        <v>1</v>
      </c>
      <c r="C9" s="169">
        <v>1</v>
      </c>
      <c r="D9" s="169">
        <v>1</v>
      </c>
      <c r="E9" s="169">
        <v>0.98899999999999999</v>
      </c>
      <c r="F9" s="169">
        <v>0.98599999999999999</v>
      </c>
      <c r="G9" s="169">
        <v>1</v>
      </c>
      <c r="H9" s="169">
        <v>0.99099999999999999</v>
      </c>
      <c r="I9" s="169">
        <v>1</v>
      </c>
      <c r="J9" s="169">
        <v>0.9850746268656716</v>
      </c>
      <c r="K9" s="169"/>
      <c r="L9" s="169"/>
      <c r="M9" s="169"/>
      <c r="N9" s="169"/>
      <c r="O9" s="169"/>
      <c r="P9" s="169"/>
      <c r="Q9" s="169"/>
    </row>
    <row r="11" spans="1:17" x14ac:dyDescent="0.2">
      <c r="A11" s="155"/>
      <c r="B11" s="155"/>
      <c r="C11" s="155"/>
      <c r="D11" s="155"/>
      <c r="E11" s="297"/>
      <c r="F11" s="165"/>
    </row>
    <row r="12" spans="1:17" x14ac:dyDescent="0.2">
      <c r="E12" s="165"/>
      <c r="F12" s="165"/>
    </row>
    <row r="15" spans="1:17"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W60"/>
  <sheetViews>
    <sheetView zoomScaleNormal="100" workbookViewId="0">
      <pane xSplit="1" topLeftCell="B1" activePane="topRight" state="frozen"/>
      <selection pane="topRight"/>
    </sheetView>
  </sheetViews>
  <sheetFormatPr defaultColWidth="9.140625" defaultRowHeight="12.75" x14ac:dyDescent="0.2"/>
  <cols>
    <col min="1" max="1" width="37" style="117" customWidth="1"/>
    <col min="2" max="2" width="10" style="117" customWidth="1"/>
    <col min="3" max="14" width="9.140625" style="117" customWidth="1"/>
    <col min="15" max="16384" width="9.140625" style="117"/>
  </cols>
  <sheetData>
    <row r="1" spans="1:49" x14ac:dyDescent="0.2">
      <c r="A1" s="298" t="s">
        <v>360</v>
      </c>
    </row>
    <row r="2" spans="1:49" x14ac:dyDescent="0.2">
      <c r="A2" s="298"/>
    </row>
    <row r="3" spans="1:49" x14ac:dyDescent="0.2">
      <c r="A3" s="118" t="s">
        <v>454</v>
      </c>
      <c r="B3" s="117" t="s">
        <v>286</v>
      </c>
    </row>
    <row r="4" spans="1:49" x14ac:dyDescent="0.2">
      <c r="A4" s="118" t="s">
        <v>156</v>
      </c>
      <c r="B4" s="136">
        <f>HLOOKUP(MAX(B10:AW10),B10:AW32,23,0)</f>
        <v>0.64513019797435822</v>
      </c>
    </row>
    <row r="5" spans="1:49" x14ac:dyDescent="0.2">
      <c r="A5" s="118" t="s">
        <v>157</v>
      </c>
      <c r="B5" s="149">
        <f>HLOOKUP(MAX(B10:AW10),B10:AW32,13,0)</f>
        <v>23195</v>
      </c>
    </row>
    <row r="6" spans="1:49" x14ac:dyDescent="0.2">
      <c r="A6" s="118" t="s">
        <v>119</v>
      </c>
      <c r="B6" s="138">
        <f>MAX(B10:AW10)</f>
        <v>42948</v>
      </c>
    </row>
    <row r="7" spans="1:49" x14ac:dyDescent="0.2">
      <c r="A7" s="118" t="s">
        <v>201</v>
      </c>
      <c r="B7" s="419" t="s">
        <v>182</v>
      </c>
    </row>
    <row r="8" spans="1:49" x14ac:dyDescent="0.2">
      <c r="A8" s="118" t="s">
        <v>456</v>
      </c>
      <c r="B8" s="173" t="s">
        <v>139</v>
      </c>
    </row>
    <row r="9" spans="1:49" x14ac:dyDescent="0.2">
      <c r="A9" s="118"/>
      <c r="B9" s="173"/>
    </row>
    <row r="10" spans="1:49" x14ac:dyDescent="0.2">
      <c r="A10" s="144" t="s">
        <v>385</v>
      </c>
      <c r="B10" s="283">
        <v>42095</v>
      </c>
      <c r="C10" s="283">
        <v>42125</v>
      </c>
      <c r="D10" s="283">
        <v>42156</v>
      </c>
      <c r="E10" s="283">
        <v>42186</v>
      </c>
      <c r="F10" s="283">
        <v>42217</v>
      </c>
      <c r="G10" s="283">
        <v>42248</v>
      </c>
      <c r="H10" s="283">
        <v>42278</v>
      </c>
      <c r="I10" s="283">
        <v>42309</v>
      </c>
      <c r="J10" s="167">
        <v>42339</v>
      </c>
      <c r="K10" s="167">
        <v>42370</v>
      </c>
      <c r="L10" s="167">
        <v>42401</v>
      </c>
      <c r="M10" s="167">
        <v>42430</v>
      </c>
      <c r="N10" s="167">
        <v>42461</v>
      </c>
      <c r="O10" s="167">
        <v>42491</v>
      </c>
      <c r="P10" s="167">
        <v>42522</v>
      </c>
      <c r="Q10" s="167">
        <v>42552</v>
      </c>
      <c r="R10" s="167">
        <v>42583</v>
      </c>
      <c r="S10" s="167">
        <v>42614</v>
      </c>
      <c r="T10" s="167">
        <v>42644</v>
      </c>
      <c r="U10" s="167">
        <v>42675</v>
      </c>
      <c r="V10" s="167">
        <v>42705</v>
      </c>
      <c r="W10" s="167">
        <v>42736</v>
      </c>
      <c r="X10" s="167">
        <v>42767</v>
      </c>
      <c r="Y10" s="167">
        <v>42795</v>
      </c>
      <c r="Z10" s="167">
        <v>42826</v>
      </c>
      <c r="AA10" s="167">
        <v>42856</v>
      </c>
      <c r="AB10" s="549">
        <v>42887</v>
      </c>
      <c r="AC10" s="549">
        <v>42917</v>
      </c>
      <c r="AD10" s="283">
        <v>42948</v>
      </c>
      <c r="AE10" s="283"/>
      <c r="AF10" s="283"/>
      <c r="AG10" s="283"/>
      <c r="AH10" s="167"/>
      <c r="AI10" s="167"/>
      <c r="AJ10" s="167"/>
      <c r="AK10" s="167"/>
      <c r="AL10" s="167"/>
      <c r="AM10" s="167"/>
      <c r="AN10" s="167"/>
      <c r="AO10" s="167"/>
      <c r="AP10" s="167"/>
      <c r="AQ10" s="167"/>
      <c r="AR10" s="167"/>
      <c r="AS10" s="167"/>
      <c r="AT10" s="167"/>
      <c r="AU10" s="167"/>
      <c r="AV10" s="167"/>
      <c r="AW10" s="167"/>
    </row>
    <row r="11" spans="1:49" x14ac:dyDescent="0.2">
      <c r="A11" s="299" t="s">
        <v>211</v>
      </c>
      <c r="B11" s="129">
        <v>13</v>
      </c>
      <c r="C11" s="129">
        <v>19</v>
      </c>
      <c r="D11" s="129">
        <v>14</v>
      </c>
      <c r="E11" s="129">
        <v>19</v>
      </c>
      <c r="F11" s="129">
        <v>49</v>
      </c>
      <c r="G11" s="129">
        <v>68</v>
      </c>
      <c r="H11" s="129">
        <v>44</v>
      </c>
      <c r="I11" s="129">
        <v>29</v>
      </c>
      <c r="J11" s="129">
        <v>41</v>
      </c>
      <c r="K11" s="129">
        <v>217</v>
      </c>
      <c r="L11" s="129">
        <v>222</v>
      </c>
      <c r="M11" s="129">
        <v>157</v>
      </c>
      <c r="N11" s="129">
        <v>80</v>
      </c>
      <c r="O11" s="129">
        <v>44</v>
      </c>
      <c r="P11" s="129">
        <v>32</v>
      </c>
      <c r="Q11" s="129">
        <v>213</v>
      </c>
      <c r="R11" s="129">
        <v>1130</v>
      </c>
      <c r="S11" s="300">
        <v>1839</v>
      </c>
      <c r="T11" s="300">
        <v>2425</v>
      </c>
      <c r="U11" s="300">
        <v>2443</v>
      </c>
      <c r="V11" s="300">
        <v>2439</v>
      </c>
      <c r="W11" s="300">
        <v>2249</v>
      </c>
      <c r="X11" s="300">
        <v>1854</v>
      </c>
      <c r="Y11" s="300">
        <v>1723</v>
      </c>
      <c r="Z11" s="300">
        <v>2090</v>
      </c>
      <c r="AA11" s="129">
        <v>2431</v>
      </c>
      <c r="AB11" s="129">
        <v>2843</v>
      </c>
      <c r="AC11" s="129">
        <v>3340</v>
      </c>
      <c r="AD11" s="129">
        <v>4204</v>
      </c>
      <c r="AE11" s="129"/>
      <c r="AF11" s="129"/>
      <c r="AG11" s="129"/>
      <c r="AH11" s="129"/>
      <c r="AI11" s="129"/>
      <c r="AJ11" s="129"/>
      <c r="AK11" s="129"/>
      <c r="AL11" s="129"/>
      <c r="AM11" s="129"/>
      <c r="AN11" s="129"/>
      <c r="AO11" s="129"/>
      <c r="AP11" s="129"/>
      <c r="AQ11" s="300"/>
      <c r="AR11" s="300"/>
      <c r="AS11" s="300"/>
      <c r="AT11" s="300"/>
      <c r="AU11" s="300"/>
      <c r="AV11" s="300"/>
      <c r="AW11" s="300"/>
    </row>
    <row r="12" spans="1:49" s="199" customFormat="1" x14ac:dyDescent="0.2">
      <c r="A12" s="299" t="s">
        <v>419</v>
      </c>
      <c r="B12" s="301">
        <v>477</v>
      </c>
      <c r="C12" s="301">
        <v>671</v>
      </c>
      <c r="D12" s="301">
        <v>902</v>
      </c>
      <c r="E12" s="301">
        <v>1208</v>
      </c>
      <c r="F12" s="301">
        <v>1334</v>
      </c>
      <c r="G12" s="301">
        <v>1360</v>
      </c>
      <c r="H12" s="301">
        <v>1375</v>
      </c>
      <c r="I12" s="301">
        <v>1292</v>
      </c>
      <c r="J12" s="301">
        <v>1439</v>
      </c>
      <c r="K12" s="301">
        <v>1445</v>
      </c>
      <c r="L12" s="301">
        <v>1547</v>
      </c>
      <c r="M12" s="301">
        <v>1617</v>
      </c>
      <c r="N12" s="301">
        <v>1845</v>
      </c>
      <c r="O12" s="301">
        <v>2087</v>
      </c>
      <c r="P12" s="301">
        <v>2327</v>
      </c>
      <c r="Q12" s="301">
        <v>2596</v>
      </c>
      <c r="R12" s="301">
        <v>3112</v>
      </c>
      <c r="S12" s="302">
        <v>3686</v>
      </c>
      <c r="T12" s="302">
        <v>3999</v>
      </c>
      <c r="U12" s="302">
        <v>4360</v>
      </c>
      <c r="V12" s="302">
        <v>4296</v>
      </c>
      <c r="W12" s="302">
        <v>4159</v>
      </c>
      <c r="X12" s="302">
        <v>3875</v>
      </c>
      <c r="Y12" s="302">
        <v>3419</v>
      </c>
      <c r="Z12" s="302">
        <v>3496</v>
      </c>
      <c r="AA12" s="301">
        <v>3745</v>
      </c>
      <c r="AB12" s="301">
        <v>3882</v>
      </c>
      <c r="AC12" s="301">
        <v>4169</v>
      </c>
      <c r="AD12" s="301">
        <v>4001</v>
      </c>
      <c r="AE12" s="301"/>
      <c r="AF12" s="301"/>
      <c r="AG12" s="301"/>
      <c r="AH12" s="301"/>
      <c r="AI12" s="301"/>
      <c r="AJ12" s="301"/>
      <c r="AK12" s="301"/>
      <c r="AL12" s="301"/>
      <c r="AM12" s="301"/>
      <c r="AN12" s="301"/>
      <c r="AO12" s="301"/>
      <c r="AP12" s="301"/>
      <c r="AQ12" s="302"/>
      <c r="AR12" s="302"/>
      <c r="AS12" s="302"/>
      <c r="AT12" s="302"/>
      <c r="AU12" s="302"/>
      <c r="AV12" s="302"/>
      <c r="AW12" s="302"/>
    </row>
    <row r="13" spans="1:49" s="199" customFormat="1" x14ac:dyDescent="0.2">
      <c r="A13" s="299" t="s">
        <v>420</v>
      </c>
      <c r="B13" s="301">
        <v>515</v>
      </c>
      <c r="C13" s="301">
        <v>665</v>
      </c>
      <c r="D13" s="301">
        <v>558</v>
      </c>
      <c r="E13" s="301">
        <v>912</v>
      </c>
      <c r="F13" s="301">
        <v>1291</v>
      </c>
      <c r="G13" s="301">
        <v>1623</v>
      </c>
      <c r="H13" s="301">
        <v>1847</v>
      </c>
      <c r="I13" s="301">
        <v>1982</v>
      </c>
      <c r="J13" s="301">
        <v>2165</v>
      </c>
      <c r="K13" s="301">
        <v>2366</v>
      </c>
      <c r="L13" s="301">
        <v>2166</v>
      </c>
      <c r="M13" s="301">
        <v>1916</v>
      </c>
      <c r="N13" s="301">
        <v>2201</v>
      </c>
      <c r="O13" s="301">
        <v>2255</v>
      </c>
      <c r="P13" s="301">
        <v>2321</v>
      </c>
      <c r="Q13" s="301">
        <v>2660</v>
      </c>
      <c r="R13" s="301">
        <v>2927</v>
      </c>
      <c r="S13" s="302">
        <v>2977</v>
      </c>
      <c r="T13" s="302">
        <v>3078</v>
      </c>
      <c r="U13" s="302">
        <v>3176</v>
      </c>
      <c r="V13" s="302">
        <v>3213</v>
      </c>
      <c r="W13" s="302">
        <v>3172</v>
      </c>
      <c r="X13" s="302">
        <v>3071</v>
      </c>
      <c r="Y13" s="302">
        <v>2566</v>
      </c>
      <c r="Z13" s="302">
        <v>2796</v>
      </c>
      <c r="AA13" s="301">
        <v>2823</v>
      </c>
      <c r="AB13" s="301">
        <v>3022</v>
      </c>
      <c r="AC13" s="301">
        <v>3222</v>
      </c>
      <c r="AD13" s="301">
        <v>3586</v>
      </c>
      <c r="AE13" s="301"/>
      <c r="AF13" s="301"/>
      <c r="AG13" s="301"/>
      <c r="AH13" s="301"/>
      <c r="AI13" s="301"/>
      <c r="AJ13" s="301"/>
      <c r="AK13" s="301"/>
      <c r="AL13" s="301"/>
      <c r="AM13" s="301"/>
      <c r="AN13" s="301"/>
      <c r="AO13" s="301"/>
      <c r="AP13" s="301"/>
      <c r="AQ13" s="302"/>
      <c r="AR13" s="302"/>
      <c r="AS13" s="302"/>
      <c r="AT13" s="302"/>
      <c r="AU13" s="302"/>
      <c r="AV13" s="302"/>
      <c r="AW13" s="302"/>
    </row>
    <row r="14" spans="1:49" s="199" customFormat="1" x14ac:dyDescent="0.2">
      <c r="A14" s="299" t="s">
        <v>421</v>
      </c>
      <c r="B14" s="301">
        <v>454</v>
      </c>
      <c r="C14" s="301">
        <v>583</v>
      </c>
      <c r="D14" s="301">
        <v>632</v>
      </c>
      <c r="E14" s="301">
        <v>854</v>
      </c>
      <c r="F14" s="301">
        <v>1036</v>
      </c>
      <c r="G14" s="301">
        <v>1141</v>
      </c>
      <c r="H14" s="301">
        <v>1197</v>
      </c>
      <c r="I14" s="301">
        <v>1110</v>
      </c>
      <c r="J14" s="301">
        <v>1120</v>
      </c>
      <c r="K14" s="301">
        <v>1387</v>
      </c>
      <c r="L14" s="301">
        <v>1535</v>
      </c>
      <c r="M14" s="301">
        <v>1375</v>
      </c>
      <c r="N14" s="301">
        <v>1684</v>
      </c>
      <c r="O14" s="301">
        <v>2064</v>
      </c>
      <c r="P14" s="301">
        <v>2042</v>
      </c>
      <c r="Q14" s="301">
        <v>2116</v>
      </c>
      <c r="R14" s="301">
        <v>2196</v>
      </c>
      <c r="S14" s="302">
        <v>2438</v>
      </c>
      <c r="T14" s="302">
        <v>2671</v>
      </c>
      <c r="U14" s="302">
        <v>2773</v>
      </c>
      <c r="V14" s="302">
        <v>2757</v>
      </c>
      <c r="W14" s="302">
        <v>2830</v>
      </c>
      <c r="X14" s="302">
        <v>2891</v>
      </c>
      <c r="Y14" s="302">
        <v>2527</v>
      </c>
      <c r="Z14" s="302">
        <v>2742</v>
      </c>
      <c r="AA14" s="301">
        <v>2799</v>
      </c>
      <c r="AB14" s="301">
        <v>2759</v>
      </c>
      <c r="AC14" s="301">
        <v>2766</v>
      </c>
      <c r="AD14" s="301">
        <v>2770</v>
      </c>
      <c r="AE14" s="301"/>
      <c r="AF14" s="301"/>
      <c r="AG14" s="301"/>
      <c r="AH14" s="301"/>
      <c r="AI14" s="301"/>
      <c r="AJ14" s="301"/>
      <c r="AK14" s="301"/>
      <c r="AL14" s="301"/>
      <c r="AM14" s="301"/>
      <c r="AN14" s="301"/>
      <c r="AO14" s="301"/>
      <c r="AP14" s="301"/>
      <c r="AQ14" s="302"/>
      <c r="AR14" s="302"/>
      <c r="AS14" s="302"/>
      <c r="AT14" s="302"/>
      <c r="AU14" s="302"/>
      <c r="AV14" s="302"/>
      <c r="AW14" s="302"/>
    </row>
    <row r="15" spans="1:49" s="199" customFormat="1" x14ac:dyDescent="0.2">
      <c r="A15" s="299" t="s">
        <v>422</v>
      </c>
      <c r="B15" s="301">
        <v>431</v>
      </c>
      <c r="C15" s="301">
        <v>504</v>
      </c>
      <c r="D15" s="301">
        <v>541</v>
      </c>
      <c r="E15" s="301">
        <v>872</v>
      </c>
      <c r="F15" s="301">
        <v>1093</v>
      </c>
      <c r="G15" s="301">
        <v>1040</v>
      </c>
      <c r="H15" s="301">
        <v>681</v>
      </c>
      <c r="I15" s="301">
        <v>478</v>
      </c>
      <c r="J15" s="301">
        <v>373</v>
      </c>
      <c r="K15" s="301">
        <v>394</v>
      </c>
      <c r="L15" s="301">
        <v>390</v>
      </c>
      <c r="M15" s="301">
        <v>345</v>
      </c>
      <c r="N15" s="301">
        <v>492</v>
      </c>
      <c r="O15" s="301">
        <v>596</v>
      </c>
      <c r="P15" s="301">
        <v>827</v>
      </c>
      <c r="Q15" s="301">
        <v>921</v>
      </c>
      <c r="R15" s="301">
        <v>1072</v>
      </c>
      <c r="S15" s="302">
        <v>1155</v>
      </c>
      <c r="T15" s="302">
        <v>1239</v>
      </c>
      <c r="U15" s="302">
        <v>1490</v>
      </c>
      <c r="V15" s="302">
        <v>1869</v>
      </c>
      <c r="W15" s="302">
        <v>2113</v>
      </c>
      <c r="X15" s="302">
        <v>1831</v>
      </c>
      <c r="Y15" s="302">
        <v>1413</v>
      </c>
      <c r="Z15" s="302">
        <v>1572</v>
      </c>
      <c r="AA15" s="301">
        <v>1639</v>
      </c>
      <c r="AB15" s="301">
        <v>1586</v>
      </c>
      <c r="AC15" s="301">
        <v>1619</v>
      </c>
      <c r="AD15" s="301">
        <v>1788</v>
      </c>
      <c r="AE15" s="301"/>
      <c r="AF15" s="301"/>
      <c r="AG15" s="301"/>
      <c r="AH15" s="301"/>
      <c r="AI15" s="301"/>
      <c r="AJ15" s="301"/>
      <c r="AK15" s="301"/>
      <c r="AL15" s="301"/>
      <c r="AM15" s="301"/>
      <c r="AN15" s="301"/>
      <c r="AO15" s="301"/>
      <c r="AP15" s="301"/>
      <c r="AQ15" s="302"/>
      <c r="AR15" s="302"/>
      <c r="AS15" s="302"/>
      <c r="AT15" s="302"/>
      <c r="AU15" s="302"/>
      <c r="AV15" s="302"/>
      <c r="AW15" s="302"/>
    </row>
    <row r="16" spans="1:49" s="199" customFormat="1" x14ac:dyDescent="0.2">
      <c r="A16" s="299" t="s">
        <v>425</v>
      </c>
      <c r="B16" s="301">
        <v>336</v>
      </c>
      <c r="C16" s="301">
        <v>378</v>
      </c>
      <c r="D16" s="301">
        <v>326</v>
      </c>
      <c r="E16" s="301">
        <v>475</v>
      </c>
      <c r="F16" s="301">
        <v>395</v>
      </c>
      <c r="G16" s="301">
        <v>412</v>
      </c>
      <c r="H16" s="301">
        <v>335</v>
      </c>
      <c r="I16" s="301">
        <v>212</v>
      </c>
      <c r="J16" s="301">
        <v>157</v>
      </c>
      <c r="K16" s="301">
        <v>192</v>
      </c>
      <c r="L16" s="301">
        <v>188</v>
      </c>
      <c r="M16" s="301">
        <v>121</v>
      </c>
      <c r="N16" s="301">
        <v>189</v>
      </c>
      <c r="O16" s="301">
        <v>224</v>
      </c>
      <c r="P16" s="301">
        <v>216</v>
      </c>
      <c r="Q16" s="301">
        <v>342</v>
      </c>
      <c r="R16" s="301">
        <v>350</v>
      </c>
      <c r="S16" s="302">
        <v>356</v>
      </c>
      <c r="T16" s="302">
        <v>346</v>
      </c>
      <c r="U16" s="302">
        <v>354</v>
      </c>
      <c r="V16" s="302">
        <v>534</v>
      </c>
      <c r="W16" s="302">
        <v>752</v>
      </c>
      <c r="X16" s="302">
        <v>782</v>
      </c>
      <c r="Y16" s="302">
        <v>651</v>
      </c>
      <c r="Z16" s="302">
        <v>960</v>
      </c>
      <c r="AA16" s="301">
        <v>1239</v>
      </c>
      <c r="AB16" s="301">
        <v>1360</v>
      </c>
      <c r="AC16" s="301">
        <v>1505</v>
      </c>
      <c r="AD16" s="301">
        <v>1764</v>
      </c>
      <c r="AE16" s="301"/>
      <c r="AF16" s="301"/>
      <c r="AG16" s="301"/>
      <c r="AH16" s="301"/>
      <c r="AI16" s="301"/>
      <c r="AJ16" s="301"/>
      <c r="AK16" s="301"/>
      <c r="AL16" s="301"/>
      <c r="AM16" s="301"/>
      <c r="AN16" s="301"/>
      <c r="AO16" s="301"/>
      <c r="AP16" s="301"/>
      <c r="AQ16" s="302"/>
      <c r="AR16" s="302"/>
      <c r="AS16" s="302"/>
      <c r="AT16" s="302"/>
      <c r="AU16" s="302"/>
      <c r="AV16" s="302"/>
      <c r="AW16" s="302"/>
    </row>
    <row r="17" spans="1:49" s="199" customFormat="1" x14ac:dyDescent="0.2">
      <c r="A17" s="299" t="s">
        <v>424</v>
      </c>
      <c r="B17" s="301">
        <v>398</v>
      </c>
      <c r="C17" s="301">
        <v>438</v>
      </c>
      <c r="D17" s="301">
        <v>321</v>
      </c>
      <c r="E17" s="301">
        <v>606</v>
      </c>
      <c r="F17" s="301">
        <v>648</v>
      </c>
      <c r="G17" s="301">
        <v>542</v>
      </c>
      <c r="H17" s="301">
        <v>525</v>
      </c>
      <c r="I17" s="301">
        <v>390</v>
      </c>
      <c r="J17" s="301">
        <v>377</v>
      </c>
      <c r="K17" s="301">
        <v>407</v>
      </c>
      <c r="L17" s="301">
        <v>404</v>
      </c>
      <c r="M17" s="301">
        <v>353</v>
      </c>
      <c r="N17" s="301">
        <v>386</v>
      </c>
      <c r="O17" s="301">
        <v>391</v>
      </c>
      <c r="P17" s="301">
        <v>351</v>
      </c>
      <c r="Q17" s="301">
        <v>326</v>
      </c>
      <c r="R17" s="301">
        <v>471</v>
      </c>
      <c r="S17" s="302">
        <v>669</v>
      </c>
      <c r="T17" s="302">
        <v>744</v>
      </c>
      <c r="U17" s="302">
        <v>551</v>
      </c>
      <c r="V17" s="302">
        <v>462</v>
      </c>
      <c r="W17" s="302">
        <v>604</v>
      </c>
      <c r="X17" s="302">
        <v>657</v>
      </c>
      <c r="Y17" s="302">
        <v>608</v>
      </c>
      <c r="Z17" s="302">
        <v>790</v>
      </c>
      <c r="AA17" s="301">
        <v>1032</v>
      </c>
      <c r="AB17" s="301">
        <v>1277</v>
      </c>
      <c r="AC17" s="301">
        <v>1417</v>
      </c>
      <c r="AD17" s="301">
        <v>1614</v>
      </c>
      <c r="AE17" s="301"/>
      <c r="AF17" s="301"/>
      <c r="AG17" s="301"/>
      <c r="AH17" s="301"/>
      <c r="AI17" s="301"/>
      <c r="AJ17" s="301"/>
      <c r="AK17" s="301"/>
      <c r="AL17" s="301"/>
      <c r="AM17" s="301"/>
      <c r="AN17" s="301"/>
      <c r="AO17" s="301"/>
      <c r="AP17" s="301"/>
      <c r="AQ17" s="302"/>
      <c r="AR17" s="302"/>
      <c r="AS17" s="302"/>
      <c r="AT17" s="302"/>
      <c r="AU17" s="302"/>
      <c r="AV17" s="302"/>
      <c r="AW17" s="302"/>
    </row>
    <row r="18" spans="1:49" s="199" customFormat="1" x14ac:dyDescent="0.2">
      <c r="A18" s="299" t="s">
        <v>423</v>
      </c>
      <c r="B18" s="301">
        <v>21</v>
      </c>
      <c r="C18" s="301">
        <v>23</v>
      </c>
      <c r="D18" s="301">
        <v>21</v>
      </c>
      <c r="E18" s="301">
        <v>28</v>
      </c>
      <c r="F18" s="301">
        <v>93</v>
      </c>
      <c r="G18" s="301">
        <v>182</v>
      </c>
      <c r="H18" s="301">
        <v>281</v>
      </c>
      <c r="I18" s="301">
        <v>293</v>
      </c>
      <c r="J18" s="301">
        <v>308</v>
      </c>
      <c r="K18" s="301">
        <v>341</v>
      </c>
      <c r="L18" s="301">
        <v>326</v>
      </c>
      <c r="M18" s="301">
        <v>296</v>
      </c>
      <c r="N18" s="301">
        <v>333</v>
      </c>
      <c r="O18" s="301">
        <v>339</v>
      </c>
      <c r="P18" s="301">
        <v>362</v>
      </c>
      <c r="Q18" s="301">
        <v>447</v>
      </c>
      <c r="R18" s="301">
        <v>578</v>
      </c>
      <c r="S18" s="302">
        <v>667</v>
      </c>
      <c r="T18" s="302">
        <v>795</v>
      </c>
      <c r="U18" s="302">
        <v>964</v>
      </c>
      <c r="V18" s="302">
        <v>1103</v>
      </c>
      <c r="W18" s="302">
        <v>1194</v>
      </c>
      <c r="X18" s="302">
        <v>1254</v>
      </c>
      <c r="Y18" s="302">
        <v>980</v>
      </c>
      <c r="Z18" s="302">
        <v>990</v>
      </c>
      <c r="AA18" s="301">
        <v>942</v>
      </c>
      <c r="AB18" s="301">
        <v>914</v>
      </c>
      <c r="AC18" s="301">
        <v>952</v>
      </c>
      <c r="AD18" s="301">
        <v>733</v>
      </c>
      <c r="AE18" s="301"/>
      <c r="AF18" s="301"/>
      <c r="AG18" s="301"/>
      <c r="AH18" s="301"/>
      <c r="AI18" s="301"/>
      <c r="AJ18" s="301"/>
      <c r="AK18" s="301"/>
      <c r="AL18" s="301"/>
      <c r="AM18" s="301"/>
      <c r="AN18" s="301"/>
      <c r="AO18" s="301"/>
      <c r="AP18" s="301"/>
      <c r="AQ18" s="302"/>
      <c r="AR18" s="302"/>
      <c r="AS18" s="302"/>
      <c r="AT18" s="302"/>
      <c r="AU18" s="302"/>
      <c r="AV18" s="302"/>
      <c r="AW18" s="302"/>
    </row>
    <row r="19" spans="1:49" s="199" customFormat="1" x14ac:dyDescent="0.2">
      <c r="A19" s="379" t="s">
        <v>172</v>
      </c>
      <c r="B19" s="301">
        <v>124</v>
      </c>
      <c r="C19" s="301">
        <v>125</v>
      </c>
      <c r="D19" s="301">
        <v>72</v>
      </c>
      <c r="E19" s="301">
        <v>100</v>
      </c>
      <c r="F19" s="301">
        <v>107</v>
      </c>
      <c r="G19" s="301">
        <v>82</v>
      </c>
      <c r="H19" s="301">
        <v>59</v>
      </c>
      <c r="I19" s="301">
        <v>49</v>
      </c>
      <c r="J19" s="301">
        <v>51</v>
      </c>
      <c r="K19" s="301">
        <v>56</v>
      </c>
      <c r="L19" s="301">
        <v>62</v>
      </c>
      <c r="M19" s="301">
        <v>48</v>
      </c>
      <c r="N19" s="301">
        <v>79</v>
      </c>
      <c r="O19" s="301">
        <v>184</v>
      </c>
      <c r="P19" s="301">
        <v>240</v>
      </c>
      <c r="Q19" s="301">
        <v>294</v>
      </c>
      <c r="R19" s="301">
        <v>263</v>
      </c>
      <c r="S19" s="302">
        <v>304</v>
      </c>
      <c r="T19" s="302">
        <v>290</v>
      </c>
      <c r="U19" s="302">
        <v>303</v>
      </c>
      <c r="V19" s="302">
        <v>293</v>
      </c>
      <c r="W19" s="302">
        <v>228</v>
      </c>
      <c r="X19" s="302">
        <v>219</v>
      </c>
      <c r="Y19" s="302">
        <v>192</v>
      </c>
      <c r="Z19" s="302">
        <v>234</v>
      </c>
      <c r="AA19" s="301">
        <v>256</v>
      </c>
      <c r="AB19" s="301">
        <v>351</v>
      </c>
      <c r="AC19" s="301">
        <v>412</v>
      </c>
      <c r="AD19" s="301">
        <v>509</v>
      </c>
      <c r="AE19" s="301"/>
      <c r="AF19" s="301"/>
      <c r="AG19" s="301"/>
      <c r="AH19" s="301"/>
      <c r="AI19" s="301"/>
      <c r="AJ19" s="301"/>
      <c r="AK19" s="301"/>
      <c r="AL19" s="301"/>
      <c r="AM19" s="301"/>
      <c r="AN19" s="301"/>
      <c r="AO19" s="301"/>
      <c r="AP19" s="301"/>
      <c r="AQ19" s="302"/>
      <c r="AR19" s="302"/>
      <c r="AS19" s="302"/>
      <c r="AT19" s="302"/>
      <c r="AU19" s="302"/>
      <c r="AV19" s="302"/>
      <c r="AW19" s="302"/>
    </row>
    <row r="20" spans="1:49" x14ac:dyDescent="0.2">
      <c r="A20" s="299" t="s">
        <v>468</v>
      </c>
      <c r="B20" s="129">
        <v>7</v>
      </c>
      <c r="C20" s="129">
        <v>12</v>
      </c>
      <c r="D20" s="129">
        <v>5</v>
      </c>
      <c r="E20" s="129">
        <v>9</v>
      </c>
      <c r="F20" s="129">
        <v>3</v>
      </c>
      <c r="G20" s="129">
        <v>4</v>
      </c>
      <c r="H20" s="129">
        <v>4</v>
      </c>
      <c r="I20" s="129">
        <v>3</v>
      </c>
      <c r="J20" s="129">
        <v>12</v>
      </c>
      <c r="K20" s="129">
        <v>18</v>
      </c>
      <c r="L20" s="129">
        <v>29</v>
      </c>
      <c r="M20" s="129">
        <v>30</v>
      </c>
      <c r="N20" s="129">
        <v>42</v>
      </c>
      <c r="O20" s="129">
        <v>60</v>
      </c>
      <c r="P20" s="129">
        <v>72</v>
      </c>
      <c r="Q20" s="129">
        <v>118</v>
      </c>
      <c r="R20" s="129">
        <v>142</v>
      </c>
      <c r="S20" s="300">
        <v>127</v>
      </c>
      <c r="T20" s="300">
        <v>140</v>
      </c>
      <c r="U20" s="300">
        <v>148</v>
      </c>
      <c r="V20" s="300">
        <v>164</v>
      </c>
      <c r="W20" s="300">
        <v>183</v>
      </c>
      <c r="X20" s="300">
        <v>206</v>
      </c>
      <c r="Y20" s="300">
        <v>215</v>
      </c>
      <c r="Z20" s="300">
        <v>266</v>
      </c>
      <c r="AA20" s="129">
        <v>261</v>
      </c>
      <c r="AB20" s="129">
        <v>279</v>
      </c>
      <c r="AC20" s="129">
        <v>297</v>
      </c>
      <c r="AD20" s="129">
        <v>404</v>
      </c>
      <c r="AE20" s="129"/>
      <c r="AF20" s="129"/>
      <c r="AG20" s="129"/>
      <c r="AH20" s="129"/>
      <c r="AI20" s="129"/>
      <c r="AJ20" s="129"/>
      <c r="AK20" s="129"/>
      <c r="AL20" s="129"/>
      <c r="AM20" s="129"/>
      <c r="AN20" s="129"/>
      <c r="AO20" s="129"/>
      <c r="AP20" s="129"/>
      <c r="AQ20" s="300"/>
      <c r="AR20" s="300"/>
      <c r="AS20" s="300"/>
      <c r="AT20" s="300"/>
      <c r="AU20" s="300"/>
      <c r="AV20" s="300"/>
      <c r="AW20" s="300"/>
    </row>
    <row r="21" spans="1:49" x14ac:dyDescent="0.2">
      <c r="A21" s="299" t="s">
        <v>426</v>
      </c>
      <c r="B21" s="129">
        <v>691</v>
      </c>
      <c r="C21" s="129">
        <v>843</v>
      </c>
      <c r="D21" s="129">
        <v>800</v>
      </c>
      <c r="E21" s="129">
        <v>1004</v>
      </c>
      <c r="F21" s="129">
        <v>884</v>
      </c>
      <c r="G21" s="129">
        <v>974</v>
      </c>
      <c r="H21" s="129">
        <v>1143</v>
      </c>
      <c r="I21" s="129">
        <v>941</v>
      </c>
      <c r="J21" s="129">
        <v>1099</v>
      </c>
      <c r="K21" s="129">
        <v>1002</v>
      </c>
      <c r="L21" s="129">
        <v>1117</v>
      </c>
      <c r="M21" s="129">
        <v>778</v>
      </c>
      <c r="N21" s="129">
        <v>929</v>
      </c>
      <c r="O21" s="129">
        <v>1160</v>
      </c>
      <c r="P21" s="129">
        <v>1345</v>
      </c>
      <c r="Q21" s="129">
        <v>1678</v>
      </c>
      <c r="R21" s="129">
        <v>1927</v>
      </c>
      <c r="S21" s="300">
        <v>2047</v>
      </c>
      <c r="T21" s="300">
        <v>2163</v>
      </c>
      <c r="U21" s="300">
        <v>2018</v>
      </c>
      <c r="V21" s="300">
        <v>2081</v>
      </c>
      <c r="W21" s="300">
        <v>1532</v>
      </c>
      <c r="X21" s="300">
        <v>1327</v>
      </c>
      <c r="Y21" s="300">
        <v>1193</v>
      </c>
      <c r="Z21" s="300">
        <v>1375</v>
      </c>
      <c r="AA21" s="129">
        <v>1532</v>
      </c>
      <c r="AB21" s="129">
        <v>1500</v>
      </c>
      <c r="AC21" s="129">
        <v>1574</v>
      </c>
      <c r="AD21" s="129">
        <v>1822</v>
      </c>
      <c r="AE21" s="129"/>
      <c r="AF21" s="129"/>
      <c r="AG21" s="129"/>
      <c r="AH21" s="129"/>
      <c r="AI21" s="129"/>
      <c r="AJ21" s="129"/>
      <c r="AK21" s="129"/>
      <c r="AL21" s="129"/>
      <c r="AM21" s="129"/>
      <c r="AN21" s="129"/>
      <c r="AO21" s="129"/>
      <c r="AP21" s="129"/>
      <c r="AQ21" s="300"/>
      <c r="AR21" s="300"/>
      <c r="AS21" s="300"/>
      <c r="AT21" s="300"/>
      <c r="AU21" s="300"/>
      <c r="AV21" s="300"/>
      <c r="AW21" s="300"/>
    </row>
    <row r="22" spans="1:49" x14ac:dyDescent="0.2">
      <c r="A22" s="286" t="s">
        <v>612</v>
      </c>
      <c r="B22" s="303">
        <v>3467</v>
      </c>
      <c r="C22" s="303">
        <v>4261</v>
      </c>
      <c r="D22" s="303">
        <v>4192</v>
      </c>
      <c r="E22" s="303">
        <v>6087</v>
      </c>
      <c r="F22" s="303">
        <v>6933</v>
      </c>
      <c r="G22" s="303">
        <v>7428</v>
      </c>
      <c r="H22" s="303">
        <v>7491</v>
      </c>
      <c r="I22" s="303">
        <v>6779</v>
      </c>
      <c r="J22" s="304">
        <v>7142</v>
      </c>
      <c r="K22" s="304">
        <v>7825</v>
      </c>
      <c r="L22" s="304">
        <v>7986</v>
      </c>
      <c r="M22" s="304">
        <v>7036</v>
      </c>
      <c r="N22" s="304">
        <v>8260</v>
      </c>
      <c r="O22" s="304">
        <v>9404</v>
      </c>
      <c r="P22" s="304">
        <v>10135</v>
      </c>
      <c r="Q22" s="304">
        <v>11711</v>
      </c>
      <c r="R22" s="304">
        <v>14168</v>
      </c>
      <c r="S22" s="304">
        <v>16265</v>
      </c>
      <c r="T22" s="304">
        <v>17890</v>
      </c>
      <c r="U22" s="304">
        <v>18580</v>
      </c>
      <c r="V22" s="304">
        <v>19211</v>
      </c>
      <c r="W22" s="304">
        <v>19016</v>
      </c>
      <c r="X22" s="304">
        <v>17967</v>
      </c>
      <c r="Y22" s="304">
        <v>15487</v>
      </c>
      <c r="Z22" s="304">
        <v>17311</v>
      </c>
      <c r="AA22" s="303">
        <v>18699</v>
      </c>
      <c r="AB22" s="303">
        <v>19773</v>
      </c>
      <c r="AC22" s="303">
        <v>21273</v>
      </c>
      <c r="AD22" s="303">
        <v>23195</v>
      </c>
      <c r="AE22" s="303"/>
      <c r="AF22" s="303"/>
      <c r="AG22" s="303"/>
      <c r="AH22" s="304"/>
      <c r="AI22" s="304"/>
      <c r="AJ22" s="304"/>
      <c r="AK22" s="304"/>
      <c r="AL22" s="304"/>
      <c r="AM22" s="304"/>
      <c r="AN22" s="304"/>
      <c r="AO22" s="304"/>
      <c r="AP22" s="304"/>
      <c r="AQ22" s="304"/>
      <c r="AR22" s="304"/>
      <c r="AS22" s="304"/>
      <c r="AT22" s="304"/>
      <c r="AU22" s="304"/>
      <c r="AV22" s="304"/>
      <c r="AW22" s="304"/>
    </row>
    <row r="23" spans="1:49" s="433" customFormat="1" x14ac:dyDescent="0.2">
      <c r="A23" s="436" t="s">
        <v>16</v>
      </c>
      <c r="B23" s="437">
        <v>0</v>
      </c>
      <c r="C23" s="437">
        <v>0</v>
      </c>
      <c r="D23" s="437">
        <v>0</v>
      </c>
      <c r="E23" s="437">
        <v>0</v>
      </c>
      <c r="F23" s="437">
        <v>0</v>
      </c>
      <c r="G23" s="437">
        <v>0</v>
      </c>
      <c r="H23" s="437">
        <v>0</v>
      </c>
      <c r="I23" s="437">
        <v>0</v>
      </c>
      <c r="J23" s="437">
        <v>0</v>
      </c>
      <c r="K23" s="437">
        <v>0</v>
      </c>
      <c r="L23" s="437">
        <v>0</v>
      </c>
      <c r="M23" s="437">
        <v>0</v>
      </c>
      <c r="N23" s="437">
        <v>0</v>
      </c>
      <c r="O23" s="437">
        <v>0</v>
      </c>
      <c r="P23" s="437">
        <v>0</v>
      </c>
      <c r="Q23" s="437">
        <v>0</v>
      </c>
      <c r="R23" s="437">
        <v>0</v>
      </c>
      <c r="S23" s="437">
        <v>0</v>
      </c>
      <c r="T23" s="437">
        <v>0</v>
      </c>
      <c r="U23" s="437">
        <v>0</v>
      </c>
      <c r="V23" s="437">
        <v>0</v>
      </c>
      <c r="W23" s="437">
        <v>0</v>
      </c>
      <c r="X23" s="437">
        <v>0</v>
      </c>
      <c r="Y23" s="437">
        <v>0</v>
      </c>
      <c r="Z23" s="437">
        <v>0</v>
      </c>
      <c r="AA23" s="437">
        <v>0</v>
      </c>
      <c r="AB23" s="437">
        <v>0</v>
      </c>
      <c r="AC23" s="437">
        <v>0</v>
      </c>
      <c r="AD23" s="437">
        <v>0</v>
      </c>
      <c r="AE23" s="437">
        <v>0</v>
      </c>
      <c r="AF23" s="437">
        <v>0</v>
      </c>
      <c r="AG23" s="437">
        <v>0</v>
      </c>
      <c r="AH23" s="437">
        <v>0</v>
      </c>
      <c r="AI23" s="437">
        <v>0</v>
      </c>
      <c r="AJ23" s="437">
        <v>0</v>
      </c>
      <c r="AK23" s="437">
        <v>0</v>
      </c>
      <c r="AL23" s="437">
        <v>0</v>
      </c>
      <c r="AM23" s="437">
        <v>0</v>
      </c>
      <c r="AN23" s="437">
        <v>0</v>
      </c>
      <c r="AO23" s="437">
        <v>0</v>
      </c>
      <c r="AP23" s="437">
        <v>0</v>
      </c>
      <c r="AQ23" s="437">
        <v>0</v>
      </c>
      <c r="AR23" s="437">
        <v>0</v>
      </c>
      <c r="AS23" s="437">
        <v>0</v>
      </c>
      <c r="AT23" s="437">
        <v>0</v>
      </c>
      <c r="AU23" s="437">
        <v>0</v>
      </c>
      <c r="AV23" s="437">
        <v>0</v>
      </c>
      <c r="AW23" s="437">
        <v>0</v>
      </c>
    </row>
    <row r="24" spans="1:49" x14ac:dyDescent="0.2">
      <c r="A24" s="99"/>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row>
    <row r="25" spans="1:49" x14ac:dyDescent="0.2">
      <c r="A25" s="239"/>
      <c r="B25" s="174">
        <v>42095</v>
      </c>
      <c r="C25" s="174">
        <v>42125</v>
      </c>
      <c r="D25" s="174">
        <v>42156</v>
      </c>
      <c r="E25" s="174">
        <v>42186</v>
      </c>
      <c r="F25" s="174">
        <v>42217</v>
      </c>
      <c r="G25" s="174">
        <v>42248</v>
      </c>
      <c r="H25" s="174">
        <v>42278</v>
      </c>
      <c r="I25" s="175">
        <v>42309</v>
      </c>
      <c r="J25" s="175">
        <v>42339</v>
      </c>
      <c r="K25" s="175">
        <v>42370</v>
      </c>
      <c r="L25" s="175">
        <v>42401</v>
      </c>
      <c r="M25" s="175">
        <v>42430</v>
      </c>
      <c r="N25" s="175">
        <v>42461</v>
      </c>
      <c r="O25" s="175">
        <v>42491</v>
      </c>
      <c r="P25" s="175">
        <v>42522</v>
      </c>
      <c r="Q25" s="175">
        <v>42552</v>
      </c>
      <c r="R25" s="167">
        <v>42583</v>
      </c>
      <c r="S25" s="175">
        <v>42614</v>
      </c>
      <c r="T25" s="175">
        <v>42644</v>
      </c>
      <c r="U25" s="175">
        <v>42675</v>
      </c>
      <c r="V25" s="175">
        <v>42705</v>
      </c>
      <c r="W25" s="175">
        <v>42736</v>
      </c>
      <c r="X25" s="175">
        <v>42767</v>
      </c>
      <c r="Y25" s="167">
        <v>42795</v>
      </c>
      <c r="Z25" s="175">
        <v>42826</v>
      </c>
      <c r="AA25" s="167">
        <v>42856</v>
      </c>
      <c r="AB25" s="549">
        <v>42887</v>
      </c>
      <c r="AC25" s="549">
        <v>42917</v>
      </c>
      <c r="AD25" s="174">
        <v>42948</v>
      </c>
      <c r="AE25" s="174"/>
      <c r="AF25" s="174"/>
      <c r="AG25" s="175"/>
      <c r="AH25" s="175"/>
      <c r="AI25" s="175"/>
      <c r="AJ25" s="175"/>
      <c r="AK25" s="175"/>
      <c r="AL25" s="175"/>
      <c r="AM25" s="175"/>
      <c r="AN25" s="175"/>
      <c r="AO25" s="175"/>
      <c r="AP25" s="167"/>
      <c r="AQ25" s="175"/>
      <c r="AR25" s="175"/>
      <c r="AS25" s="175"/>
      <c r="AT25" s="175"/>
      <c r="AU25" s="175"/>
      <c r="AV25" s="175"/>
      <c r="AW25" s="167"/>
    </row>
    <row r="26" spans="1:49" x14ac:dyDescent="0.2">
      <c r="A26" s="239" t="s">
        <v>427</v>
      </c>
      <c r="B26" s="129">
        <v>46547</v>
      </c>
      <c r="C26" s="129">
        <v>48672</v>
      </c>
      <c r="D26" s="129">
        <v>50243</v>
      </c>
      <c r="E26" s="129">
        <v>53046</v>
      </c>
      <c r="F26" s="129">
        <v>52040</v>
      </c>
      <c r="G26" s="129">
        <v>50788</v>
      </c>
      <c r="H26" s="129">
        <v>50850</v>
      </c>
      <c r="I26" s="284">
        <v>48845</v>
      </c>
      <c r="J26" s="284">
        <v>47999</v>
      </c>
      <c r="K26" s="284">
        <v>47199</v>
      </c>
      <c r="L26" s="284">
        <v>48434</v>
      </c>
      <c r="M26" s="284">
        <v>48681</v>
      </c>
      <c r="N26" s="284">
        <v>51574</v>
      </c>
      <c r="O26" s="284">
        <v>52886</v>
      </c>
      <c r="P26" s="284">
        <v>54777</v>
      </c>
      <c r="Q26" s="284">
        <v>57280</v>
      </c>
      <c r="R26" s="284">
        <v>58481</v>
      </c>
      <c r="S26" s="284">
        <v>59696</v>
      </c>
      <c r="T26" s="284">
        <v>60854</v>
      </c>
      <c r="U26" s="284">
        <v>60339</v>
      </c>
      <c r="V26" s="284">
        <v>59377</v>
      </c>
      <c r="W26" s="284">
        <v>57907</v>
      </c>
      <c r="X26" s="284">
        <v>56911</v>
      </c>
      <c r="Y26" s="284">
        <v>56796</v>
      </c>
      <c r="Z26" s="284">
        <v>59076</v>
      </c>
      <c r="AA26" s="129">
        <v>60675</v>
      </c>
      <c r="AB26" s="129">
        <v>62726</v>
      </c>
      <c r="AC26" s="129">
        <v>64826</v>
      </c>
      <c r="AD26" s="129">
        <v>65362</v>
      </c>
      <c r="AE26" s="129"/>
      <c r="AF26" s="129"/>
      <c r="AG26" s="284"/>
      <c r="AH26" s="284"/>
      <c r="AI26" s="284"/>
      <c r="AJ26" s="284"/>
      <c r="AK26" s="284"/>
      <c r="AL26" s="284"/>
      <c r="AM26" s="284"/>
      <c r="AN26" s="284"/>
      <c r="AO26" s="284"/>
      <c r="AP26" s="284"/>
      <c r="AQ26" s="284"/>
      <c r="AR26" s="284"/>
      <c r="AS26" s="284"/>
      <c r="AT26" s="284"/>
      <c r="AU26" s="284"/>
      <c r="AV26" s="284"/>
      <c r="AW26" s="284"/>
    </row>
    <row r="27" spans="1:49" x14ac:dyDescent="0.2">
      <c r="A27" s="239" t="s">
        <v>415</v>
      </c>
      <c r="B27" s="129">
        <v>45843</v>
      </c>
      <c r="C27" s="129">
        <v>47951</v>
      </c>
      <c r="D27" s="129">
        <v>49004</v>
      </c>
      <c r="E27" s="129">
        <v>51930</v>
      </c>
      <c r="F27" s="129">
        <v>50867</v>
      </c>
      <c r="G27" s="129">
        <v>49746</v>
      </c>
      <c r="H27" s="129">
        <v>50011</v>
      </c>
      <c r="I27" s="284">
        <v>47890</v>
      </c>
      <c r="J27" s="284">
        <v>46516</v>
      </c>
      <c r="K27" s="284">
        <v>46319</v>
      </c>
      <c r="L27" s="284">
        <v>47485</v>
      </c>
      <c r="M27" s="284">
        <v>47874</v>
      </c>
      <c r="N27" s="284">
        <v>50912</v>
      </c>
      <c r="O27" s="284">
        <v>51652</v>
      </c>
      <c r="P27" s="284">
        <v>53490</v>
      </c>
      <c r="Q27" s="284">
        <v>56083</v>
      </c>
      <c r="R27" s="284">
        <v>57414</v>
      </c>
      <c r="S27" s="284">
        <v>58721</v>
      </c>
      <c r="T27" s="284">
        <v>59783</v>
      </c>
      <c r="U27" s="284">
        <v>59268</v>
      </c>
      <c r="V27" s="284">
        <v>58154</v>
      </c>
      <c r="W27" s="284">
        <v>56692</v>
      </c>
      <c r="X27" s="284">
        <v>55608</v>
      </c>
      <c r="Y27" s="284">
        <v>55634</v>
      </c>
      <c r="Z27" s="284">
        <v>58384</v>
      </c>
      <c r="AA27" s="129">
        <v>59781</v>
      </c>
      <c r="AB27" s="129">
        <v>61634</v>
      </c>
      <c r="AC27" s="129">
        <v>63520</v>
      </c>
      <c r="AD27" s="129">
        <v>64134</v>
      </c>
      <c r="AE27" s="129"/>
      <c r="AF27" s="129"/>
      <c r="AG27" s="284"/>
      <c r="AH27" s="284"/>
      <c r="AI27" s="284"/>
      <c r="AJ27" s="284"/>
      <c r="AK27" s="284"/>
      <c r="AL27" s="284"/>
      <c r="AM27" s="284"/>
      <c r="AN27" s="284"/>
      <c r="AO27" s="284"/>
      <c r="AP27" s="284"/>
      <c r="AQ27" s="284"/>
      <c r="AR27" s="284"/>
      <c r="AS27" s="284"/>
      <c r="AT27" s="284"/>
      <c r="AU27" s="284"/>
      <c r="AV27" s="284"/>
      <c r="AW27" s="284"/>
    </row>
    <row r="28" spans="1:49" x14ac:dyDescent="0.2">
      <c r="A28" s="239" t="s">
        <v>416</v>
      </c>
      <c r="B28" s="236">
        <v>704</v>
      </c>
      <c r="C28" s="236">
        <v>721</v>
      </c>
      <c r="D28" s="129">
        <v>1239</v>
      </c>
      <c r="E28" s="129">
        <v>1116</v>
      </c>
      <c r="F28" s="129">
        <v>1173</v>
      </c>
      <c r="G28" s="129">
        <v>1042</v>
      </c>
      <c r="H28" s="236">
        <v>839</v>
      </c>
      <c r="I28" s="237">
        <v>955</v>
      </c>
      <c r="J28" s="284">
        <v>1483</v>
      </c>
      <c r="K28" s="237">
        <v>880</v>
      </c>
      <c r="L28" s="237">
        <v>949</v>
      </c>
      <c r="M28" s="237">
        <v>807</v>
      </c>
      <c r="N28" s="237">
        <v>662</v>
      </c>
      <c r="O28" s="284">
        <v>1234</v>
      </c>
      <c r="P28" s="284">
        <v>1287</v>
      </c>
      <c r="Q28" s="284">
        <v>1197</v>
      </c>
      <c r="R28" s="284">
        <v>1067</v>
      </c>
      <c r="S28" s="284">
        <v>975</v>
      </c>
      <c r="T28" s="284">
        <v>1071</v>
      </c>
      <c r="U28" s="284">
        <v>1071</v>
      </c>
      <c r="V28" s="284">
        <v>1223</v>
      </c>
      <c r="W28" s="284">
        <v>1215</v>
      </c>
      <c r="X28" s="284">
        <v>1303</v>
      </c>
      <c r="Y28" s="284">
        <v>1162</v>
      </c>
      <c r="Z28" s="284">
        <v>692</v>
      </c>
      <c r="AA28" s="236">
        <v>894</v>
      </c>
      <c r="AB28" s="129">
        <v>1092</v>
      </c>
      <c r="AC28" s="129">
        <v>1306</v>
      </c>
      <c r="AD28" s="129">
        <v>1228</v>
      </c>
      <c r="AE28" s="129"/>
      <c r="AF28" s="236"/>
      <c r="AG28" s="237"/>
      <c r="AH28" s="284"/>
      <c r="AI28" s="237"/>
      <c r="AJ28" s="237"/>
      <c r="AK28" s="237"/>
      <c r="AL28" s="237"/>
      <c r="AM28" s="284"/>
      <c r="AN28" s="284"/>
      <c r="AO28" s="284"/>
      <c r="AP28" s="284"/>
      <c r="AQ28" s="284"/>
      <c r="AR28" s="284"/>
      <c r="AS28" s="284"/>
      <c r="AT28" s="284"/>
      <c r="AU28" s="284"/>
      <c r="AV28" s="284"/>
      <c r="AW28" s="284"/>
    </row>
    <row r="29" spans="1:49" x14ac:dyDescent="0.2">
      <c r="A29" s="239" t="s">
        <v>428</v>
      </c>
      <c r="B29" s="246">
        <v>1.512449781940834E-2</v>
      </c>
      <c r="C29" s="246">
        <v>1.4813445101906641E-2</v>
      </c>
      <c r="D29" s="246">
        <v>2.4660151662918219E-2</v>
      </c>
      <c r="E29" s="246">
        <v>2.1038344078724125E-2</v>
      </c>
      <c r="F29" s="246">
        <v>2.2540353574173711E-2</v>
      </c>
      <c r="G29" s="246">
        <v>2.0516657478144445E-2</v>
      </c>
      <c r="H29" s="246">
        <v>1.6499508357915436E-2</v>
      </c>
      <c r="I29" s="246">
        <v>1.9551642952195723E-2</v>
      </c>
      <c r="J29" s="246">
        <v>3.0896477009937705E-2</v>
      </c>
      <c r="K29" s="246">
        <v>1.864446280641539E-2</v>
      </c>
      <c r="L29" s="246">
        <v>1.9593673865466409E-2</v>
      </c>
      <c r="M29" s="246">
        <v>1.6577309422567327E-2</v>
      </c>
      <c r="N29" s="246">
        <v>1.2835925078527941E-2</v>
      </c>
      <c r="O29" s="246">
        <v>2.3333207276027682E-2</v>
      </c>
      <c r="P29" s="246">
        <v>2.3495262610219617E-2</v>
      </c>
      <c r="Q29" s="246">
        <v>2.0897346368715083E-2</v>
      </c>
      <c r="R29" s="246">
        <v>1.8245242044424684E-2</v>
      </c>
      <c r="S29" s="246">
        <v>1.6332752613240419E-2</v>
      </c>
      <c r="T29" s="246">
        <v>1.7599500443684885E-2</v>
      </c>
      <c r="U29" s="246">
        <v>1.7749714115248845E-2</v>
      </c>
      <c r="V29" s="246">
        <v>2.0597200936389511E-2</v>
      </c>
      <c r="W29" s="246">
        <v>2.0981919284369765E-2</v>
      </c>
      <c r="X29" s="246">
        <v>2.2895398077700267E-2</v>
      </c>
      <c r="Y29" s="246">
        <v>2.0459187266708923E-2</v>
      </c>
      <c r="Z29" s="246">
        <v>1.1713724693615004E-2</v>
      </c>
      <c r="AA29" s="246">
        <v>1.4734239802224968E-2</v>
      </c>
      <c r="AB29" s="246">
        <v>1.7409048879252622E-2</v>
      </c>
      <c r="AC29" s="246">
        <v>2.014623762070774E-2</v>
      </c>
      <c r="AD29" s="246">
        <v>1.8787674795752884E-2</v>
      </c>
      <c r="AE29" s="246"/>
      <c r="AF29" s="246"/>
      <c r="AG29" s="246"/>
      <c r="AH29" s="246"/>
      <c r="AI29" s="246"/>
      <c r="AJ29" s="246"/>
      <c r="AK29" s="246"/>
      <c r="AL29" s="246"/>
      <c r="AM29" s="246"/>
      <c r="AN29" s="246"/>
      <c r="AO29" s="246"/>
      <c r="AP29" s="246"/>
      <c r="AQ29" s="246"/>
      <c r="AR29" s="246"/>
      <c r="AS29" s="246"/>
      <c r="AT29" s="246"/>
      <c r="AU29" s="246"/>
      <c r="AV29" s="246"/>
      <c r="AW29" s="246"/>
    </row>
    <row r="30" spans="1:49" x14ac:dyDescent="0.2">
      <c r="A30" s="155"/>
      <c r="B30" s="155"/>
      <c r="C30" s="15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row>
    <row r="31" spans="1:49" x14ac:dyDescent="0.2">
      <c r="A31" s="203"/>
      <c r="B31" s="174">
        <v>42095</v>
      </c>
      <c r="C31" s="174">
        <v>42125</v>
      </c>
      <c r="D31" s="174">
        <v>42156</v>
      </c>
      <c r="E31" s="174">
        <v>42186</v>
      </c>
      <c r="F31" s="174">
        <v>42217</v>
      </c>
      <c r="G31" s="174">
        <v>42248</v>
      </c>
      <c r="H31" s="174">
        <v>42278</v>
      </c>
      <c r="I31" s="174">
        <v>42309</v>
      </c>
      <c r="J31" s="174">
        <v>42339</v>
      </c>
      <c r="K31" s="174">
        <v>42370</v>
      </c>
      <c r="L31" s="174">
        <v>42401</v>
      </c>
      <c r="M31" s="174">
        <v>42430</v>
      </c>
      <c r="N31" s="174">
        <v>42461</v>
      </c>
      <c r="O31" s="174">
        <v>42491</v>
      </c>
      <c r="P31" s="174">
        <v>42522</v>
      </c>
      <c r="Q31" s="174">
        <v>42552</v>
      </c>
      <c r="R31" s="174">
        <v>42583</v>
      </c>
      <c r="S31" s="174">
        <v>42614</v>
      </c>
      <c r="T31" s="174">
        <v>42644</v>
      </c>
      <c r="U31" s="175">
        <v>42675</v>
      </c>
      <c r="V31" s="174">
        <v>42705</v>
      </c>
      <c r="W31" s="175">
        <v>42736</v>
      </c>
      <c r="X31" s="174">
        <v>42767</v>
      </c>
      <c r="Y31" s="167">
        <v>42795</v>
      </c>
      <c r="Z31" s="174">
        <v>42826</v>
      </c>
      <c r="AA31" s="167">
        <v>42856</v>
      </c>
      <c r="AB31" s="549">
        <v>42887</v>
      </c>
      <c r="AC31" s="549">
        <v>42917</v>
      </c>
      <c r="AD31" s="174">
        <v>42948</v>
      </c>
      <c r="AE31" s="174"/>
      <c r="AF31" s="174"/>
      <c r="AG31" s="174"/>
      <c r="AH31" s="174"/>
      <c r="AI31" s="174"/>
      <c r="AJ31" s="174"/>
      <c r="AK31" s="174"/>
      <c r="AL31" s="174"/>
      <c r="AM31" s="174"/>
      <c r="AN31" s="174"/>
      <c r="AO31" s="174"/>
      <c r="AP31" s="174"/>
      <c r="AQ31" s="174"/>
      <c r="AR31" s="174"/>
      <c r="AS31" s="175"/>
      <c r="AT31" s="174"/>
      <c r="AU31" s="175"/>
      <c r="AV31" s="174"/>
      <c r="AW31" s="167"/>
    </row>
    <row r="32" spans="1:49" ht="25.5" x14ac:dyDescent="0.2">
      <c r="A32" s="509" t="s">
        <v>523</v>
      </c>
      <c r="B32" s="126">
        <v>0.92551614497174894</v>
      </c>
      <c r="C32" s="126">
        <v>0.91245479947403019</v>
      </c>
      <c r="D32" s="126">
        <v>0.91656549171028801</v>
      </c>
      <c r="E32" s="126">
        <v>0.88525053726953962</v>
      </c>
      <c r="F32" s="126">
        <v>0.8667755572636433</v>
      </c>
      <c r="G32" s="126">
        <v>0.85374497912892811</v>
      </c>
      <c r="H32" s="126">
        <v>0.85268436578171092</v>
      </c>
      <c r="I32" s="126">
        <v>0.86121404442624627</v>
      </c>
      <c r="J32" s="126">
        <v>0.85120523344236343</v>
      </c>
      <c r="K32" s="126">
        <v>0.83421258924977226</v>
      </c>
      <c r="L32" s="126">
        <v>0.83511582772432591</v>
      </c>
      <c r="M32" s="126">
        <v>0.855467225406216</v>
      </c>
      <c r="N32" s="126">
        <v>0.83984178074223448</v>
      </c>
      <c r="O32" s="126">
        <v>0.82218356464848918</v>
      </c>
      <c r="P32" s="126">
        <v>0.81497708892418352</v>
      </c>
      <c r="Q32" s="126">
        <v>0.79554818435754193</v>
      </c>
      <c r="R32" s="126">
        <v>0.75773328089464953</v>
      </c>
      <c r="S32" s="126">
        <v>0.72753618332886627</v>
      </c>
      <c r="T32" s="126">
        <v>0.70601768166431134</v>
      </c>
      <c r="U32" s="126">
        <v>0.69207312020417966</v>
      </c>
      <c r="V32" s="126">
        <v>0.67645721407278914</v>
      </c>
      <c r="W32" s="126">
        <v>0.67161137686290084</v>
      </c>
      <c r="X32" s="126">
        <v>0.68429653318339168</v>
      </c>
      <c r="Y32" s="126">
        <v>0.72732234664412987</v>
      </c>
      <c r="Z32" s="126">
        <v>0.70697068183357037</v>
      </c>
      <c r="AA32" s="126">
        <v>0.69181705809641536</v>
      </c>
      <c r="AB32" s="126">
        <v>0.68477186493639008</v>
      </c>
      <c r="AC32" s="126">
        <v>0.67184463024095264</v>
      </c>
      <c r="AD32" s="126">
        <v>0.64513019797435822</v>
      </c>
      <c r="AE32" s="126"/>
      <c r="AF32" s="126"/>
      <c r="AG32" s="126"/>
      <c r="AH32" s="126"/>
      <c r="AI32" s="126"/>
      <c r="AJ32" s="126"/>
      <c r="AK32" s="126"/>
      <c r="AL32" s="126"/>
      <c r="AM32" s="126"/>
      <c r="AN32" s="126"/>
      <c r="AO32" s="126"/>
      <c r="AP32" s="126"/>
      <c r="AQ32" s="126"/>
      <c r="AR32" s="126"/>
      <c r="AS32" s="126"/>
      <c r="AT32" s="126"/>
      <c r="AU32" s="126"/>
      <c r="AV32" s="126"/>
      <c r="AW32" s="126"/>
    </row>
    <row r="33" spans="1:49" x14ac:dyDescent="0.2">
      <c r="A33" s="203" t="s">
        <v>15</v>
      </c>
      <c r="B33" s="130">
        <v>0.95</v>
      </c>
      <c r="C33" s="130">
        <v>0.95</v>
      </c>
      <c r="D33" s="130">
        <v>0.95</v>
      </c>
      <c r="E33" s="130">
        <v>0.95</v>
      </c>
      <c r="F33" s="130">
        <v>0.95</v>
      </c>
      <c r="G33" s="130">
        <v>0.95</v>
      </c>
      <c r="H33" s="130">
        <v>0.95</v>
      </c>
      <c r="I33" s="130">
        <v>0.95</v>
      </c>
      <c r="J33" s="130">
        <v>0.95</v>
      </c>
      <c r="K33" s="130">
        <v>0.95</v>
      </c>
      <c r="L33" s="130">
        <v>0.95</v>
      </c>
      <c r="M33" s="130">
        <v>0.95</v>
      </c>
      <c r="N33" s="130">
        <v>0.95</v>
      </c>
      <c r="O33" s="130">
        <v>0.95</v>
      </c>
      <c r="P33" s="130">
        <v>0.95</v>
      </c>
      <c r="Q33" s="130">
        <v>0.95</v>
      </c>
      <c r="R33" s="130">
        <v>0.95</v>
      </c>
      <c r="S33" s="130">
        <v>0.95</v>
      </c>
      <c r="T33" s="130">
        <v>0.95</v>
      </c>
      <c r="U33" s="130">
        <v>0.95</v>
      </c>
      <c r="V33" s="130">
        <v>0.95</v>
      </c>
      <c r="W33" s="130">
        <v>0.95</v>
      </c>
      <c r="X33" s="130">
        <v>0.95</v>
      </c>
      <c r="Y33" s="130">
        <v>0.95</v>
      </c>
      <c r="Z33" s="130">
        <v>0.95</v>
      </c>
      <c r="AA33" s="130">
        <v>0.95</v>
      </c>
      <c r="AB33" s="130">
        <v>0.95</v>
      </c>
      <c r="AC33" s="130">
        <v>0.95</v>
      </c>
      <c r="AD33" s="130">
        <v>0.95</v>
      </c>
      <c r="AE33" s="130">
        <v>0.95</v>
      </c>
      <c r="AF33" s="130">
        <v>0.95</v>
      </c>
      <c r="AG33" s="130">
        <v>0.95</v>
      </c>
      <c r="AH33" s="130">
        <v>0.95</v>
      </c>
      <c r="AI33" s="130">
        <v>0.95</v>
      </c>
      <c r="AJ33" s="130">
        <v>0.95</v>
      </c>
      <c r="AK33" s="130">
        <v>0.95</v>
      </c>
      <c r="AL33" s="130">
        <v>0.95</v>
      </c>
      <c r="AM33" s="130">
        <v>0.95</v>
      </c>
      <c r="AN33" s="130">
        <v>0.95</v>
      </c>
      <c r="AO33" s="130">
        <v>0.95</v>
      </c>
      <c r="AP33" s="130">
        <v>0.95</v>
      </c>
      <c r="AQ33" s="130">
        <v>0.95</v>
      </c>
      <c r="AR33" s="130">
        <v>0.95</v>
      </c>
      <c r="AS33" s="130">
        <v>0.95</v>
      </c>
      <c r="AT33" s="130">
        <v>0.95</v>
      </c>
      <c r="AU33" s="130">
        <v>0.95</v>
      </c>
      <c r="AV33" s="130">
        <v>0.95</v>
      </c>
      <c r="AW33" s="130">
        <v>0.95</v>
      </c>
    </row>
    <row r="35" spans="1:49" x14ac:dyDescent="0.2">
      <c r="A35" s="588" t="s">
        <v>617</v>
      </c>
      <c r="B35" s="165"/>
      <c r="C35" s="165"/>
      <c r="D35" s="165"/>
      <c r="E35" s="165"/>
      <c r="F35" s="165"/>
      <c r="G35" s="165"/>
      <c r="H35" s="165"/>
      <c r="I35" s="165"/>
      <c r="J35" s="165"/>
      <c r="K35" s="165"/>
      <c r="L35" s="165"/>
      <c r="M35" s="586" t="s">
        <v>618</v>
      </c>
      <c r="N35" s="165"/>
      <c r="O35" s="165"/>
      <c r="P35" s="165"/>
      <c r="Q35" s="165"/>
    </row>
    <row r="60" spans="1:1" x14ac:dyDescent="0.2">
      <c r="A60" s="137" t="s">
        <v>615</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70C0"/>
  </sheetPr>
  <dimension ref="A1:X37"/>
  <sheetViews>
    <sheetView workbookViewId="0"/>
  </sheetViews>
  <sheetFormatPr defaultColWidth="9.140625" defaultRowHeight="12.75" x14ac:dyDescent="0.2"/>
  <cols>
    <col min="1" max="1" width="29.7109375" style="117" customWidth="1"/>
    <col min="2" max="2" width="9.85546875" style="117" bestFit="1" customWidth="1"/>
    <col min="3" max="16384" width="9.140625" style="117"/>
  </cols>
  <sheetData>
    <row r="1" spans="1:17" x14ac:dyDescent="0.2">
      <c r="A1" s="116" t="s">
        <v>360</v>
      </c>
    </row>
    <row r="2" spans="1:17" x14ac:dyDescent="0.2">
      <c r="A2" s="116"/>
      <c r="B2" s="451"/>
    </row>
    <row r="3" spans="1:17" x14ac:dyDescent="0.2">
      <c r="A3" s="137" t="s">
        <v>239</v>
      </c>
      <c r="B3" s="357" t="str">
        <f>IF(HLOOKUP(MAX(B8:Q8),A8:Q10,3,0)&gt;HLOOKUP(MAX(B8:Q8),A8:Q10,2,0),"Better", "Worse")</f>
        <v>Worse</v>
      </c>
      <c r="C3" s="476" t="b">
        <f>IF(HLOOKUP(MAX(B8:Q8),A8:Q10,3,0)=HLOOKUP(MAX(B8:Q8),A8:Q10,2,0),"Equal")</f>
        <v>0</v>
      </c>
    </row>
    <row r="4" spans="1:17" x14ac:dyDescent="0.2">
      <c r="A4" s="137" t="s">
        <v>240</v>
      </c>
      <c r="B4" s="357" t="str">
        <f>IF(HLOOKUP(MAX(B13:Q13),A13:Q16,4,0)&lt;HLOOKUP(MAX(B13:Q13),A13:Q16,3,0),"Better", "Worse")</f>
        <v>Worse</v>
      </c>
      <c r="C4" s="476"/>
    </row>
    <row r="5" spans="1:17" x14ac:dyDescent="0.2">
      <c r="A5" s="137" t="s">
        <v>148</v>
      </c>
      <c r="B5" s="477">
        <f>MAX(B8:Q8)</f>
        <v>42887</v>
      </c>
      <c r="C5" s="199"/>
    </row>
    <row r="6" spans="1:17" x14ac:dyDescent="0.2">
      <c r="A6" s="137" t="s">
        <v>215</v>
      </c>
      <c r="B6" s="138" t="s">
        <v>233</v>
      </c>
    </row>
    <row r="7" spans="1:17" x14ac:dyDescent="0.2">
      <c r="A7" s="137"/>
      <c r="B7" s="138"/>
    </row>
    <row r="8" spans="1:17" x14ac:dyDescent="0.2">
      <c r="A8" s="474"/>
      <c r="B8" s="147">
        <v>42156</v>
      </c>
      <c r="C8" s="147">
        <v>42248</v>
      </c>
      <c r="D8" s="147">
        <v>42339</v>
      </c>
      <c r="E8" s="147">
        <v>42430</v>
      </c>
      <c r="F8" s="147">
        <v>42522</v>
      </c>
      <c r="G8" s="147">
        <v>42614</v>
      </c>
      <c r="H8" s="147">
        <v>42705</v>
      </c>
      <c r="I8" s="147">
        <v>42795</v>
      </c>
      <c r="J8" s="147">
        <v>42887</v>
      </c>
      <c r="K8" s="659"/>
      <c r="L8" s="659"/>
      <c r="M8" s="659"/>
      <c r="N8" s="659"/>
      <c r="O8" s="659"/>
      <c r="P8" s="659"/>
      <c r="Q8" s="659"/>
    </row>
    <row r="9" spans="1:17" x14ac:dyDescent="0.2">
      <c r="A9" s="168" t="s">
        <v>386</v>
      </c>
      <c r="B9" s="169">
        <v>0.89800000000000002</v>
      </c>
      <c r="C9" s="169">
        <v>0.86099999999999999</v>
      </c>
      <c r="D9" s="169">
        <v>0.876</v>
      </c>
      <c r="E9" s="170">
        <v>0.88900000000000001</v>
      </c>
      <c r="F9" s="165">
        <v>0.85699999999999998</v>
      </c>
      <c r="G9" s="169">
        <v>0.79300000000000004</v>
      </c>
      <c r="H9" s="169">
        <v>0.75700000000000001</v>
      </c>
      <c r="I9" s="169">
        <v>0.80700000000000005</v>
      </c>
      <c r="J9" s="169">
        <v>0.74</v>
      </c>
      <c r="K9" s="169"/>
      <c r="L9" s="169"/>
      <c r="M9" s="170"/>
      <c r="N9" s="165"/>
      <c r="O9" s="169"/>
      <c r="P9" s="169"/>
      <c r="Q9" s="169"/>
    </row>
    <row r="10" spans="1:17" x14ac:dyDescent="0.2">
      <c r="A10" s="168" t="s">
        <v>387</v>
      </c>
      <c r="B10" s="169">
        <v>0.91100000000000003</v>
      </c>
      <c r="C10" s="169">
        <v>0.84899999999999998</v>
      </c>
      <c r="D10" s="169">
        <v>0.85</v>
      </c>
      <c r="E10" s="169">
        <v>0.85199999999999998</v>
      </c>
      <c r="F10" s="169">
        <v>0.81699999999999995</v>
      </c>
      <c r="G10" s="169">
        <v>0.72699999999999998</v>
      </c>
      <c r="H10" s="169">
        <v>0.67700000000000005</v>
      </c>
      <c r="I10" s="169">
        <v>0.72699999999999998</v>
      </c>
      <c r="J10" s="169">
        <v>0.68500000000000005</v>
      </c>
      <c r="K10" s="169"/>
      <c r="L10" s="169"/>
      <c r="M10" s="169"/>
      <c r="N10" s="169"/>
      <c r="O10" s="169"/>
      <c r="P10" s="169"/>
      <c r="Q10" s="169"/>
    </row>
    <row r="11" spans="1:17" x14ac:dyDescent="0.2">
      <c r="A11" s="469" t="s">
        <v>15</v>
      </c>
      <c r="B11" s="170">
        <v>0.95</v>
      </c>
      <c r="C11" s="170">
        <v>0.95</v>
      </c>
      <c r="D11" s="170">
        <v>0.95</v>
      </c>
      <c r="E11" s="170">
        <v>0.95</v>
      </c>
      <c r="F11" s="170">
        <v>0.95</v>
      </c>
      <c r="G11" s="170">
        <v>0.95</v>
      </c>
      <c r="H11" s="170">
        <v>0.95</v>
      </c>
      <c r="I11" s="170">
        <v>0.95</v>
      </c>
      <c r="J11" s="470">
        <v>0.95</v>
      </c>
      <c r="K11" s="470">
        <v>0.95</v>
      </c>
      <c r="L11" s="470">
        <v>0.95</v>
      </c>
      <c r="M11" s="470">
        <v>0.95</v>
      </c>
      <c r="N11" s="470">
        <v>0.95</v>
      </c>
      <c r="O11" s="470">
        <v>0.95</v>
      </c>
      <c r="P11" s="470">
        <v>0.95</v>
      </c>
      <c r="Q11" s="470">
        <v>0.95</v>
      </c>
    </row>
    <row r="12" spans="1:17" x14ac:dyDescent="0.2">
      <c r="A12" s="99"/>
      <c r="B12" s="472"/>
      <c r="C12" s="472"/>
      <c r="D12" s="472"/>
      <c r="E12" s="472"/>
      <c r="F12" s="472"/>
      <c r="G12" s="472"/>
      <c r="H12" s="472"/>
      <c r="I12" s="472"/>
      <c r="J12" s="473"/>
      <c r="K12" s="473"/>
      <c r="L12" s="473"/>
      <c r="M12" s="473"/>
      <c r="N12" s="473"/>
      <c r="O12" s="473"/>
      <c r="P12" s="473"/>
      <c r="Q12" s="473"/>
    </row>
    <row r="13" spans="1:17" x14ac:dyDescent="0.2">
      <c r="A13" s="203"/>
      <c r="B13" s="147">
        <v>42156</v>
      </c>
      <c r="C13" s="147">
        <v>42248</v>
      </c>
      <c r="D13" s="147">
        <v>42339</v>
      </c>
      <c r="E13" s="147">
        <v>42430</v>
      </c>
      <c r="F13" s="147">
        <v>42522</v>
      </c>
      <c r="G13" s="147">
        <v>42614</v>
      </c>
      <c r="H13" s="147">
        <v>42705</v>
      </c>
      <c r="I13" s="147">
        <v>42795</v>
      </c>
      <c r="J13" s="660"/>
      <c r="K13" s="660"/>
      <c r="L13" s="660"/>
      <c r="M13" s="660"/>
      <c r="N13" s="660"/>
      <c r="O13" s="660"/>
      <c r="P13" s="660"/>
      <c r="Q13" s="660"/>
    </row>
    <row r="14" spans="1:17" x14ac:dyDescent="0.2">
      <c r="A14" s="144" t="s">
        <v>386</v>
      </c>
      <c r="B14" s="161">
        <v>28482</v>
      </c>
      <c r="C14" s="161">
        <v>39336</v>
      </c>
      <c r="D14" s="161">
        <v>33090</v>
      </c>
      <c r="E14" s="161">
        <v>29722</v>
      </c>
      <c r="F14" s="161">
        <v>42643</v>
      </c>
      <c r="G14" s="161">
        <v>64451</v>
      </c>
      <c r="H14" s="161">
        <v>73732</v>
      </c>
      <c r="I14" s="161">
        <v>59070</v>
      </c>
      <c r="J14" s="161">
        <v>93139</v>
      </c>
      <c r="K14" s="161"/>
      <c r="L14" s="161"/>
      <c r="M14" s="161"/>
      <c r="N14" s="161"/>
      <c r="O14" s="161"/>
      <c r="P14" s="161"/>
      <c r="Q14" s="161"/>
    </row>
    <row r="15" spans="1:17" x14ac:dyDescent="0.2">
      <c r="A15" s="144" t="s">
        <v>230</v>
      </c>
      <c r="B15" s="161">
        <f>(B14/100)*14.5</f>
        <v>4129.8900000000003</v>
      </c>
      <c r="C15" s="161">
        <f>(C14/100)*14.5</f>
        <v>5703.72</v>
      </c>
      <c r="D15" s="161">
        <f>(D14/100)*14.5</f>
        <v>4798.0499999999993</v>
      </c>
      <c r="E15" s="161">
        <f>(E14/100)*14.5</f>
        <v>4309.6900000000005</v>
      </c>
      <c r="F15" s="162">
        <f>(F14/100)*14.66</f>
        <v>6251.4638000000004</v>
      </c>
      <c r="G15" s="161">
        <f>(G14/100)*14.66</f>
        <v>9448.5166000000008</v>
      </c>
      <c r="H15" s="161">
        <f>(H14/100)*14.66</f>
        <v>10809.111200000001</v>
      </c>
      <c r="I15" s="161">
        <f>(I14/100)*14.66</f>
        <v>8659.6620000000003</v>
      </c>
      <c r="J15" s="426">
        <f>(J14/100)*14.76</f>
        <v>13747.3164</v>
      </c>
      <c r="K15" s="420">
        <f t="shared" ref="K15:M15" si="0">(K14/100)*14.76</f>
        <v>0</v>
      </c>
      <c r="L15" s="420">
        <f t="shared" si="0"/>
        <v>0</v>
      </c>
      <c r="M15" s="420">
        <f t="shared" si="0"/>
        <v>0</v>
      </c>
      <c r="N15" s="420"/>
      <c r="O15" s="161"/>
      <c r="P15" s="161"/>
      <c r="Q15" s="161"/>
    </row>
    <row r="16" spans="1:17" x14ac:dyDescent="0.2">
      <c r="A16" s="144" t="s">
        <v>387</v>
      </c>
      <c r="B16" s="161">
        <v>4384</v>
      </c>
      <c r="C16" s="161">
        <v>7576</v>
      </c>
      <c r="D16" s="161">
        <v>7118</v>
      </c>
      <c r="E16" s="161">
        <v>7166</v>
      </c>
      <c r="F16" s="161">
        <v>9922</v>
      </c>
      <c r="G16" s="161">
        <v>16215</v>
      </c>
      <c r="H16" s="161">
        <v>18874</v>
      </c>
      <c r="I16" s="161">
        <v>15426</v>
      </c>
      <c r="J16" s="161">
        <v>19773</v>
      </c>
      <c r="K16" s="161"/>
      <c r="L16" s="161"/>
      <c r="M16" s="161"/>
      <c r="N16" s="161"/>
      <c r="O16" s="161"/>
      <c r="P16" s="161"/>
      <c r="Q16" s="161"/>
    </row>
    <row r="17" spans="1:24" x14ac:dyDescent="0.2">
      <c r="A17" s="155"/>
      <c r="B17" s="155"/>
      <c r="C17" s="155"/>
      <c r="D17" s="155"/>
      <c r="E17" s="155"/>
      <c r="F17" s="155"/>
      <c r="G17" s="155"/>
      <c r="H17" s="155"/>
      <c r="I17" s="155"/>
      <c r="J17" s="155"/>
      <c r="K17" s="155"/>
    </row>
    <row r="18" spans="1:24" x14ac:dyDescent="0.2">
      <c r="A18" s="150" t="s">
        <v>287</v>
      </c>
      <c r="B18" s="155"/>
      <c r="C18" s="155"/>
      <c r="D18" s="155"/>
      <c r="E18" s="155"/>
      <c r="F18" s="155"/>
      <c r="G18" s="155"/>
      <c r="H18" s="155"/>
      <c r="I18" s="155"/>
      <c r="J18" s="155"/>
      <c r="K18" s="155"/>
    </row>
    <row r="19" spans="1:24" x14ac:dyDescent="0.2">
      <c r="A19" s="423" t="s">
        <v>472</v>
      </c>
      <c r="B19" s="165"/>
      <c r="C19" s="165"/>
      <c r="D19" s="165"/>
      <c r="E19" s="165"/>
      <c r="F19" s="165"/>
    </row>
    <row r="20" spans="1:24" ht="12.75" customHeight="1" x14ac:dyDescent="0.2">
      <c r="A20" s="337"/>
      <c r="B20" s="337"/>
      <c r="C20" s="337"/>
      <c r="D20" s="337"/>
      <c r="E20" s="337"/>
      <c r="F20" s="337"/>
      <c r="G20" s="337"/>
      <c r="H20" s="337"/>
      <c r="I20" s="337"/>
      <c r="J20" s="337"/>
      <c r="K20" s="337"/>
      <c r="L20" s="337"/>
      <c r="M20" s="337"/>
      <c r="N20" s="337"/>
      <c r="O20" s="337"/>
      <c r="P20" s="337"/>
      <c r="Q20" s="337"/>
      <c r="R20" s="119"/>
      <c r="S20" s="119"/>
      <c r="T20" s="119"/>
      <c r="U20" s="119"/>
      <c r="V20" s="119"/>
      <c r="W20" s="119"/>
      <c r="X20" s="119"/>
    </row>
    <row r="21" spans="1:24" x14ac:dyDescent="0.2">
      <c r="A21" s="337"/>
      <c r="B21" s="337"/>
      <c r="C21" s="337"/>
      <c r="D21" s="337"/>
      <c r="E21" s="337"/>
      <c r="F21" s="337"/>
      <c r="G21" s="337"/>
      <c r="H21" s="337"/>
      <c r="I21" s="337"/>
      <c r="J21" s="337"/>
      <c r="K21" s="337"/>
      <c r="L21" s="337"/>
      <c r="M21" s="337"/>
      <c r="N21" s="337"/>
      <c r="O21" s="337"/>
      <c r="P21" s="337"/>
      <c r="Q21" s="337"/>
      <c r="R21" s="119"/>
      <c r="S21" s="119"/>
      <c r="T21" s="119"/>
      <c r="U21" s="119"/>
      <c r="V21" s="119"/>
      <c r="W21" s="119"/>
      <c r="X21" s="119"/>
    </row>
    <row r="22" spans="1:24" x14ac:dyDescent="0.2">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row>
    <row r="23" spans="1:24" x14ac:dyDescent="0.2">
      <c r="A23" s="451"/>
    </row>
    <row r="37" spans="15:15" x14ac:dyDescent="0.2">
      <c r="O37"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59"/>
  <sheetViews>
    <sheetView workbookViewId="0"/>
  </sheetViews>
  <sheetFormatPr defaultColWidth="9.140625" defaultRowHeight="12.75" x14ac:dyDescent="0.2"/>
  <cols>
    <col min="1" max="1" width="19.5703125" style="117" bestFit="1" customWidth="1"/>
    <col min="2" max="2" width="14.42578125" style="117" bestFit="1" customWidth="1"/>
    <col min="3" max="3" width="12" style="117" bestFit="1" customWidth="1"/>
    <col min="4" max="6" width="9.140625" style="117" customWidth="1"/>
    <col min="7" max="16384" width="9.140625" style="117"/>
  </cols>
  <sheetData>
    <row r="1" spans="1:6" x14ac:dyDescent="0.2">
      <c r="A1" s="116" t="s">
        <v>360</v>
      </c>
    </row>
    <row r="2" spans="1:6" x14ac:dyDescent="0.2">
      <c r="A2" s="116"/>
    </row>
    <row r="3" spans="1:6" x14ac:dyDescent="0.2">
      <c r="A3" s="118" t="s">
        <v>454</v>
      </c>
      <c r="B3" s="117" t="s">
        <v>56</v>
      </c>
    </row>
    <row r="4" spans="1:6" x14ac:dyDescent="0.2">
      <c r="A4" s="118" t="s">
        <v>147</v>
      </c>
      <c r="B4" s="187">
        <f>VLOOKUP(MAX(A12:A59),A12:B59,2,0)</f>
        <v>8.9</v>
      </c>
    </row>
    <row r="5" spans="1:6" x14ac:dyDescent="0.2">
      <c r="A5" s="118" t="s">
        <v>119</v>
      </c>
      <c r="B5" s="138">
        <f>MAX(A12:A59)</f>
        <v>42887</v>
      </c>
    </row>
    <row r="6" spans="1:6" x14ac:dyDescent="0.2">
      <c r="A6" s="118" t="s">
        <v>201</v>
      </c>
      <c r="B6" s="419" t="s">
        <v>181</v>
      </c>
      <c r="E6" s="199"/>
    </row>
    <row r="7" spans="1:6" x14ac:dyDescent="0.2">
      <c r="A7" s="118" t="s">
        <v>456</v>
      </c>
      <c r="B7" s="173" t="s">
        <v>142</v>
      </c>
    </row>
    <row r="8" spans="1:6" x14ac:dyDescent="0.2">
      <c r="A8" s="137" t="s">
        <v>151</v>
      </c>
      <c r="B8" s="139" t="s">
        <v>78</v>
      </c>
    </row>
    <row r="9" spans="1:6" x14ac:dyDescent="0.2">
      <c r="A9" s="137" t="s">
        <v>148</v>
      </c>
      <c r="B9" s="139" t="s">
        <v>78</v>
      </c>
    </row>
    <row r="10" spans="1:6" x14ac:dyDescent="0.2">
      <c r="A10" s="134"/>
      <c r="F10" s="207"/>
    </row>
    <row r="11" spans="1:6" ht="51" x14ac:dyDescent="0.2">
      <c r="A11" s="154"/>
      <c r="B11" s="185" t="s">
        <v>32</v>
      </c>
      <c r="C11" s="256" t="s">
        <v>15</v>
      </c>
    </row>
    <row r="12" spans="1:6" x14ac:dyDescent="0.2">
      <c r="A12" s="186">
        <v>42095</v>
      </c>
      <c r="B12" s="429">
        <v>8.5366972477064227</v>
      </c>
      <c r="C12" s="305">
        <v>9</v>
      </c>
      <c r="E12" s="306" t="s">
        <v>315</v>
      </c>
    </row>
    <row r="13" spans="1:6" x14ac:dyDescent="0.2">
      <c r="A13" s="186">
        <v>42125</v>
      </c>
      <c r="B13" s="429">
        <v>8.6256684491978604</v>
      </c>
      <c r="C13" s="305">
        <v>9</v>
      </c>
    </row>
    <row r="14" spans="1:6" x14ac:dyDescent="0.2">
      <c r="A14" s="186">
        <v>42156</v>
      </c>
      <c r="B14" s="429">
        <v>8.5081433224755703</v>
      </c>
      <c r="C14" s="305">
        <v>9</v>
      </c>
    </row>
    <row r="15" spans="1:6" x14ac:dyDescent="0.2">
      <c r="A15" s="186">
        <v>42186</v>
      </c>
      <c r="B15" s="429">
        <v>8.7009803921568629</v>
      </c>
      <c r="C15" s="305">
        <v>9</v>
      </c>
    </row>
    <row r="16" spans="1:6" x14ac:dyDescent="0.2">
      <c r="A16" s="186">
        <v>42217</v>
      </c>
      <c r="B16" s="429">
        <v>8.7175324675324681</v>
      </c>
      <c r="C16" s="305">
        <v>9</v>
      </c>
    </row>
    <row r="17" spans="1:3" x14ac:dyDescent="0.2">
      <c r="A17" s="186">
        <v>42248</v>
      </c>
      <c r="B17" s="429">
        <v>8.68</v>
      </c>
      <c r="C17" s="305">
        <v>9</v>
      </c>
    </row>
    <row r="18" spans="1:3" x14ac:dyDescent="0.2">
      <c r="A18" s="186">
        <v>42278</v>
      </c>
      <c r="B18" s="429">
        <v>8.67</v>
      </c>
      <c r="C18" s="305">
        <v>9</v>
      </c>
    </row>
    <row r="19" spans="1:3" x14ac:dyDescent="0.2">
      <c r="A19" s="186">
        <v>42309</v>
      </c>
      <c r="B19" s="429">
        <v>8.7200000000000006</v>
      </c>
      <c r="C19" s="305">
        <v>9</v>
      </c>
    </row>
    <row r="20" spans="1:3" x14ac:dyDescent="0.2">
      <c r="A20" s="186">
        <v>42339</v>
      </c>
      <c r="B20" s="429">
        <v>8.73</v>
      </c>
      <c r="C20" s="305">
        <v>9</v>
      </c>
    </row>
    <row r="21" spans="1:3" x14ac:dyDescent="0.2">
      <c r="A21" s="186">
        <v>42370</v>
      </c>
      <c r="B21" s="429">
        <v>8.43</v>
      </c>
      <c r="C21" s="305">
        <v>9</v>
      </c>
    </row>
    <row r="22" spans="1:3" x14ac:dyDescent="0.2">
      <c r="A22" s="186">
        <v>42401</v>
      </c>
      <c r="B22" s="252">
        <v>8.74</v>
      </c>
      <c r="C22" s="305">
        <v>9</v>
      </c>
    </row>
    <row r="23" spans="1:3" x14ac:dyDescent="0.2">
      <c r="A23" s="186">
        <v>42430</v>
      </c>
      <c r="B23" s="252">
        <v>8.5500000000000007</v>
      </c>
      <c r="C23" s="305">
        <v>9</v>
      </c>
    </row>
    <row r="24" spans="1:3" x14ac:dyDescent="0.2">
      <c r="A24" s="186">
        <v>42461</v>
      </c>
      <c r="B24" s="252">
        <v>8.69</v>
      </c>
      <c r="C24" s="305">
        <v>9</v>
      </c>
    </row>
    <row r="25" spans="1:3" x14ac:dyDescent="0.2">
      <c r="A25" s="186">
        <v>42491</v>
      </c>
      <c r="B25" s="252">
        <v>8.89</v>
      </c>
      <c r="C25" s="305">
        <v>9</v>
      </c>
    </row>
    <row r="26" spans="1:3" x14ac:dyDescent="0.2">
      <c r="A26" s="186">
        <v>42522</v>
      </c>
      <c r="B26" s="252">
        <v>8.82</v>
      </c>
      <c r="C26" s="305">
        <v>9</v>
      </c>
    </row>
    <row r="27" spans="1:3" x14ac:dyDescent="0.2">
      <c r="A27" s="186">
        <v>42552</v>
      </c>
      <c r="B27" s="252">
        <v>9.08</v>
      </c>
      <c r="C27" s="305">
        <v>9</v>
      </c>
    </row>
    <row r="28" spans="1:3" x14ac:dyDescent="0.2">
      <c r="A28" s="186">
        <v>42583</v>
      </c>
      <c r="B28" s="252">
        <v>9</v>
      </c>
      <c r="C28" s="305">
        <v>9</v>
      </c>
    </row>
    <row r="29" spans="1:3" x14ac:dyDescent="0.2">
      <c r="A29" s="186">
        <v>42614</v>
      </c>
      <c r="B29" s="252">
        <v>8.9700000000000006</v>
      </c>
      <c r="C29" s="305">
        <v>9</v>
      </c>
    </row>
    <row r="30" spans="1:3" x14ac:dyDescent="0.2">
      <c r="A30" s="186">
        <v>42644</v>
      </c>
      <c r="B30" s="252">
        <v>8.92</v>
      </c>
      <c r="C30" s="305">
        <v>9</v>
      </c>
    </row>
    <row r="31" spans="1:3" x14ac:dyDescent="0.2">
      <c r="A31" s="186">
        <v>42675</v>
      </c>
      <c r="B31" s="252">
        <v>8.9600000000000009</v>
      </c>
      <c r="C31" s="305">
        <v>9</v>
      </c>
    </row>
    <row r="32" spans="1:3" x14ac:dyDescent="0.2">
      <c r="A32" s="186">
        <v>42705</v>
      </c>
      <c r="B32" s="252">
        <v>8.8800000000000008</v>
      </c>
      <c r="C32" s="305">
        <v>9</v>
      </c>
    </row>
    <row r="33" spans="1:3" x14ac:dyDescent="0.2">
      <c r="A33" s="186">
        <v>42736</v>
      </c>
      <c r="B33" s="252">
        <v>8.64</v>
      </c>
      <c r="C33" s="305">
        <v>9</v>
      </c>
    </row>
    <row r="34" spans="1:3" x14ac:dyDescent="0.2">
      <c r="A34" s="186">
        <v>42767</v>
      </c>
      <c r="B34" s="252">
        <v>8.94</v>
      </c>
      <c r="C34" s="305">
        <v>9</v>
      </c>
    </row>
    <row r="35" spans="1:3" x14ac:dyDescent="0.2">
      <c r="A35" s="186">
        <v>42795</v>
      </c>
      <c r="B35" s="252">
        <v>8.8000000000000007</v>
      </c>
      <c r="C35" s="305">
        <v>9</v>
      </c>
    </row>
    <row r="36" spans="1:3" x14ac:dyDescent="0.2">
      <c r="A36" s="186">
        <v>42826</v>
      </c>
      <c r="B36" s="429">
        <v>8.9</v>
      </c>
      <c r="C36" s="305">
        <v>9</v>
      </c>
    </row>
    <row r="37" spans="1:3" x14ac:dyDescent="0.2">
      <c r="A37" s="186">
        <v>42856</v>
      </c>
      <c r="B37" s="429">
        <v>8.8000000000000007</v>
      </c>
      <c r="C37" s="305">
        <v>9</v>
      </c>
    </row>
    <row r="38" spans="1:3" x14ac:dyDescent="0.2">
      <c r="A38" s="186">
        <v>42887</v>
      </c>
      <c r="B38" s="429">
        <v>8.9</v>
      </c>
      <c r="C38" s="305">
        <v>9</v>
      </c>
    </row>
    <row r="39" spans="1:3" x14ac:dyDescent="0.2">
      <c r="A39" s="186"/>
      <c r="B39" s="429"/>
      <c r="C39" s="305">
        <v>9</v>
      </c>
    </row>
    <row r="40" spans="1:3" x14ac:dyDescent="0.2">
      <c r="A40" s="186"/>
      <c r="B40" s="429"/>
      <c r="C40" s="305">
        <v>9</v>
      </c>
    </row>
    <row r="41" spans="1:3" x14ac:dyDescent="0.2">
      <c r="A41" s="186"/>
      <c r="B41" s="429"/>
      <c r="C41" s="305">
        <v>9</v>
      </c>
    </row>
    <row r="42" spans="1:3" x14ac:dyDescent="0.2">
      <c r="A42" s="186"/>
      <c r="B42" s="429"/>
      <c r="C42" s="305">
        <v>9</v>
      </c>
    </row>
    <row r="43" spans="1:3" x14ac:dyDescent="0.2">
      <c r="A43" s="186"/>
      <c r="B43" s="429"/>
      <c r="C43" s="305">
        <v>9</v>
      </c>
    </row>
    <row r="44" spans="1:3" x14ac:dyDescent="0.2">
      <c r="A44" s="186"/>
      <c r="B44" s="252"/>
      <c r="C44" s="305">
        <v>9</v>
      </c>
    </row>
    <row r="45" spans="1:3" x14ac:dyDescent="0.2">
      <c r="A45" s="186"/>
      <c r="B45" s="252"/>
      <c r="C45" s="305">
        <v>9</v>
      </c>
    </row>
    <row r="46" spans="1:3" x14ac:dyDescent="0.2">
      <c r="A46" s="186"/>
      <c r="B46" s="252"/>
      <c r="C46" s="305">
        <v>9</v>
      </c>
    </row>
    <row r="47" spans="1:3" x14ac:dyDescent="0.2">
      <c r="A47" s="186"/>
      <c r="B47" s="252"/>
      <c r="C47" s="305">
        <v>9</v>
      </c>
    </row>
    <row r="48" spans="1:3" x14ac:dyDescent="0.2">
      <c r="A48" s="186"/>
      <c r="B48" s="252"/>
      <c r="C48" s="305">
        <v>9</v>
      </c>
    </row>
    <row r="49" spans="1:3" x14ac:dyDescent="0.2">
      <c r="A49" s="186"/>
      <c r="B49" s="252"/>
      <c r="C49" s="305">
        <v>9</v>
      </c>
    </row>
    <row r="50" spans="1:3" x14ac:dyDescent="0.2">
      <c r="A50" s="186"/>
      <c r="B50" s="252"/>
      <c r="C50" s="305">
        <v>9</v>
      </c>
    </row>
    <row r="51" spans="1:3" x14ac:dyDescent="0.2">
      <c r="A51" s="186"/>
      <c r="B51" s="252"/>
      <c r="C51" s="305">
        <v>9</v>
      </c>
    </row>
    <row r="52" spans="1:3" x14ac:dyDescent="0.2">
      <c r="A52" s="186"/>
      <c r="B52" s="252"/>
      <c r="C52" s="305">
        <v>9</v>
      </c>
    </row>
    <row r="53" spans="1:3" x14ac:dyDescent="0.2">
      <c r="A53" s="186"/>
      <c r="B53" s="252"/>
      <c r="C53" s="305">
        <v>9</v>
      </c>
    </row>
    <row r="54" spans="1:3" x14ac:dyDescent="0.2">
      <c r="A54" s="186"/>
      <c r="B54" s="252"/>
      <c r="C54" s="305">
        <v>9</v>
      </c>
    </row>
    <row r="55" spans="1:3" x14ac:dyDescent="0.2">
      <c r="A55" s="186"/>
      <c r="B55" s="252"/>
      <c r="C55" s="305">
        <v>9</v>
      </c>
    </row>
    <row r="56" spans="1:3" x14ac:dyDescent="0.2">
      <c r="A56" s="186"/>
      <c r="B56" s="252"/>
      <c r="C56" s="305">
        <v>9</v>
      </c>
    </row>
    <row r="57" spans="1:3" x14ac:dyDescent="0.2">
      <c r="A57" s="186"/>
      <c r="B57" s="252"/>
      <c r="C57" s="305">
        <v>9</v>
      </c>
    </row>
    <row r="58" spans="1:3" x14ac:dyDescent="0.2">
      <c r="A58" s="186"/>
      <c r="B58" s="252"/>
      <c r="C58" s="305">
        <v>9</v>
      </c>
    </row>
    <row r="59" spans="1:3" x14ac:dyDescent="0.2">
      <c r="A59" s="186"/>
      <c r="B59" s="252"/>
      <c r="C59" s="305">
        <v>9</v>
      </c>
    </row>
  </sheetData>
  <phoneticPr fontId="0" type="noConversion"/>
  <dataValidations count="1">
    <dataValidation type="date" showInputMessage="1" showErrorMessage="1" errorTitle="Incorrect Date Entered" error="You have either entered a date in the wrong format, use dd/mm/yy; or entered a date earlier than 01/01/03." sqref="A12:A59">
      <formula1>37622</formula1>
      <formula2>NOW()</formula2>
    </dataValidation>
  </dataValidations>
  <hyperlinks>
    <hyperlink ref="A1" location="Content!A1" display="Return to Contents"/>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W217"/>
  <sheetViews>
    <sheetView workbookViewId="0">
      <pane xSplit="1" topLeftCell="B1" activePane="topRight" state="frozen"/>
      <selection pane="topRight"/>
    </sheetView>
  </sheetViews>
  <sheetFormatPr defaultColWidth="9.140625" defaultRowHeight="12.75" x14ac:dyDescent="0.2"/>
  <cols>
    <col min="1" max="1" width="32.5703125" style="117" customWidth="1"/>
    <col min="2" max="22" width="9.140625" style="117" customWidth="1"/>
    <col min="23" max="26" width="9.140625" style="117"/>
    <col min="27" max="27" width="9.140625" style="199"/>
    <col min="28" max="16384" width="9.140625" style="117"/>
  </cols>
  <sheetData>
    <row r="1" spans="1:49" x14ac:dyDescent="0.2">
      <c r="A1" s="116" t="s">
        <v>360</v>
      </c>
      <c r="B1" s="723"/>
      <c r="C1" s="547"/>
      <c r="D1" s="547"/>
      <c r="E1" s="547"/>
      <c r="F1" s="547"/>
      <c r="G1" s="547"/>
      <c r="H1" s="547"/>
      <c r="I1" s="547"/>
      <c r="J1" s="547"/>
      <c r="K1" s="547"/>
      <c r="L1" s="547"/>
      <c r="M1" s="547"/>
      <c r="N1" s="547"/>
      <c r="O1" s="547"/>
      <c r="P1" s="511"/>
      <c r="Q1" s="511"/>
      <c r="R1" s="511"/>
      <c r="S1" s="511"/>
      <c r="T1" s="511"/>
      <c r="U1" s="511"/>
      <c r="V1" s="511"/>
      <c r="W1" s="511"/>
      <c r="X1" s="511"/>
      <c r="Y1" s="511"/>
      <c r="Z1" s="511"/>
      <c r="AA1" s="511"/>
    </row>
    <row r="2" spans="1:49" x14ac:dyDescent="0.2">
      <c r="A2" s="116"/>
      <c r="P2" s="511"/>
      <c r="Q2" s="511"/>
      <c r="R2" s="511"/>
      <c r="S2" s="511"/>
      <c r="T2" s="511"/>
      <c r="U2" s="511"/>
      <c r="V2" s="511"/>
      <c r="W2" s="511"/>
      <c r="X2" s="511"/>
      <c r="Y2" s="511"/>
      <c r="Z2" s="511"/>
      <c r="AA2" s="511"/>
    </row>
    <row r="3" spans="1:49" x14ac:dyDescent="0.2">
      <c r="A3" s="118" t="s">
        <v>454</v>
      </c>
      <c r="B3" s="117" t="s">
        <v>61</v>
      </c>
    </row>
    <row r="4" spans="1:49" x14ac:dyDescent="0.2">
      <c r="A4" s="118" t="s">
        <v>147</v>
      </c>
      <c r="B4" s="149">
        <f>HLOOKUP(MAX(B11:AW11),B11:AW16,6,0)</f>
        <v>4543</v>
      </c>
    </row>
    <row r="5" spans="1:49" x14ac:dyDescent="0.2">
      <c r="A5" s="118" t="s">
        <v>119</v>
      </c>
      <c r="B5" s="138">
        <f>MAX(B11:AW11)</f>
        <v>42948</v>
      </c>
    </row>
    <row r="6" spans="1:49" x14ac:dyDescent="0.2">
      <c r="A6" s="118" t="s">
        <v>201</v>
      </c>
      <c r="B6" s="419" t="s">
        <v>182</v>
      </c>
    </row>
    <row r="7" spans="1:49" x14ac:dyDescent="0.2">
      <c r="A7" s="118" t="s">
        <v>456</v>
      </c>
      <c r="B7" s="122" t="s">
        <v>134</v>
      </c>
    </row>
    <row r="8" spans="1:49" x14ac:dyDescent="0.2">
      <c r="A8" s="137" t="s">
        <v>151</v>
      </c>
      <c r="B8" s="139" t="s">
        <v>78</v>
      </c>
    </row>
    <row r="9" spans="1:49" x14ac:dyDescent="0.2">
      <c r="A9" s="137" t="s">
        <v>148</v>
      </c>
      <c r="B9" s="139" t="s">
        <v>78</v>
      </c>
      <c r="E9" s="155"/>
    </row>
    <row r="10" spans="1:49" x14ac:dyDescent="0.2">
      <c r="A10" s="621"/>
    </row>
    <row r="11" spans="1:49" x14ac:dyDescent="0.2">
      <c r="A11" s="137" t="s">
        <v>537</v>
      </c>
      <c r="B11" s="124">
        <v>42095</v>
      </c>
      <c r="C11" s="124">
        <v>42125</v>
      </c>
      <c r="D11" s="124">
        <v>42156</v>
      </c>
      <c r="E11" s="124">
        <v>42186</v>
      </c>
      <c r="F11" s="124">
        <v>42217</v>
      </c>
      <c r="G11" s="124">
        <v>42248</v>
      </c>
      <c r="H11" s="124">
        <v>42278</v>
      </c>
      <c r="I11" s="124">
        <v>42309</v>
      </c>
      <c r="J11" s="124">
        <v>42339</v>
      </c>
      <c r="K11" s="124">
        <v>42370</v>
      </c>
      <c r="L11" s="124">
        <v>42401</v>
      </c>
      <c r="M11" s="124">
        <v>42430</v>
      </c>
      <c r="N11" s="124">
        <v>42461</v>
      </c>
      <c r="O11" s="124">
        <v>42491</v>
      </c>
      <c r="P11" s="124">
        <v>42522</v>
      </c>
      <c r="Q11" s="124">
        <v>42552</v>
      </c>
      <c r="R11" s="124">
        <v>42583</v>
      </c>
      <c r="S11" s="124">
        <v>42614</v>
      </c>
      <c r="T11" s="124">
        <v>42644</v>
      </c>
      <c r="U11" s="124">
        <v>42675</v>
      </c>
      <c r="V11" s="124">
        <v>42705</v>
      </c>
      <c r="W11" s="124">
        <v>42736</v>
      </c>
      <c r="X11" s="124">
        <v>42767</v>
      </c>
      <c r="Y11" s="124">
        <v>42795</v>
      </c>
      <c r="Z11" s="124">
        <v>42826</v>
      </c>
      <c r="AA11" s="152">
        <v>42856</v>
      </c>
      <c r="AB11" s="124">
        <v>42887</v>
      </c>
      <c r="AC11" s="152">
        <v>42917</v>
      </c>
      <c r="AD11" s="124">
        <v>42948</v>
      </c>
      <c r="AE11" s="146"/>
      <c r="AF11" s="146"/>
      <c r="AG11" s="146"/>
      <c r="AH11" s="146"/>
      <c r="AI11" s="146"/>
      <c r="AJ11" s="146"/>
      <c r="AK11" s="146"/>
      <c r="AL11" s="146"/>
      <c r="AM11" s="146"/>
      <c r="AN11" s="146"/>
      <c r="AO11" s="146"/>
      <c r="AP11" s="146"/>
      <c r="AQ11" s="146"/>
      <c r="AR11" s="146"/>
      <c r="AS11" s="146"/>
      <c r="AT11" s="146"/>
      <c r="AU11" s="146"/>
      <c r="AV11" s="146"/>
      <c r="AW11" s="146"/>
    </row>
    <row r="12" spans="1:49" x14ac:dyDescent="0.2">
      <c r="A12" s="203" t="s">
        <v>393</v>
      </c>
      <c r="B12" s="236">
        <v>614</v>
      </c>
      <c r="C12" s="236">
        <v>620</v>
      </c>
      <c r="D12" s="236">
        <v>610</v>
      </c>
      <c r="E12" s="236">
        <v>657</v>
      </c>
      <c r="F12" s="236">
        <v>685</v>
      </c>
      <c r="G12" s="236">
        <v>739</v>
      </c>
      <c r="H12" s="236">
        <v>869</v>
      </c>
      <c r="I12" s="129">
        <v>1018</v>
      </c>
      <c r="J12" s="129">
        <v>1146</v>
      </c>
      <c r="K12" s="129">
        <v>1272</v>
      </c>
      <c r="L12" s="129">
        <v>1354</v>
      </c>
      <c r="M12" s="129">
        <v>1461</v>
      </c>
      <c r="N12" s="129">
        <v>1598</v>
      </c>
      <c r="O12" s="129">
        <v>1790</v>
      </c>
      <c r="P12" s="129">
        <v>2030</v>
      </c>
      <c r="Q12" s="129">
        <v>2068</v>
      </c>
      <c r="R12" s="129">
        <v>2073</v>
      </c>
      <c r="S12" s="129">
        <v>2210</v>
      </c>
      <c r="T12" s="129">
        <v>2347</v>
      </c>
      <c r="U12" s="129">
        <v>2482</v>
      </c>
      <c r="V12" s="129">
        <v>2511</v>
      </c>
      <c r="W12" s="129">
        <v>2696</v>
      </c>
      <c r="X12" s="129">
        <v>2752</v>
      </c>
      <c r="Y12" s="129">
        <v>2759</v>
      </c>
      <c r="Z12" s="129">
        <v>2852</v>
      </c>
      <c r="AA12" s="301">
        <v>2922</v>
      </c>
      <c r="AB12" s="129">
        <v>3041</v>
      </c>
      <c r="AC12" s="129">
        <v>2889</v>
      </c>
      <c r="AD12" s="129">
        <v>2863</v>
      </c>
      <c r="AE12" s="129"/>
      <c r="AF12" s="129"/>
      <c r="AG12" s="129"/>
      <c r="AH12" s="129"/>
      <c r="AI12" s="129"/>
      <c r="AJ12" s="129"/>
      <c r="AK12" s="129"/>
      <c r="AL12" s="129"/>
      <c r="AM12" s="129"/>
      <c r="AN12" s="129"/>
      <c r="AO12" s="129"/>
      <c r="AP12" s="129"/>
      <c r="AQ12" s="129"/>
      <c r="AR12" s="129"/>
      <c r="AS12" s="129"/>
      <c r="AT12" s="129"/>
      <c r="AU12" s="129"/>
      <c r="AV12" s="129"/>
      <c r="AW12" s="129"/>
    </row>
    <row r="13" spans="1:49" x14ac:dyDescent="0.2">
      <c r="A13" s="203" t="s">
        <v>396</v>
      </c>
      <c r="B13" s="236">
        <v>196</v>
      </c>
      <c r="C13" s="236">
        <v>165</v>
      </c>
      <c r="D13" s="236">
        <v>200</v>
      </c>
      <c r="E13" s="236">
        <v>235</v>
      </c>
      <c r="F13" s="236">
        <v>293</v>
      </c>
      <c r="G13" s="236">
        <v>327</v>
      </c>
      <c r="H13" s="236">
        <v>342</v>
      </c>
      <c r="I13" s="236">
        <v>356</v>
      </c>
      <c r="J13" s="236">
        <v>376</v>
      </c>
      <c r="K13" s="236">
        <v>273</v>
      </c>
      <c r="L13" s="236">
        <v>121</v>
      </c>
      <c r="M13" s="236">
        <v>73</v>
      </c>
      <c r="N13" s="236">
        <v>114</v>
      </c>
      <c r="O13" s="236">
        <v>145</v>
      </c>
      <c r="P13" s="236">
        <v>82</v>
      </c>
      <c r="Q13" s="236">
        <v>53</v>
      </c>
      <c r="R13" s="236">
        <v>163</v>
      </c>
      <c r="S13" s="236">
        <v>250</v>
      </c>
      <c r="T13" s="236">
        <v>321</v>
      </c>
      <c r="U13" s="236">
        <v>377</v>
      </c>
      <c r="V13" s="236">
        <v>298</v>
      </c>
      <c r="W13" s="236">
        <v>419</v>
      </c>
      <c r="X13" s="236">
        <v>450</v>
      </c>
      <c r="Y13" s="236">
        <v>459</v>
      </c>
      <c r="Z13" s="236">
        <v>465</v>
      </c>
      <c r="AA13" s="480">
        <v>507</v>
      </c>
      <c r="AB13" s="236">
        <v>436</v>
      </c>
      <c r="AC13" s="236">
        <v>569</v>
      </c>
      <c r="AD13" s="236">
        <v>538</v>
      </c>
      <c r="AE13" s="236"/>
      <c r="AF13" s="236"/>
      <c r="AG13" s="236"/>
      <c r="AH13" s="236"/>
      <c r="AI13" s="236"/>
      <c r="AJ13" s="236"/>
      <c r="AK13" s="236"/>
      <c r="AL13" s="236"/>
      <c r="AM13" s="236"/>
      <c r="AN13" s="236"/>
      <c r="AO13" s="236"/>
      <c r="AP13" s="236"/>
      <c r="AQ13" s="236"/>
      <c r="AR13" s="236"/>
      <c r="AS13" s="236"/>
      <c r="AT13" s="236"/>
      <c r="AU13" s="236"/>
      <c r="AV13" s="236"/>
      <c r="AW13" s="236"/>
    </row>
    <row r="14" spans="1:49" x14ac:dyDescent="0.2">
      <c r="A14" s="203" t="s">
        <v>437</v>
      </c>
      <c r="B14" s="236">
        <v>109</v>
      </c>
      <c r="C14" s="236">
        <v>119</v>
      </c>
      <c r="D14" s="236">
        <v>126</v>
      </c>
      <c r="E14" s="236">
        <v>136</v>
      </c>
      <c r="F14" s="236">
        <v>155</v>
      </c>
      <c r="G14" s="236">
        <v>165</v>
      </c>
      <c r="H14" s="236">
        <v>153</v>
      </c>
      <c r="I14" s="236">
        <v>168</v>
      </c>
      <c r="J14" s="236">
        <v>182</v>
      </c>
      <c r="K14" s="236">
        <v>187</v>
      </c>
      <c r="L14" s="236">
        <v>186</v>
      </c>
      <c r="M14" s="236">
        <v>197</v>
      </c>
      <c r="N14" s="236">
        <v>206</v>
      </c>
      <c r="O14" s="236">
        <v>220</v>
      </c>
      <c r="P14" s="236">
        <v>236</v>
      </c>
      <c r="Q14" s="236">
        <v>227</v>
      </c>
      <c r="R14" s="236">
        <v>222</v>
      </c>
      <c r="S14" s="236">
        <v>240</v>
      </c>
      <c r="T14" s="236">
        <v>249</v>
      </c>
      <c r="U14" s="236">
        <v>252</v>
      </c>
      <c r="V14" s="236">
        <v>237</v>
      </c>
      <c r="W14" s="236">
        <v>265</v>
      </c>
      <c r="X14" s="236">
        <v>251</v>
      </c>
      <c r="Y14" s="236">
        <v>238</v>
      </c>
      <c r="Z14" s="236">
        <v>237</v>
      </c>
      <c r="AA14" s="480">
        <v>235</v>
      </c>
      <c r="AB14" s="236">
        <v>101</v>
      </c>
      <c r="AC14" s="236">
        <v>229</v>
      </c>
      <c r="AD14" s="236">
        <v>226</v>
      </c>
      <c r="AE14" s="236"/>
      <c r="AF14" s="236"/>
      <c r="AG14" s="236"/>
      <c r="AH14" s="236"/>
      <c r="AI14" s="236"/>
      <c r="AJ14" s="236"/>
      <c r="AK14" s="236"/>
      <c r="AL14" s="236"/>
      <c r="AM14" s="236"/>
      <c r="AN14" s="236"/>
      <c r="AO14" s="236"/>
      <c r="AP14" s="236"/>
      <c r="AQ14" s="236"/>
      <c r="AR14" s="236"/>
      <c r="AS14" s="236"/>
      <c r="AT14" s="236"/>
      <c r="AU14" s="236"/>
      <c r="AV14" s="236"/>
      <c r="AW14" s="236"/>
    </row>
    <row r="15" spans="1:49" x14ac:dyDescent="0.2">
      <c r="A15" s="203" t="s">
        <v>394</v>
      </c>
      <c r="B15" s="236">
        <v>319</v>
      </c>
      <c r="C15" s="236">
        <v>326</v>
      </c>
      <c r="D15" s="236">
        <v>306</v>
      </c>
      <c r="E15" s="236">
        <v>341</v>
      </c>
      <c r="F15" s="236">
        <v>370</v>
      </c>
      <c r="G15" s="236">
        <v>403</v>
      </c>
      <c r="H15" s="236">
        <v>437</v>
      </c>
      <c r="I15" s="236">
        <v>497</v>
      </c>
      <c r="J15" s="236">
        <v>548</v>
      </c>
      <c r="K15" s="236">
        <v>599</v>
      </c>
      <c r="L15" s="236">
        <v>607</v>
      </c>
      <c r="M15" s="236">
        <v>604</v>
      </c>
      <c r="N15" s="236">
        <v>640</v>
      </c>
      <c r="O15" s="236">
        <v>666</v>
      </c>
      <c r="P15" s="236">
        <v>730</v>
      </c>
      <c r="Q15" s="236">
        <v>734</v>
      </c>
      <c r="R15" s="236">
        <v>749</v>
      </c>
      <c r="S15" s="236">
        <v>791</v>
      </c>
      <c r="T15" s="236">
        <v>827</v>
      </c>
      <c r="U15" s="236">
        <v>825</v>
      </c>
      <c r="V15" s="236">
        <v>779</v>
      </c>
      <c r="W15" s="236">
        <v>857</v>
      </c>
      <c r="X15" s="236">
        <v>833</v>
      </c>
      <c r="Y15" s="236">
        <v>775</v>
      </c>
      <c r="Z15" s="236">
        <v>803</v>
      </c>
      <c r="AA15" s="480">
        <v>836</v>
      </c>
      <c r="AB15" s="236">
        <v>443</v>
      </c>
      <c r="AC15" s="236">
        <v>904</v>
      </c>
      <c r="AD15" s="236">
        <v>916</v>
      </c>
      <c r="AE15" s="236"/>
      <c r="AF15" s="236"/>
      <c r="AG15" s="236"/>
      <c r="AH15" s="236"/>
      <c r="AI15" s="236"/>
      <c r="AJ15" s="236"/>
      <c r="AK15" s="236"/>
      <c r="AL15" s="236"/>
      <c r="AM15" s="236"/>
      <c r="AN15" s="236"/>
      <c r="AO15" s="236"/>
      <c r="AP15" s="236"/>
      <c r="AQ15" s="236"/>
      <c r="AR15" s="236"/>
      <c r="AS15" s="236"/>
      <c r="AT15" s="236"/>
      <c r="AU15" s="236"/>
      <c r="AV15" s="236"/>
      <c r="AW15" s="236"/>
    </row>
    <row r="16" spans="1:49" x14ac:dyDescent="0.2">
      <c r="A16" s="127" t="s">
        <v>397</v>
      </c>
      <c r="B16" s="104">
        <v>1238</v>
      </c>
      <c r="C16" s="104">
        <v>1230</v>
      </c>
      <c r="D16" s="104">
        <v>1242</v>
      </c>
      <c r="E16" s="104">
        <v>1369</v>
      </c>
      <c r="F16" s="104">
        <v>1503</v>
      </c>
      <c r="G16" s="104">
        <v>1634</v>
      </c>
      <c r="H16" s="104">
        <v>1801</v>
      </c>
      <c r="I16" s="104">
        <v>2039</v>
      </c>
      <c r="J16" s="104">
        <v>2252</v>
      </c>
      <c r="K16" s="104">
        <v>2331</v>
      </c>
      <c r="L16" s="104">
        <v>2268</v>
      </c>
      <c r="M16" s="104">
        <v>2335</v>
      </c>
      <c r="N16" s="104">
        <v>2558</v>
      </c>
      <c r="O16" s="104">
        <v>2821</v>
      </c>
      <c r="P16" s="104">
        <v>3078</v>
      </c>
      <c r="Q16" s="104">
        <v>3082</v>
      </c>
      <c r="R16" s="104">
        <v>3207</v>
      </c>
      <c r="S16" s="104">
        <v>3491</v>
      </c>
      <c r="T16" s="104">
        <v>3744</v>
      </c>
      <c r="U16" s="104">
        <v>3936</v>
      </c>
      <c r="V16" s="104">
        <v>3825</v>
      </c>
      <c r="W16" s="104">
        <v>4237</v>
      </c>
      <c r="X16" s="104">
        <v>4286</v>
      </c>
      <c r="Y16" s="104">
        <v>4231</v>
      </c>
      <c r="Z16" s="104">
        <v>4357</v>
      </c>
      <c r="AA16" s="512">
        <v>4500</v>
      </c>
      <c r="AB16" s="104">
        <v>4021</v>
      </c>
      <c r="AC16" s="104">
        <v>4591</v>
      </c>
      <c r="AD16" s="104">
        <v>4543</v>
      </c>
      <c r="AE16" s="104"/>
      <c r="AF16" s="104"/>
      <c r="AG16" s="104"/>
      <c r="AH16" s="104"/>
      <c r="AI16" s="104"/>
      <c r="AJ16" s="104"/>
      <c r="AK16" s="104"/>
      <c r="AL16" s="104"/>
      <c r="AM16" s="104"/>
      <c r="AN16" s="104"/>
      <c r="AO16" s="104"/>
      <c r="AP16" s="104"/>
      <c r="AQ16" s="104"/>
      <c r="AR16" s="104"/>
      <c r="AS16" s="104"/>
      <c r="AT16" s="104"/>
      <c r="AU16" s="104"/>
      <c r="AV16" s="104"/>
      <c r="AW16" s="104"/>
    </row>
    <row r="17" spans="1:49" s="683" customFormat="1" x14ac:dyDescent="0.2">
      <c r="A17" s="716"/>
      <c r="B17" s="717"/>
      <c r="C17" s="717"/>
      <c r="D17" s="717"/>
      <c r="E17" s="717"/>
      <c r="F17" s="717"/>
      <c r="G17" s="717"/>
      <c r="H17" s="717"/>
      <c r="I17" s="717"/>
      <c r="J17" s="717"/>
      <c r="K17" s="717"/>
      <c r="L17" s="717"/>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717"/>
      <c r="AP17" s="717"/>
      <c r="AQ17" s="717"/>
      <c r="AR17" s="717"/>
      <c r="AS17" s="717"/>
      <c r="AT17" s="717"/>
      <c r="AU17" s="717"/>
      <c r="AV17" s="717"/>
      <c r="AW17" s="717"/>
    </row>
    <row r="18" spans="1:49" s="683" customFormat="1" x14ac:dyDescent="0.2">
      <c r="A18" s="674" t="s">
        <v>537</v>
      </c>
      <c r="B18" s="714"/>
      <c r="C18" s="714"/>
      <c r="D18" s="714"/>
      <c r="E18" s="714"/>
      <c r="F18" s="714"/>
      <c r="G18" s="714"/>
      <c r="H18" s="714"/>
      <c r="I18" s="714"/>
      <c r="J18" s="714"/>
      <c r="K18" s="714"/>
      <c r="L18" s="714"/>
      <c r="M18" s="714"/>
      <c r="N18" s="714"/>
      <c r="O18" s="714"/>
      <c r="P18" s="714"/>
      <c r="Q18" s="714"/>
      <c r="R18" s="714"/>
      <c r="S18" s="714"/>
      <c r="T18" s="714"/>
      <c r="U18" s="714"/>
      <c r="V18" s="714"/>
      <c r="W18" s="714"/>
      <c r="X18" s="714"/>
      <c r="Y18" s="714"/>
      <c r="Z18" s="714"/>
      <c r="AA18" s="714"/>
      <c r="AB18" s="714"/>
      <c r="AC18" s="714"/>
      <c r="AD18" s="714"/>
      <c r="AE18" s="714"/>
      <c r="AF18" s="714"/>
      <c r="AG18" s="714"/>
      <c r="AH18" s="714"/>
      <c r="AI18" s="714"/>
      <c r="AJ18" s="714"/>
      <c r="AK18" s="714"/>
      <c r="AL18" s="714"/>
      <c r="AM18" s="714"/>
      <c r="AN18" s="714"/>
      <c r="AO18" s="714"/>
      <c r="AP18" s="714"/>
      <c r="AQ18" s="714"/>
      <c r="AR18" s="714"/>
      <c r="AS18" s="714"/>
      <c r="AT18" s="714"/>
      <c r="AU18" s="714"/>
      <c r="AV18" s="714"/>
      <c r="AW18" s="714"/>
    </row>
    <row r="19" spans="1:49" s="683" customFormat="1" x14ac:dyDescent="0.2">
      <c r="A19" s="702" t="s">
        <v>131</v>
      </c>
      <c r="B19" s="714">
        <f>MEDIAN($B$16:$G$16)</f>
        <v>1305.5</v>
      </c>
      <c r="C19" s="714">
        <f t="shared" ref="C19:H20" si="0">MEDIAN($B$16:$G$16)</f>
        <v>1305.5</v>
      </c>
      <c r="D19" s="714">
        <f t="shared" si="0"/>
        <v>1305.5</v>
      </c>
      <c r="E19" s="714">
        <f t="shared" si="0"/>
        <v>1305.5</v>
      </c>
      <c r="F19" s="714">
        <f t="shared" si="0"/>
        <v>1305.5</v>
      </c>
      <c r="G19" s="714">
        <f t="shared" si="0"/>
        <v>1305.5</v>
      </c>
      <c r="H19" s="714"/>
      <c r="I19" s="714"/>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row>
    <row r="20" spans="1:49" s="683" customFormat="1" x14ac:dyDescent="0.2">
      <c r="A20" s="702" t="s">
        <v>42</v>
      </c>
      <c r="B20" s="714"/>
      <c r="C20" s="714"/>
      <c r="D20" s="714"/>
      <c r="E20" s="714"/>
      <c r="F20" s="714"/>
      <c r="G20" s="714">
        <f t="shared" si="0"/>
        <v>1305.5</v>
      </c>
      <c r="H20" s="714">
        <f t="shared" si="0"/>
        <v>1305.5</v>
      </c>
      <c r="I20" s="714" t="s">
        <v>385</v>
      </c>
      <c r="J20" s="714"/>
      <c r="K20" s="714"/>
      <c r="L20" s="714"/>
      <c r="M20" s="714"/>
      <c r="N20" s="714"/>
      <c r="O20" s="714"/>
      <c r="P20" s="714"/>
      <c r="Q20" s="714"/>
      <c r="R20" s="714"/>
      <c r="S20" s="714"/>
      <c r="T20" s="714"/>
      <c r="U20" s="714"/>
      <c r="V20" s="714"/>
      <c r="W20" s="714"/>
      <c r="X20" s="714"/>
      <c r="Y20" s="714"/>
      <c r="Z20" s="714"/>
      <c r="AA20" s="714"/>
      <c r="AB20" s="714"/>
      <c r="AC20" s="714"/>
      <c r="AD20" s="714"/>
      <c r="AE20" s="714"/>
      <c r="AF20" s="714"/>
      <c r="AG20" s="714"/>
      <c r="AH20" s="714"/>
      <c r="AI20" s="714"/>
      <c r="AJ20" s="714"/>
      <c r="AK20" s="714"/>
      <c r="AL20" s="714"/>
      <c r="AM20" s="714"/>
      <c r="AN20" s="714"/>
      <c r="AO20" s="714"/>
      <c r="AP20" s="714"/>
      <c r="AQ20" s="714"/>
      <c r="AR20" s="714"/>
      <c r="AS20" s="714"/>
      <c r="AT20" s="714"/>
      <c r="AU20" s="714"/>
      <c r="AV20" s="714"/>
      <c r="AW20" s="714"/>
    </row>
    <row r="21" spans="1:49" s="683" customFormat="1" x14ac:dyDescent="0.2">
      <c r="A21" s="702" t="s">
        <v>318</v>
      </c>
      <c r="B21" s="714"/>
      <c r="C21" s="714"/>
      <c r="D21" s="714"/>
      <c r="E21" s="714"/>
      <c r="F21" s="714"/>
      <c r="G21" s="714"/>
      <c r="H21" s="714">
        <f>MEDIAN($H$16:$M$16)</f>
        <v>2260</v>
      </c>
      <c r="I21" s="714">
        <f t="shared" ref="I21:N22" si="1">MEDIAN($H$16:$M$16)</f>
        <v>2260</v>
      </c>
      <c r="J21" s="714">
        <f t="shared" si="1"/>
        <v>2260</v>
      </c>
      <c r="K21" s="714">
        <f t="shared" si="1"/>
        <v>2260</v>
      </c>
      <c r="L21" s="714">
        <f t="shared" si="1"/>
        <v>2260</v>
      </c>
      <c r="M21" s="714">
        <f t="shared" si="1"/>
        <v>2260</v>
      </c>
      <c r="N21" s="714"/>
      <c r="O21" s="714"/>
      <c r="P21" s="714"/>
      <c r="Q21" s="714"/>
      <c r="R21" s="714"/>
      <c r="S21" s="714"/>
      <c r="T21" s="714"/>
      <c r="U21" s="714"/>
      <c r="V21" s="714"/>
      <c r="W21" s="714"/>
      <c r="X21" s="714"/>
      <c r="Y21" s="714"/>
      <c r="Z21" s="714"/>
      <c r="AA21" s="714"/>
      <c r="AB21" s="714"/>
      <c r="AC21" s="714"/>
      <c r="AD21" s="714"/>
      <c r="AE21" s="714"/>
      <c r="AF21" s="714"/>
      <c r="AG21" s="714"/>
      <c r="AH21" s="714"/>
      <c r="AI21" s="714"/>
      <c r="AJ21" s="714"/>
      <c r="AK21" s="714"/>
      <c r="AL21" s="714"/>
      <c r="AM21" s="714"/>
      <c r="AN21" s="714"/>
      <c r="AO21" s="714"/>
      <c r="AP21" s="714"/>
      <c r="AQ21" s="714"/>
      <c r="AR21" s="714"/>
      <c r="AS21" s="714"/>
      <c r="AT21" s="714"/>
      <c r="AU21" s="714"/>
      <c r="AV21" s="714"/>
      <c r="AW21" s="714"/>
    </row>
    <row r="22" spans="1:49" s="683" customFormat="1" x14ac:dyDescent="0.2">
      <c r="A22" s="702" t="s">
        <v>319</v>
      </c>
      <c r="B22" s="714"/>
      <c r="C22" s="714"/>
      <c r="D22" s="714"/>
      <c r="E22" s="714"/>
      <c r="F22" s="714"/>
      <c r="G22" s="714"/>
      <c r="H22" s="714"/>
      <c r="I22" s="714"/>
      <c r="J22" s="714"/>
      <c r="K22" s="714"/>
      <c r="L22" s="714"/>
      <c r="M22" s="714">
        <f t="shared" si="1"/>
        <v>2260</v>
      </c>
      <c r="N22" s="714">
        <f t="shared" si="1"/>
        <v>2260</v>
      </c>
      <c r="O22" s="714"/>
      <c r="P22" s="714"/>
      <c r="Q22" s="714"/>
      <c r="R22" s="714"/>
      <c r="S22" s="714"/>
      <c r="T22" s="714"/>
      <c r="U22" s="714"/>
      <c r="V22" s="714"/>
      <c r="W22" s="714"/>
      <c r="X22" s="714"/>
      <c r="Y22" s="714"/>
      <c r="Z22" s="714"/>
      <c r="AA22" s="714"/>
      <c r="AB22" s="714"/>
      <c r="AC22" s="714"/>
      <c r="AD22" s="714"/>
      <c r="AE22" s="714"/>
      <c r="AF22" s="714"/>
      <c r="AG22" s="714"/>
      <c r="AH22" s="714"/>
      <c r="AI22" s="714"/>
      <c r="AJ22" s="714"/>
      <c r="AK22" s="714"/>
      <c r="AL22" s="714"/>
      <c r="AM22" s="714"/>
      <c r="AN22" s="714"/>
      <c r="AO22" s="714"/>
      <c r="AP22" s="714"/>
      <c r="AQ22" s="714"/>
      <c r="AR22" s="714"/>
      <c r="AS22" s="714"/>
      <c r="AT22" s="714"/>
      <c r="AU22" s="714"/>
      <c r="AV22" s="714"/>
      <c r="AW22" s="714"/>
    </row>
    <row r="23" spans="1:49" s="683" customFormat="1" x14ac:dyDescent="0.2">
      <c r="A23" s="702" t="s">
        <v>320</v>
      </c>
      <c r="B23" s="714"/>
      <c r="C23" s="714"/>
      <c r="D23" s="714"/>
      <c r="E23" s="714"/>
      <c r="F23" s="714"/>
      <c r="G23" s="714"/>
      <c r="H23" s="714"/>
      <c r="I23" s="714"/>
      <c r="J23" s="714"/>
      <c r="K23" s="714"/>
      <c r="L23" s="714"/>
      <c r="M23" s="714"/>
      <c r="N23" s="714">
        <f>MEDIAN($N$16:$S$16)</f>
        <v>3080</v>
      </c>
      <c r="O23" s="714">
        <f t="shared" ref="O23:T24" si="2">MEDIAN($N$16:$S$16)</f>
        <v>3080</v>
      </c>
      <c r="P23" s="714">
        <f t="shared" si="2"/>
        <v>3080</v>
      </c>
      <c r="Q23" s="714">
        <f t="shared" si="2"/>
        <v>3080</v>
      </c>
      <c r="R23" s="714">
        <f t="shared" si="2"/>
        <v>3080</v>
      </c>
      <c r="S23" s="714">
        <f t="shared" si="2"/>
        <v>3080</v>
      </c>
      <c r="T23" s="714"/>
      <c r="U23" s="714"/>
      <c r="V23" s="714"/>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c r="AT23" s="714"/>
      <c r="AU23" s="714"/>
      <c r="AV23" s="714"/>
      <c r="AW23" s="714"/>
    </row>
    <row r="24" spans="1:49" s="683" customFormat="1" x14ac:dyDescent="0.2">
      <c r="A24" s="702" t="s">
        <v>321</v>
      </c>
      <c r="B24" s="714"/>
      <c r="C24" s="714"/>
      <c r="D24" s="714"/>
      <c r="E24" s="714"/>
      <c r="F24" s="714"/>
      <c r="G24" s="714"/>
      <c r="H24" s="714"/>
      <c r="I24" s="714"/>
      <c r="J24" s="714"/>
      <c r="K24" s="714"/>
      <c r="L24" s="714"/>
      <c r="M24" s="714"/>
      <c r="N24" s="714"/>
      <c r="O24" s="714"/>
      <c r="P24" s="714"/>
      <c r="Q24" s="714"/>
      <c r="R24" s="714"/>
      <c r="S24" s="714">
        <f t="shared" si="2"/>
        <v>3080</v>
      </c>
      <c r="T24" s="714">
        <f t="shared" si="2"/>
        <v>3080</v>
      </c>
      <c r="U24" s="714"/>
      <c r="V24" s="714"/>
      <c r="W24" s="714"/>
      <c r="X24" s="714"/>
      <c r="Y24" s="714"/>
      <c r="Z24" s="714"/>
      <c r="AA24" s="714"/>
      <c r="AB24" s="714"/>
      <c r="AC24" s="714"/>
      <c r="AD24" s="714"/>
      <c r="AE24" s="714"/>
      <c r="AF24" s="714"/>
      <c r="AG24" s="714"/>
      <c r="AH24" s="714"/>
      <c r="AI24" s="714"/>
      <c r="AJ24" s="714"/>
      <c r="AK24" s="714"/>
      <c r="AL24" s="714"/>
      <c r="AM24" s="714"/>
      <c r="AN24" s="714"/>
      <c r="AO24" s="714"/>
      <c r="AP24" s="714"/>
      <c r="AQ24" s="714"/>
      <c r="AR24" s="714"/>
      <c r="AS24" s="714"/>
      <c r="AT24" s="714"/>
      <c r="AU24" s="714"/>
      <c r="AV24" s="714"/>
      <c r="AW24" s="714"/>
    </row>
    <row r="25" spans="1:49" s="683" customFormat="1" x14ac:dyDescent="0.2">
      <c r="A25" s="702" t="s">
        <v>530</v>
      </c>
      <c r="B25" s="714"/>
      <c r="C25" s="714"/>
      <c r="D25" s="714"/>
      <c r="E25" s="714"/>
      <c r="F25" s="714"/>
      <c r="G25" s="714"/>
      <c r="H25" s="714"/>
      <c r="I25" s="714"/>
      <c r="J25" s="714"/>
      <c r="K25" s="714"/>
      <c r="L25" s="714"/>
      <c r="M25" s="714"/>
      <c r="N25" s="714"/>
      <c r="O25" s="714"/>
      <c r="P25" s="714"/>
      <c r="Q25" s="714"/>
      <c r="R25" s="714"/>
      <c r="S25" s="714"/>
      <c r="T25" s="714">
        <f>MEDIAN($T$16:$Y$16)</f>
        <v>4083.5</v>
      </c>
      <c r="U25" s="714">
        <f t="shared" ref="U25:AJ26" si="3">MEDIAN($T$16:$Y$16)</f>
        <v>4083.5</v>
      </c>
      <c r="V25" s="714">
        <f t="shared" si="3"/>
        <v>4083.5</v>
      </c>
      <c r="W25" s="714">
        <f t="shared" si="3"/>
        <v>4083.5</v>
      </c>
      <c r="X25" s="714">
        <f t="shared" si="3"/>
        <v>4083.5</v>
      </c>
      <c r="Y25" s="714">
        <f t="shared" si="3"/>
        <v>4083.5</v>
      </c>
      <c r="Z25" s="714"/>
      <c r="AA25" s="714"/>
      <c r="AB25" s="714"/>
      <c r="AC25" s="714"/>
      <c r="AD25" s="714"/>
      <c r="AE25" s="714"/>
      <c r="AF25" s="714"/>
      <c r="AG25" s="714"/>
      <c r="AH25" s="714"/>
      <c r="AI25" s="714"/>
      <c r="AJ25" s="714"/>
      <c r="AK25" s="714"/>
      <c r="AL25" s="714"/>
      <c r="AM25" s="714"/>
      <c r="AN25" s="714"/>
      <c r="AO25" s="714"/>
      <c r="AP25" s="714"/>
      <c r="AQ25" s="714"/>
      <c r="AR25" s="714"/>
      <c r="AS25" s="714"/>
      <c r="AT25" s="714"/>
      <c r="AU25" s="714"/>
      <c r="AV25" s="714"/>
      <c r="AW25" s="714"/>
    </row>
    <row r="26" spans="1:49" s="683" customFormat="1" x14ac:dyDescent="0.2">
      <c r="A26" s="702" t="s">
        <v>531</v>
      </c>
      <c r="B26" s="714"/>
      <c r="C26" s="714"/>
      <c r="D26" s="714"/>
      <c r="E26" s="714"/>
      <c r="F26" s="714"/>
      <c r="G26" s="714"/>
      <c r="H26" s="714"/>
      <c r="I26" s="714"/>
      <c r="J26" s="714"/>
      <c r="K26" s="714"/>
      <c r="L26" s="714"/>
      <c r="M26" s="714"/>
      <c r="N26" s="714"/>
      <c r="O26" s="714"/>
      <c r="P26" s="714"/>
      <c r="Q26" s="714"/>
      <c r="R26" s="714"/>
      <c r="S26" s="714"/>
      <c r="T26" s="714"/>
      <c r="U26" s="714"/>
      <c r="V26" s="714"/>
      <c r="W26" s="714"/>
      <c r="X26" s="714"/>
      <c r="Y26" s="714">
        <f t="shared" si="3"/>
        <v>4083.5</v>
      </c>
      <c r="Z26" s="714">
        <f t="shared" si="3"/>
        <v>4083.5</v>
      </c>
      <c r="AA26" s="714">
        <f t="shared" si="3"/>
        <v>4083.5</v>
      </c>
      <c r="AB26" s="714">
        <f t="shared" si="3"/>
        <v>4083.5</v>
      </c>
      <c r="AC26" s="714">
        <f t="shared" si="3"/>
        <v>4083.5</v>
      </c>
      <c r="AD26" s="714">
        <f t="shared" si="3"/>
        <v>4083.5</v>
      </c>
      <c r="AE26" s="714">
        <f t="shared" si="3"/>
        <v>4083.5</v>
      </c>
      <c r="AF26" s="714">
        <f t="shared" si="3"/>
        <v>4083.5</v>
      </c>
      <c r="AG26" s="714">
        <f t="shared" si="3"/>
        <v>4083.5</v>
      </c>
      <c r="AH26" s="714">
        <f t="shared" si="3"/>
        <v>4083.5</v>
      </c>
      <c r="AI26" s="714">
        <f t="shared" si="3"/>
        <v>4083.5</v>
      </c>
      <c r="AJ26" s="714">
        <f t="shared" si="3"/>
        <v>4083.5</v>
      </c>
      <c r="AK26" s="714">
        <f t="shared" ref="AK26:AW26" si="4">MEDIAN($T$16:$Y$16)</f>
        <v>4083.5</v>
      </c>
      <c r="AL26" s="714">
        <f t="shared" si="4"/>
        <v>4083.5</v>
      </c>
      <c r="AM26" s="714">
        <f t="shared" si="4"/>
        <v>4083.5</v>
      </c>
      <c r="AN26" s="714">
        <f t="shared" si="4"/>
        <v>4083.5</v>
      </c>
      <c r="AO26" s="714">
        <f t="shared" si="4"/>
        <v>4083.5</v>
      </c>
      <c r="AP26" s="714">
        <f t="shared" si="4"/>
        <v>4083.5</v>
      </c>
      <c r="AQ26" s="714">
        <f t="shared" si="4"/>
        <v>4083.5</v>
      </c>
      <c r="AR26" s="714">
        <f t="shared" si="4"/>
        <v>4083.5</v>
      </c>
      <c r="AS26" s="714">
        <f t="shared" si="4"/>
        <v>4083.5</v>
      </c>
      <c r="AT26" s="714">
        <f t="shared" si="4"/>
        <v>4083.5</v>
      </c>
      <c r="AU26" s="714">
        <f t="shared" si="4"/>
        <v>4083.5</v>
      </c>
      <c r="AV26" s="714">
        <f t="shared" si="4"/>
        <v>4083.5</v>
      </c>
      <c r="AW26" s="714">
        <f t="shared" si="4"/>
        <v>4083.5</v>
      </c>
    </row>
    <row r="27" spans="1:49" s="683" customFormat="1" x14ac:dyDescent="0.2">
      <c r="A27" s="702" t="s">
        <v>131</v>
      </c>
      <c r="B27" s="714">
        <f>MEDIAN($B$16:$M$16)</f>
        <v>1717.5</v>
      </c>
      <c r="C27" s="714">
        <f t="shared" ref="C27:N28" si="5">MEDIAN($B$16:$M$16)</f>
        <v>1717.5</v>
      </c>
      <c r="D27" s="714">
        <f t="shared" si="5"/>
        <v>1717.5</v>
      </c>
      <c r="E27" s="714">
        <f t="shared" si="5"/>
        <v>1717.5</v>
      </c>
      <c r="F27" s="714">
        <f t="shared" si="5"/>
        <v>1717.5</v>
      </c>
      <c r="G27" s="714">
        <f t="shared" si="5"/>
        <v>1717.5</v>
      </c>
      <c r="H27" s="714">
        <f t="shared" si="5"/>
        <v>1717.5</v>
      </c>
      <c r="I27" s="714">
        <f t="shared" si="5"/>
        <v>1717.5</v>
      </c>
      <c r="J27" s="714">
        <f t="shared" si="5"/>
        <v>1717.5</v>
      </c>
      <c r="K27" s="714">
        <f t="shared" si="5"/>
        <v>1717.5</v>
      </c>
      <c r="L27" s="714">
        <f t="shared" si="5"/>
        <v>1717.5</v>
      </c>
      <c r="M27" s="714">
        <f t="shared" si="5"/>
        <v>1717.5</v>
      </c>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row>
    <row r="28" spans="1:49" s="683" customFormat="1" x14ac:dyDescent="0.2">
      <c r="A28" s="702" t="s">
        <v>184</v>
      </c>
      <c r="B28" s="714"/>
      <c r="C28" s="714"/>
      <c r="D28" s="714"/>
      <c r="E28" s="714"/>
      <c r="F28" s="714"/>
      <c r="G28" s="714"/>
      <c r="H28" s="714"/>
      <c r="I28" s="714"/>
      <c r="J28" s="714"/>
      <c r="K28" s="714"/>
      <c r="L28" s="714"/>
      <c r="M28" s="714">
        <f t="shared" si="5"/>
        <v>1717.5</v>
      </c>
      <c r="N28" s="714">
        <f t="shared" si="5"/>
        <v>1717.5</v>
      </c>
      <c r="O28" s="714"/>
      <c r="P28" s="714"/>
      <c r="Q28" s="714"/>
      <c r="R28" s="714"/>
      <c r="S28" s="714"/>
      <c r="T28" s="714"/>
      <c r="U28" s="714"/>
      <c r="V28" s="714"/>
      <c r="W28" s="714"/>
      <c r="X28" s="714"/>
      <c r="Y28" s="714" t="s">
        <v>385</v>
      </c>
      <c r="Z28" s="714"/>
      <c r="AA28" s="714"/>
      <c r="AB28" s="714"/>
      <c r="AC28" s="714"/>
      <c r="AD28" s="714"/>
      <c r="AE28" s="714"/>
      <c r="AF28" s="714"/>
      <c r="AG28" s="714"/>
      <c r="AH28" s="714"/>
      <c r="AI28" s="714"/>
      <c r="AJ28" s="714"/>
      <c r="AK28" s="714"/>
      <c r="AL28" s="714"/>
      <c r="AM28" s="714"/>
      <c r="AN28" s="714"/>
      <c r="AO28" s="714"/>
      <c r="AP28" s="714"/>
      <c r="AQ28" s="714"/>
      <c r="AR28" s="714"/>
      <c r="AS28" s="714"/>
      <c r="AT28" s="714"/>
      <c r="AU28" s="714"/>
      <c r="AV28" s="714"/>
      <c r="AW28" s="714"/>
    </row>
    <row r="29" spans="1:49" s="683" customFormat="1" x14ac:dyDescent="0.2">
      <c r="A29" s="702" t="s">
        <v>318</v>
      </c>
      <c r="B29" s="714"/>
      <c r="C29" s="714"/>
      <c r="D29" s="714"/>
      <c r="E29" s="714"/>
      <c r="F29" s="714"/>
      <c r="G29" s="714"/>
      <c r="H29" s="714"/>
      <c r="I29" s="714"/>
      <c r="J29" s="714"/>
      <c r="K29" s="714"/>
      <c r="L29" s="714"/>
      <c r="M29" s="714"/>
      <c r="N29" s="714">
        <f>MEDIAN($N$16:$Y$16)</f>
        <v>3617.5</v>
      </c>
      <c r="O29" s="714">
        <f t="shared" ref="O29:AD30" si="6">MEDIAN($N$16:$Y$16)</f>
        <v>3617.5</v>
      </c>
      <c r="P29" s="714">
        <f t="shared" si="6"/>
        <v>3617.5</v>
      </c>
      <c r="Q29" s="714">
        <f t="shared" si="6"/>
        <v>3617.5</v>
      </c>
      <c r="R29" s="714">
        <f t="shared" si="6"/>
        <v>3617.5</v>
      </c>
      <c r="S29" s="714">
        <f t="shared" si="6"/>
        <v>3617.5</v>
      </c>
      <c r="T29" s="714">
        <f t="shared" si="6"/>
        <v>3617.5</v>
      </c>
      <c r="U29" s="714">
        <f t="shared" si="6"/>
        <v>3617.5</v>
      </c>
      <c r="V29" s="714">
        <f t="shared" si="6"/>
        <v>3617.5</v>
      </c>
      <c r="W29" s="714">
        <f t="shared" si="6"/>
        <v>3617.5</v>
      </c>
      <c r="X29" s="714">
        <f t="shared" si="6"/>
        <v>3617.5</v>
      </c>
      <c r="Y29" s="714">
        <f t="shared" si="6"/>
        <v>3617.5</v>
      </c>
      <c r="Z29" s="714"/>
      <c r="AA29" s="714"/>
      <c r="AB29" s="714"/>
      <c r="AC29" s="714"/>
      <c r="AD29" s="714"/>
      <c r="AE29" s="714"/>
      <c r="AF29" s="714"/>
      <c r="AG29" s="714"/>
      <c r="AH29" s="714"/>
      <c r="AI29" s="714"/>
      <c r="AJ29" s="714"/>
      <c r="AK29" s="714"/>
      <c r="AL29" s="714"/>
      <c r="AM29" s="714"/>
      <c r="AN29" s="714"/>
      <c r="AO29" s="714"/>
      <c r="AP29" s="714"/>
      <c r="AQ29" s="714"/>
      <c r="AR29" s="714"/>
      <c r="AS29" s="714"/>
      <c r="AT29" s="714"/>
      <c r="AU29" s="714"/>
      <c r="AV29" s="714"/>
      <c r="AW29" s="714"/>
    </row>
    <row r="30" spans="1:49" s="683" customFormat="1" x14ac:dyDescent="0.2">
      <c r="A30" s="702" t="s">
        <v>319</v>
      </c>
      <c r="B30" s="714"/>
      <c r="C30" s="714"/>
      <c r="D30" s="714"/>
      <c r="E30" s="714"/>
      <c r="F30" s="714"/>
      <c r="G30" s="714"/>
      <c r="H30" s="714"/>
      <c r="I30" s="714"/>
      <c r="J30" s="714"/>
      <c r="K30" s="714"/>
      <c r="L30" s="714"/>
      <c r="M30" s="714"/>
      <c r="N30" s="714"/>
      <c r="O30" s="714"/>
      <c r="P30" s="714"/>
      <c r="Q30" s="714"/>
      <c r="R30" s="714"/>
      <c r="S30" s="714"/>
      <c r="T30" s="714"/>
      <c r="U30" s="714"/>
      <c r="V30" s="714"/>
      <c r="W30" s="714"/>
      <c r="X30" s="714"/>
      <c r="Y30" s="714">
        <f t="shared" si="6"/>
        <v>3617.5</v>
      </c>
      <c r="Z30" s="714">
        <f t="shared" si="6"/>
        <v>3617.5</v>
      </c>
      <c r="AA30" s="714">
        <f t="shared" si="6"/>
        <v>3617.5</v>
      </c>
      <c r="AB30" s="714">
        <f t="shared" si="6"/>
        <v>3617.5</v>
      </c>
      <c r="AC30" s="714">
        <f t="shared" si="6"/>
        <v>3617.5</v>
      </c>
      <c r="AD30" s="714">
        <f t="shared" si="6"/>
        <v>3617.5</v>
      </c>
      <c r="AE30" s="714"/>
      <c r="AF30" s="714"/>
      <c r="AG30" s="714"/>
      <c r="AH30" s="714"/>
      <c r="AI30" s="714"/>
      <c r="AJ30" s="714"/>
      <c r="AK30" s="714"/>
      <c r="AL30" s="714"/>
      <c r="AM30" s="714"/>
      <c r="AN30" s="714"/>
      <c r="AO30" s="714"/>
      <c r="AP30" s="714"/>
      <c r="AQ30" s="714"/>
      <c r="AR30" s="714"/>
      <c r="AS30" s="714"/>
      <c r="AT30" s="714"/>
      <c r="AU30" s="714"/>
      <c r="AV30" s="714"/>
      <c r="AW30" s="714"/>
    </row>
    <row r="31" spans="1:49" s="683" customFormat="1" x14ac:dyDescent="0.2">
      <c r="A31" s="702" t="s">
        <v>320</v>
      </c>
      <c r="B31" s="714"/>
      <c r="C31" s="714"/>
      <c r="D31" s="714"/>
      <c r="E31" s="714"/>
      <c r="F31" s="714"/>
      <c r="G31" s="714"/>
      <c r="H31" s="714"/>
      <c r="I31" s="714"/>
      <c r="J31" s="714"/>
      <c r="K31" s="714"/>
      <c r="L31" s="714"/>
      <c r="M31" s="714"/>
      <c r="N31" s="714"/>
      <c r="O31" s="714"/>
      <c r="P31" s="714"/>
      <c r="Q31" s="714"/>
      <c r="R31" s="714"/>
      <c r="S31" s="714"/>
      <c r="T31" s="714"/>
      <c r="U31" s="714"/>
      <c r="V31" s="714"/>
      <c r="W31" s="714"/>
      <c r="X31" s="714"/>
      <c r="Y31" s="714"/>
      <c r="Z31" s="714"/>
      <c r="AA31" s="714"/>
      <c r="AB31" s="714"/>
      <c r="AC31" s="714"/>
      <c r="AD31" s="714"/>
      <c r="AE31" s="714"/>
      <c r="AF31" s="714"/>
      <c r="AG31" s="714"/>
      <c r="AH31" s="714"/>
      <c r="AI31" s="714"/>
      <c r="AJ31" s="714"/>
      <c r="AK31" s="714"/>
      <c r="AL31" s="714"/>
      <c r="AM31" s="714"/>
      <c r="AN31" s="714"/>
      <c r="AO31" s="714"/>
      <c r="AP31" s="714"/>
      <c r="AQ31" s="714"/>
      <c r="AR31" s="714"/>
      <c r="AS31" s="714"/>
      <c r="AT31" s="714"/>
      <c r="AU31" s="714"/>
      <c r="AV31" s="714"/>
      <c r="AW31" s="714"/>
    </row>
    <row r="32" spans="1:49" s="683" customFormat="1" x14ac:dyDescent="0.2">
      <c r="A32" s="702" t="s">
        <v>321</v>
      </c>
      <c r="B32" s="714"/>
      <c r="C32" s="714"/>
      <c r="D32" s="714"/>
      <c r="E32" s="714"/>
      <c r="F32" s="714"/>
      <c r="G32" s="714"/>
      <c r="H32" s="714"/>
      <c r="I32" s="714"/>
      <c r="J32" s="714"/>
      <c r="K32" s="714"/>
      <c r="L32" s="714"/>
      <c r="M32" s="714"/>
      <c r="N32" s="714"/>
      <c r="O32" s="714"/>
      <c r="P32" s="714"/>
      <c r="Q32" s="714"/>
      <c r="R32" s="714"/>
      <c r="S32" s="714"/>
      <c r="T32" s="714"/>
      <c r="U32" s="714"/>
      <c r="V32" s="714"/>
      <c r="W32" s="714"/>
      <c r="X32" s="714"/>
      <c r="Y32" s="714"/>
      <c r="Z32" s="714"/>
      <c r="AA32" s="714"/>
      <c r="AB32" s="714"/>
      <c r="AC32" s="714"/>
      <c r="AD32" s="714"/>
      <c r="AE32" s="714"/>
      <c r="AF32" s="714"/>
      <c r="AG32" s="714"/>
      <c r="AH32" s="714"/>
      <c r="AI32" s="714"/>
      <c r="AJ32" s="714"/>
      <c r="AK32" s="714"/>
      <c r="AL32" s="714"/>
      <c r="AM32" s="714"/>
      <c r="AN32" s="714"/>
      <c r="AO32" s="714"/>
      <c r="AP32" s="714"/>
      <c r="AQ32" s="714"/>
      <c r="AR32" s="714"/>
      <c r="AS32" s="714"/>
      <c r="AT32" s="714"/>
      <c r="AU32" s="714"/>
      <c r="AV32" s="714"/>
      <c r="AW32" s="714"/>
    </row>
    <row r="33" spans="1:49" s="683" customFormat="1" x14ac:dyDescent="0.2">
      <c r="A33" s="702" t="s">
        <v>490</v>
      </c>
      <c r="B33" s="714"/>
      <c r="C33" s="714">
        <f>(C16-B16)*-1</f>
        <v>8</v>
      </c>
      <c r="D33" s="714">
        <f t="shared" ref="D33:AA33" si="7">(D16-C16)</f>
        <v>12</v>
      </c>
      <c r="E33" s="714">
        <f t="shared" si="7"/>
        <v>127</v>
      </c>
      <c r="F33" s="714">
        <f t="shared" si="7"/>
        <v>134</v>
      </c>
      <c r="G33" s="714">
        <f t="shared" si="7"/>
        <v>131</v>
      </c>
      <c r="H33" s="714">
        <f t="shared" si="7"/>
        <v>167</v>
      </c>
      <c r="I33" s="714">
        <f t="shared" si="7"/>
        <v>238</v>
      </c>
      <c r="J33" s="714">
        <f t="shared" si="7"/>
        <v>213</v>
      </c>
      <c r="K33" s="714">
        <f t="shared" si="7"/>
        <v>79</v>
      </c>
      <c r="L33" s="714">
        <f>(L16-K16)*-1</f>
        <v>63</v>
      </c>
      <c r="M33" s="714">
        <f t="shared" si="7"/>
        <v>67</v>
      </c>
      <c r="N33" s="714">
        <f t="shared" si="7"/>
        <v>223</v>
      </c>
      <c r="O33" s="714">
        <f t="shared" si="7"/>
        <v>263</v>
      </c>
      <c r="P33" s="714">
        <f t="shared" si="7"/>
        <v>257</v>
      </c>
      <c r="Q33" s="714">
        <f t="shared" si="7"/>
        <v>4</v>
      </c>
      <c r="R33" s="714">
        <f t="shared" si="7"/>
        <v>125</v>
      </c>
      <c r="S33" s="714">
        <f t="shared" si="7"/>
        <v>284</v>
      </c>
      <c r="T33" s="714">
        <f t="shared" si="7"/>
        <v>253</v>
      </c>
      <c r="U33" s="714">
        <f t="shared" si="7"/>
        <v>192</v>
      </c>
      <c r="V33" s="714">
        <f>(V16-U16)*-1</f>
        <v>111</v>
      </c>
      <c r="W33" s="714">
        <f t="shared" si="7"/>
        <v>412</v>
      </c>
      <c r="X33" s="714">
        <f t="shared" si="7"/>
        <v>49</v>
      </c>
      <c r="Y33" s="714">
        <f>(Y16-X16)*-1</f>
        <v>55</v>
      </c>
      <c r="Z33" s="714">
        <f t="shared" si="7"/>
        <v>126</v>
      </c>
      <c r="AA33" s="714">
        <f t="shared" si="7"/>
        <v>143</v>
      </c>
      <c r="AB33" s="714">
        <f>(AB16-AA16)*-1</f>
        <v>479</v>
      </c>
      <c r="AC33" s="714">
        <f>(AC16-AB16)</f>
        <v>570</v>
      </c>
      <c r="AD33" s="714">
        <f>(AD16-AC16)*-1</f>
        <v>48</v>
      </c>
      <c r="AE33" s="714"/>
      <c r="AF33" s="714"/>
      <c r="AG33" s="714"/>
      <c r="AH33" s="714"/>
      <c r="AI33" s="714"/>
      <c r="AJ33" s="714"/>
      <c r="AK33" s="714"/>
      <c r="AL33" s="714"/>
      <c r="AM33" s="714"/>
      <c r="AN33" s="714"/>
      <c r="AO33" s="714"/>
      <c r="AP33" s="714"/>
      <c r="AQ33" s="714"/>
      <c r="AR33" s="714"/>
      <c r="AS33" s="714"/>
      <c r="AT33" s="714"/>
      <c r="AU33" s="714"/>
      <c r="AV33" s="714"/>
      <c r="AW33" s="714"/>
    </row>
    <row r="34" spans="1:49" s="683" customFormat="1" ht="42.75" x14ac:dyDescent="0.2">
      <c r="A34" s="703" t="s">
        <v>521</v>
      </c>
      <c r="B34" s="714"/>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714"/>
      <c r="AA34" s="714"/>
      <c r="AB34" s="714"/>
      <c r="AC34" s="714"/>
      <c r="AD34" s="714"/>
      <c r="AE34" s="714"/>
      <c r="AF34" s="714"/>
      <c r="AG34" s="714"/>
      <c r="AH34" s="714"/>
      <c r="AI34" s="714"/>
      <c r="AJ34" s="714"/>
      <c r="AK34" s="714"/>
      <c r="AL34" s="714"/>
      <c r="AM34" s="714"/>
      <c r="AN34" s="714"/>
      <c r="AO34" s="714"/>
      <c r="AP34" s="714"/>
      <c r="AQ34" s="714"/>
      <c r="AR34" s="714"/>
      <c r="AS34" s="714"/>
      <c r="AT34" s="714"/>
      <c r="AU34" s="714"/>
      <c r="AV34" s="714"/>
      <c r="AW34" s="714"/>
    </row>
    <row r="35" spans="1:49" s="683" customFormat="1" x14ac:dyDescent="0.2">
      <c r="A35" s="674" t="s">
        <v>492</v>
      </c>
      <c r="B35" s="714">
        <f>AVERAGE($B$16:$AW$16)</f>
        <v>2956.8965517241381</v>
      </c>
      <c r="C35" s="714">
        <f t="shared" ref="C35:AW35" si="8">AVERAGE($B$16:$AW$16)</f>
        <v>2956.8965517241381</v>
      </c>
      <c r="D35" s="714">
        <f t="shared" si="8"/>
        <v>2956.8965517241381</v>
      </c>
      <c r="E35" s="714">
        <f t="shared" si="8"/>
        <v>2956.8965517241381</v>
      </c>
      <c r="F35" s="714">
        <f t="shared" si="8"/>
        <v>2956.8965517241381</v>
      </c>
      <c r="G35" s="714">
        <f t="shared" si="8"/>
        <v>2956.8965517241381</v>
      </c>
      <c r="H35" s="714">
        <f t="shared" si="8"/>
        <v>2956.8965517241381</v>
      </c>
      <c r="I35" s="714">
        <f t="shared" si="8"/>
        <v>2956.8965517241381</v>
      </c>
      <c r="J35" s="714">
        <f t="shared" si="8"/>
        <v>2956.8965517241381</v>
      </c>
      <c r="K35" s="714">
        <f t="shared" si="8"/>
        <v>2956.8965517241381</v>
      </c>
      <c r="L35" s="714">
        <f t="shared" si="8"/>
        <v>2956.8965517241381</v>
      </c>
      <c r="M35" s="714">
        <f t="shared" si="8"/>
        <v>2956.8965517241381</v>
      </c>
      <c r="N35" s="714">
        <f t="shared" si="8"/>
        <v>2956.8965517241381</v>
      </c>
      <c r="O35" s="714">
        <f t="shared" si="8"/>
        <v>2956.8965517241381</v>
      </c>
      <c r="P35" s="714">
        <f t="shared" si="8"/>
        <v>2956.8965517241381</v>
      </c>
      <c r="Q35" s="714">
        <f t="shared" si="8"/>
        <v>2956.8965517241381</v>
      </c>
      <c r="R35" s="714">
        <f t="shared" si="8"/>
        <v>2956.8965517241381</v>
      </c>
      <c r="S35" s="714">
        <f t="shared" si="8"/>
        <v>2956.8965517241381</v>
      </c>
      <c r="T35" s="714">
        <f t="shared" si="8"/>
        <v>2956.8965517241381</v>
      </c>
      <c r="U35" s="714">
        <f t="shared" si="8"/>
        <v>2956.8965517241381</v>
      </c>
      <c r="V35" s="714">
        <f t="shared" si="8"/>
        <v>2956.8965517241381</v>
      </c>
      <c r="W35" s="714">
        <f t="shared" si="8"/>
        <v>2956.8965517241381</v>
      </c>
      <c r="X35" s="714">
        <f t="shared" si="8"/>
        <v>2956.8965517241381</v>
      </c>
      <c r="Y35" s="714">
        <f t="shared" si="8"/>
        <v>2956.8965517241381</v>
      </c>
      <c r="Z35" s="714">
        <f t="shared" si="8"/>
        <v>2956.8965517241381</v>
      </c>
      <c r="AA35" s="714">
        <f t="shared" si="8"/>
        <v>2956.8965517241381</v>
      </c>
      <c r="AB35" s="714">
        <f t="shared" si="8"/>
        <v>2956.8965517241381</v>
      </c>
      <c r="AC35" s="714">
        <f t="shared" si="8"/>
        <v>2956.8965517241381</v>
      </c>
      <c r="AD35" s="714">
        <f t="shared" si="8"/>
        <v>2956.8965517241381</v>
      </c>
      <c r="AE35" s="714">
        <f t="shared" si="8"/>
        <v>2956.8965517241381</v>
      </c>
      <c r="AF35" s="714">
        <f t="shared" si="8"/>
        <v>2956.8965517241381</v>
      </c>
      <c r="AG35" s="714">
        <f t="shared" si="8"/>
        <v>2956.8965517241381</v>
      </c>
      <c r="AH35" s="714">
        <f t="shared" si="8"/>
        <v>2956.8965517241381</v>
      </c>
      <c r="AI35" s="714">
        <f t="shared" si="8"/>
        <v>2956.8965517241381</v>
      </c>
      <c r="AJ35" s="714">
        <f t="shared" si="8"/>
        <v>2956.8965517241381</v>
      </c>
      <c r="AK35" s="714">
        <f t="shared" si="8"/>
        <v>2956.8965517241381</v>
      </c>
      <c r="AL35" s="714">
        <f t="shared" si="8"/>
        <v>2956.8965517241381</v>
      </c>
      <c r="AM35" s="714">
        <f t="shared" si="8"/>
        <v>2956.8965517241381</v>
      </c>
      <c r="AN35" s="714">
        <f t="shared" si="8"/>
        <v>2956.8965517241381</v>
      </c>
      <c r="AO35" s="714">
        <f t="shared" si="8"/>
        <v>2956.8965517241381</v>
      </c>
      <c r="AP35" s="714">
        <f t="shared" si="8"/>
        <v>2956.8965517241381</v>
      </c>
      <c r="AQ35" s="714">
        <f t="shared" si="8"/>
        <v>2956.8965517241381</v>
      </c>
      <c r="AR35" s="714">
        <f t="shared" si="8"/>
        <v>2956.8965517241381</v>
      </c>
      <c r="AS35" s="714">
        <f t="shared" si="8"/>
        <v>2956.8965517241381</v>
      </c>
      <c r="AT35" s="714">
        <f t="shared" si="8"/>
        <v>2956.8965517241381</v>
      </c>
      <c r="AU35" s="714">
        <f t="shared" si="8"/>
        <v>2956.8965517241381</v>
      </c>
      <c r="AV35" s="714">
        <f t="shared" si="8"/>
        <v>2956.8965517241381</v>
      </c>
      <c r="AW35" s="714">
        <f t="shared" si="8"/>
        <v>2956.8965517241381</v>
      </c>
    </row>
    <row r="36" spans="1:49" s="683" customFormat="1" x14ac:dyDescent="0.2">
      <c r="A36" s="702" t="s">
        <v>491</v>
      </c>
      <c r="B36" s="714">
        <f>SUM(C33:AW33)/COUNT(C33:AW33)</f>
        <v>172.60714285714286</v>
      </c>
      <c r="C36" s="714"/>
      <c r="D36" s="714"/>
      <c r="E36" s="714"/>
      <c r="F36" s="714"/>
      <c r="G36" s="714"/>
      <c r="H36" s="714"/>
      <c r="I36" s="714"/>
      <c r="J36" s="714"/>
      <c r="K36" s="714"/>
      <c r="L36" s="714"/>
      <c r="M36" s="714"/>
      <c r="N36" s="714"/>
      <c r="O36" s="714"/>
      <c r="P36" s="714"/>
      <c r="Q36" s="714"/>
      <c r="R36" s="714"/>
      <c r="S36" s="714"/>
      <c r="T36" s="714"/>
      <c r="U36" s="714"/>
      <c r="V36" s="714"/>
      <c r="W36" s="714"/>
      <c r="X36" s="714"/>
      <c r="Y36" s="714"/>
      <c r="Z36" s="714"/>
      <c r="AA36" s="714"/>
      <c r="AB36" s="714"/>
      <c r="AC36" s="714"/>
      <c r="AD36" s="714"/>
      <c r="AE36" s="714"/>
      <c r="AF36" s="714"/>
      <c r="AG36" s="714"/>
      <c r="AH36" s="714"/>
      <c r="AI36" s="714"/>
      <c r="AJ36" s="714"/>
      <c r="AK36" s="714"/>
      <c r="AL36" s="714"/>
      <c r="AM36" s="714"/>
      <c r="AN36" s="714"/>
      <c r="AO36" s="714"/>
      <c r="AP36" s="714"/>
      <c r="AQ36" s="714"/>
      <c r="AR36" s="714"/>
      <c r="AS36" s="714"/>
      <c r="AT36" s="714"/>
      <c r="AU36" s="714"/>
      <c r="AV36" s="714"/>
      <c r="AW36" s="714"/>
    </row>
    <row r="37" spans="1:49" s="683" customFormat="1" ht="25.5" x14ac:dyDescent="0.2">
      <c r="A37" s="702" t="s">
        <v>494</v>
      </c>
      <c r="B37" s="714">
        <f>B36/1.128</f>
        <v>153.02051671732525</v>
      </c>
      <c r="C37" s="714"/>
      <c r="D37" s="714"/>
      <c r="E37" s="714"/>
      <c r="F37" s="714"/>
      <c r="G37" s="714"/>
      <c r="H37" s="714"/>
      <c r="I37" s="714"/>
      <c r="J37" s="714"/>
      <c r="K37" s="714"/>
      <c r="L37" s="714"/>
      <c r="M37" s="714"/>
      <c r="N37" s="714"/>
      <c r="O37" s="714"/>
      <c r="P37" s="714"/>
      <c r="Q37" s="714"/>
      <c r="R37" s="714"/>
      <c r="S37" s="714"/>
      <c r="T37" s="714"/>
      <c r="U37" s="714"/>
      <c r="V37" s="714"/>
      <c r="W37" s="714"/>
      <c r="X37" s="714"/>
      <c r="Y37" s="714"/>
      <c r="Z37" s="714"/>
      <c r="AA37" s="714"/>
      <c r="AB37" s="714"/>
      <c r="AC37" s="714"/>
      <c r="AD37" s="714"/>
      <c r="AE37" s="714"/>
      <c r="AF37" s="714"/>
      <c r="AG37" s="714"/>
      <c r="AH37" s="714"/>
      <c r="AI37" s="714"/>
      <c r="AJ37" s="714"/>
      <c r="AK37" s="714"/>
      <c r="AL37" s="714"/>
      <c r="AM37" s="714"/>
      <c r="AN37" s="714"/>
      <c r="AO37" s="714"/>
      <c r="AP37" s="714"/>
      <c r="AQ37" s="714"/>
      <c r="AR37" s="714"/>
      <c r="AS37" s="714"/>
      <c r="AT37" s="714"/>
      <c r="AU37" s="714"/>
      <c r="AV37" s="714"/>
      <c r="AW37" s="714"/>
    </row>
    <row r="38" spans="1:49" s="683" customFormat="1" x14ac:dyDescent="0.2">
      <c r="A38" s="702" t="s">
        <v>497</v>
      </c>
      <c r="B38" s="714">
        <f>$B$35+(3*$B$37)</f>
        <v>3415.9581018761137</v>
      </c>
      <c r="C38" s="714">
        <f t="shared" ref="C38:AW38" si="9">$B$35+(3*$B$37)</f>
        <v>3415.9581018761137</v>
      </c>
      <c r="D38" s="714">
        <f t="shared" si="9"/>
        <v>3415.9581018761137</v>
      </c>
      <c r="E38" s="714">
        <f t="shared" si="9"/>
        <v>3415.9581018761137</v>
      </c>
      <c r="F38" s="714">
        <f t="shared" si="9"/>
        <v>3415.9581018761137</v>
      </c>
      <c r="G38" s="714">
        <f t="shared" si="9"/>
        <v>3415.9581018761137</v>
      </c>
      <c r="H38" s="714">
        <f t="shared" si="9"/>
        <v>3415.9581018761137</v>
      </c>
      <c r="I38" s="714">
        <f t="shared" si="9"/>
        <v>3415.9581018761137</v>
      </c>
      <c r="J38" s="714">
        <f t="shared" si="9"/>
        <v>3415.9581018761137</v>
      </c>
      <c r="K38" s="714">
        <f t="shared" si="9"/>
        <v>3415.9581018761137</v>
      </c>
      <c r="L38" s="714">
        <f t="shared" si="9"/>
        <v>3415.9581018761137</v>
      </c>
      <c r="M38" s="714">
        <f t="shared" si="9"/>
        <v>3415.9581018761137</v>
      </c>
      <c r="N38" s="714">
        <f t="shared" si="9"/>
        <v>3415.9581018761137</v>
      </c>
      <c r="O38" s="714">
        <f t="shared" si="9"/>
        <v>3415.9581018761137</v>
      </c>
      <c r="P38" s="714">
        <f t="shared" si="9"/>
        <v>3415.9581018761137</v>
      </c>
      <c r="Q38" s="714">
        <f t="shared" si="9"/>
        <v>3415.9581018761137</v>
      </c>
      <c r="R38" s="714">
        <f t="shared" si="9"/>
        <v>3415.9581018761137</v>
      </c>
      <c r="S38" s="714">
        <f t="shared" si="9"/>
        <v>3415.9581018761137</v>
      </c>
      <c r="T38" s="714">
        <f t="shared" si="9"/>
        <v>3415.9581018761137</v>
      </c>
      <c r="U38" s="714">
        <f t="shared" si="9"/>
        <v>3415.9581018761137</v>
      </c>
      <c r="V38" s="714">
        <f t="shared" si="9"/>
        <v>3415.9581018761137</v>
      </c>
      <c r="W38" s="714">
        <f t="shared" si="9"/>
        <v>3415.9581018761137</v>
      </c>
      <c r="X38" s="714">
        <f t="shared" si="9"/>
        <v>3415.9581018761137</v>
      </c>
      <c r="Y38" s="714">
        <f t="shared" si="9"/>
        <v>3415.9581018761137</v>
      </c>
      <c r="Z38" s="714">
        <f t="shared" si="9"/>
        <v>3415.9581018761137</v>
      </c>
      <c r="AA38" s="714">
        <f t="shared" si="9"/>
        <v>3415.9581018761137</v>
      </c>
      <c r="AB38" s="714">
        <f t="shared" si="9"/>
        <v>3415.9581018761137</v>
      </c>
      <c r="AC38" s="714">
        <f t="shared" si="9"/>
        <v>3415.9581018761137</v>
      </c>
      <c r="AD38" s="714">
        <f t="shared" si="9"/>
        <v>3415.9581018761137</v>
      </c>
      <c r="AE38" s="714">
        <f t="shared" si="9"/>
        <v>3415.9581018761137</v>
      </c>
      <c r="AF38" s="714">
        <f t="shared" si="9"/>
        <v>3415.9581018761137</v>
      </c>
      <c r="AG38" s="714">
        <f t="shared" si="9"/>
        <v>3415.9581018761137</v>
      </c>
      <c r="AH38" s="714">
        <f t="shared" si="9"/>
        <v>3415.9581018761137</v>
      </c>
      <c r="AI38" s="714">
        <f t="shared" si="9"/>
        <v>3415.9581018761137</v>
      </c>
      <c r="AJ38" s="714">
        <f t="shared" si="9"/>
        <v>3415.9581018761137</v>
      </c>
      <c r="AK38" s="714">
        <f t="shared" si="9"/>
        <v>3415.9581018761137</v>
      </c>
      <c r="AL38" s="714">
        <f t="shared" si="9"/>
        <v>3415.9581018761137</v>
      </c>
      <c r="AM38" s="714">
        <f t="shared" si="9"/>
        <v>3415.9581018761137</v>
      </c>
      <c r="AN38" s="714">
        <f t="shared" si="9"/>
        <v>3415.9581018761137</v>
      </c>
      <c r="AO38" s="714">
        <f t="shared" si="9"/>
        <v>3415.9581018761137</v>
      </c>
      <c r="AP38" s="714">
        <f t="shared" si="9"/>
        <v>3415.9581018761137</v>
      </c>
      <c r="AQ38" s="714">
        <f t="shared" si="9"/>
        <v>3415.9581018761137</v>
      </c>
      <c r="AR38" s="714">
        <f t="shared" si="9"/>
        <v>3415.9581018761137</v>
      </c>
      <c r="AS38" s="714">
        <f t="shared" si="9"/>
        <v>3415.9581018761137</v>
      </c>
      <c r="AT38" s="714">
        <f t="shared" si="9"/>
        <v>3415.9581018761137</v>
      </c>
      <c r="AU38" s="714">
        <f t="shared" si="9"/>
        <v>3415.9581018761137</v>
      </c>
      <c r="AV38" s="714">
        <f t="shared" si="9"/>
        <v>3415.9581018761137</v>
      </c>
      <c r="AW38" s="714">
        <f t="shared" si="9"/>
        <v>3415.9581018761137</v>
      </c>
    </row>
    <row r="39" spans="1:49" s="683" customFormat="1" x14ac:dyDescent="0.2">
      <c r="A39" s="702" t="s">
        <v>499</v>
      </c>
      <c r="B39" s="714">
        <f>$B$35-(3*$B$37)</f>
        <v>2497.8350015721626</v>
      </c>
      <c r="C39" s="714">
        <f t="shared" ref="C39:AW39" si="10">$B$35-(3*$B$37)</f>
        <v>2497.8350015721626</v>
      </c>
      <c r="D39" s="714">
        <f t="shared" si="10"/>
        <v>2497.8350015721626</v>
      </c>
      <c r="E39" s="714">
        <f t="shared" si="10"/>
        <v>2497.8350015721626</v>
      </c>
      <c r="F39" s="714">
        <f t="shared" si="10"/>
        <v>2497.8350015721626</v>
      </c>
      <c r="G39" s="714">
        <f t="shared" si="10"/>
        <v>2497.8350015721626</v>
      </c>
      <c r="H39" s="714">
        <f t="shared" si="10"/>
        <v>2497.8350015721626</v>
      </c>
      <c r="I39" s="714">
        <f t="shared" si="10"/>
        <v>2497.8350015721626</v>
      </c>
      <c r="J39" s="714">
        <f t="shared" si="10"/>
        <v>2497.8350015721626</v>
      </c>
      <c r="K39" s="714">
        <f t="shared" si="10"/>
        <v>2497.8350015721626</v>
      </c>
      <c r="L39" s="714">
        <f t="shared" si="10"/>
        <v>2497.8350015721626</v>
      </c>
      <c r="M39" s="714">
        <f t="shared" si="10"/>
        <v>2497.8350015721626</v>
      </c>
      <c r="N39" s="714">
        <f t="shared" si="10"/>
        <v>2497.8350015721626</v>
      </c>
      <c r="O39" s="714">
        <f t="shared" si="10"/>
        <v>2497.8350015721626</v>
      </c>
      <c r="P39" s="714">
        <f t="shared" si="10"/>
        <v>2497.8350015721626</v>
      </c>
      <c r="Q39" s="714">
        <f t="shared" si="10"/>
        <v>2497.8350015721626</v>
      </c>
      <c r="R39" s="714">
        <f t="shared" si="10"/>
        <v>2497.8350015721626</v>
      </c>
      <c r="S39" s="714">
        <f t="shared" si="10"/>
        <v>2497.8350015721626</v>
      </c>
      <c r="T39" s="714">
        <f t="shared" si="10"/>
        <v>2497.8350015721626</v>
      </c>
      <c r="U39" s="714">
        <f t="shared" si="10"/>
        <v>2497.8350015721626</v>
      </c>
      <c r="V39" s="714">
        <f t="shared" si="10"/>
        <v>2497.8350015721626</v>
      </c>
      <c r="W39" s="714">
        <f t="shared" si="10"/>
        <v>2497.8350015721626</v>
      </c>
      <c r="X39" s="714">
        <f t="shared" si="10"/>
        <v>2497.8350015721626</v>
      </c>
      <c r="Y39" s="714">
        <f t="shared" si="10"/>
        <v>2497.8350015721626</v>
      </c>
      <c r="Z39" s="714">
        <f t="shared" si="10"/>
        <v>2497.8350015721626</v>
      </c>
      <c r="AA39" s="714">
        <f t="shared" si="10"/>
        <v>2497.8350015721626</v>
      </c>
      <c r="AB39" s="714">
        <f t="shared" si="10"/>
        <v>2497.8350015721626</v>
      </c>
      <c r="AC39" s="714">
        <f t="shared" si="10"/>
        <v>2497.8350015721626</v>
      </c>
      <c r="AD39" s="714">
        <f t="shared" si="10"/>
        <v>2497.8350015721626</v>
      </c>
      <c r="AE39" s="714">
        <f t="shared" si="10"/>
        <v>2497.8350015721626</v>
      </c>
      <c r="AF39" s="714">
        <f t="shared" si="10"/>
        <v>2497.8350015721626</v>
      </c>
      <c r="AG39" s="714">
        <f t="shared" si="10"/>
        <v>2497.8350015721626</v>
      </c>
      <c r="AH39" s="714">
        <f t="shared" si="10"/>
        <v>2497.8350015721626</v>
      </c>
      <c r="AI39" s="714">
        <f t="shared" si="10"/>
        <v>2497.8350015721626</v>
      </c>
      <c r="AJ39" s="714">
        <f t="shared" si="10"/>
        <v>2497.8350015721626</v>
      </c>
      <c r="AK39" s="714">
        <f t="shared" si="10"/>
        <v>2497.8350015721626</v>
      </c>
      <c r="AL39" s="714">
        <f t="shared" si="10"/>
        <v>2497.8350015721626</v>
      </c>
      <c r="AM39" s="714">
        <f t="shared" si="10"/>
        <v>2497.8350015721626</v>
      </c>
      <c r="AN39" s="714">
        <f t="shared" si="10"/>
        <v>2497.8350015721626</v>
      </c>
      <c r="AO39" s="714">
        <f t="shared" si="10"/>
        <v>2497.8350015721626</v>
      </c>
      <c r="AP39" s="714">
        <f t="shared" si="10"/>
        <v>2497.8350015721626</v>
      </c>
      <c r="AQ39" s="714">
        <f t="shared" si="10"/>
        <v>2497.8350015721626</v>
      </c>
      <c r="AR39" s="714">
        <f t="shared" si="10"/>
        <v>2497.8350015721626</v>
      </c>
      <c r="AS39" s="714">
        <f t="shared" si="10"/>
        <v>2497.8350015721626</v>
      </c>
      <c r="AT39" s="714">
        <f t="shared" si="10"/>
        <v>2497.8350015721626</v>
      </c>
      <c r="AU39" s="714">
        <f t="shared" si="10"/>
        <v>2497.8350015721626</v>
      </c>
      <c r="AV39" s="714">
        <f t="shared" si="10"/>
        <v>2497.8350015721626</v>
      </c>
      <c r="AW39" s="714">
        <f t="shared" si="10"/>
        <v>2497.8350015721626</v>
      </c>
    </row>
    <row r="40" spans="1:49" s="683" customFormat="1" ht="25.5" x14ac:dyDescent="0.2">
      <c r="A40" s="693" t="s">
        <v>513</v>
      </c>
      <c r="B40" s="714"/>
      <c r="C40" s="714"/>
      <c r="D40" s="714"/>
      <c r="E40" s="714"/>
      <c r="F40" s="714"/>
      <c r="G40" s="714"/>
      <c r="H40" s="714"/>
      <c r="I40" s="714"/>
      <c r="J40" s="714"/>
      <c r="K40" s="714"/>
      <c r="L40" s="714"/>
      <c r="M40" s="714"/>
      <c r="N40" s="714"/>
      <c r="O40" s="714"/>
      <c r="P40" s="714"/>
      <c r="Q40" s="714"/>
      <c r="R40" s="714"/>
      <c r="S40" s="714"/>
      <c r="T40" s="714"/>
      <c r="U40" s="714"/>
      <c r="V40" s="714"/>
      <c r="W40" s="714"/>
      <c r="X40" s="714"/>
      <c r="Y40" s="714"/>
      <c r="Z40" s="714"/>
      <c r="AA40" s="714"/>
      <c r="AB40" s="714"/>
      <c r="AC40" s="714"/>
      <c r="AD40" s="714"/>
      <c r="AE40" s="714"/>
      <c r="AF40" s="714"/>
      <c r="AG40" s="714"/>
      <c r="AH40" s="714"/>
      <c r="AI40" s="714"/>
      <c r="AJ40" s="714"/>
      <c r="AK40" s="714"/>
      <c r="AL40" s="714"/>
      <c r="AM40" s="714"/>
      <c r="AN40" s="714"/>
      <c r="AO40" s="714"/>
      <c r="AP40" s="714"/>
      <c r="AQ40" s="714"/>
      <c r="AR40" s="714"/>
      <c r="AS40" s="714"/>
      <c r="AT40" s="714"/>
      <c r="AU40" s="714"/>
      <c r="AV40" s="714"/>
      <c r="AW40" s="714"/>
    </row>
    <row r="41" spans="1:49" s="683" customFormat="1" x14ac:dyDescent="0.2">
      <c r="A41" s="683" t="s">
        <v>16</v>
      </c>
      <c r="B41" s="707">
        <v>0</v>
      </c>
      <c r="C41" s="707">
        <v>0</v>
      </c>
      <c r="D41" s="707">
        <v>0</v>
      </c>
      <c r="E41" s="707">
        <v>0</v>
      </c>
      <c r="F41" s="707">
        <v>0</v>
      </c>
      <c r="G41" s="707">
        <v>0</v>
      </c>
      <c r="H41" s="707">
        <v>0</v>
      </c>
      <c r="I41" s="707">
        <v>0</v>
      </c>
      <c r="J41" s="707">
        <v>0</v>
      </c>
      <c r="K41" s="707">
        <v>0</v>
      </c>
      <c r="L41" s="707">
        <v>0</v>
      </c>
      <c r="M41" s="707">
        <v>0</v>
      </c>
      <c r="N41" s="707">
        <v>0</v>
      </c>
      <c r="O41" s="707">
        <v>0</v>
      </c>
      <c r="P41" s="707">
        <v>0</v>
      </c>
      <c r="Q41" s="707">
        <v>0</v>
      </c>
      <c r="R41" s="707">
        <v>0</v>
      </c>
      <c r="S41" s="707">
        <v>0</v>
      </c>
      <c r="T41" s="707">
        <v>0</v>
      </c>
      <c r="U41" s="707">
        <v>0</v>
      </c>
      <c r="V41" s="707">
        <v>0</v>
      </c>
      <c r="W41" s="707">
        <v>0</v>
      </c>
      <c r="X41" s="707">
        <v>0</v>
      </c>
      <c r="Y41" s="707">
        <v>0</v>
      </c>
      <c r="Z41" s="707">
        <v>0</v>
      </c>
      <c r="AA41" s="707">
        <v>0</v>
      </c>
      <c r="AB41" s="707">
        <v>0</v>
      </c>
      <c r="AC41" s="707">
        <v>0</v>
      </c>
      <c r="AD41" s="707">
        <v>0</v>
      </c>
      <c r="AE41" s="707">
        <v>0</v>
      </c>
      <c r="AF41" s="707">
        <v>0</v>
      </c>
      <c r="AG41" s="707">
        <v>0</v>
      </c>
      <c r="AH41" s="707">
        <v>0</v>
      </c>
      <c r="AI41" s="707">
        <v>0</v>
      </c>
      <c r="AJ41" s="707">
        <v>0</v>
      </c>
      <c r="AK41" s="707">
        <v>0</v>
      </c>
      <c r="AL41" s="707">
        <v>0</v>
      </c>
      <c r="AM41" s="707">
        <v>0</v>
      </c>
      <c r="AN41" s="707">
        <v>0</v>
      </c>
      <c r="AO41" s="707">
        <v>0</v>
      </c>
      <c r="AP41" s="707">
        <v>0</v>
      </c>
      <c r="AQ41" s="707">
        <v>0</v>
      </c>
      <c r="AR41" s="707">
        <v>0</v>
      </c>
      <c r="AS41" s="707">
        <v>0</v>
      </c>
      <c r="AT41" s="707">
        <v>0</v>
      </c>
      <c r="AU41" s="707">
        <v>0</v>
      </c>
      <c r="AV41" s="707">
        <v>0</v>
      </c>
      <c r="AW41" s="707">
        <v>0</v>
      </c>
    </row>
    <row r="42" spans="1:49" x14ac:dyDescent="0.2">
      <c r="A42" s="269"/>
      <c r="B42" s="329"/>
      <c r="C42" s="329"/>
      <c r="D42" s="329"/>
      <c r="E42" s="329"/>
      <c r="F42" s="329"/>
      <c r="G42" s="329"/>
      <c r="H42" s="329"/>
      <c r="I42" s="329"/>
      <c r="J42" s="329"/>
      <c r="K42" s="329"/>
      <c r="L42" s="329"/>
      <c r="M42" s="329"/>
      <c r="N42" s="329"/>
      <c r="O42" s="329"/>
      <c r="P42" s="329"/>
      <c r="Q42" s="329"/>
      <c r="R42" s="329"/>
      <c r="S42" s="329"/>
      <c r="T42" s="329"/>
      <c r="U42" s="329"/>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329"/>
      <c r="AT42" s="329"/>
      <c r="AU42" s="329"/>
      <c r="AV42" s="329"/>
      <c r="AW42" s="329"/>
    </row>
    <row r="43" spans="1:49" x14ac:dyDescent="0.2">
      <c r="A43" s="554" t="s">
        <v>474</v>
      </c>
      <c r="M43" s="137"/>
      <c r="O43" s="598"/>
      <c r="P43" s="598"/>
      <c r="Q43" s="598"/>
      <c r="R43" s="598"/>
      <c r="S43" s="598"/>
      <c r="T43" s="598"/>
      <c r="U43" s="598"/>
      <c r="V43" s="598"/>
      <c r="W43" s="598"/>
      <c r="X43" s="598"/>
      <c r="Y43" s="598"/>
      <c r="Z43" s="598"/>
      <c r="AA43" s="598"/>
      <c r="AB43" s="598"/>
      <c r="AD43" s="137" t="s">
        <v>648</v>
      </c>
      <c r="AS43" s="137" t="s">
        <v>647</v>
      </c>
    </row>
    <row r="67" spans="1:49" x14ac:dyDescent="0.2">
      <c r="A67" s="619"/>
    </row>
    <row r="68" spans="1:49" x14ac:dyDescent="0.2">
      <c r="A68" s="622"/>
    </row>
    <row r="69" spans="1:49" x14ac:dyDescent="0.2">
      <c r="A69" s="137" t="s">
        <v>538</v>
      </c>
      <c r="B69" s="124">
        <v>42095</v>
      </c>
      <c r="C69" s="124">
        <v>42125</v>
      </c>
      <c r="D69" s="124">
        <v>42156</v>
      </c>
      <c r="E69" s="124">
        <v>42186</v>
      </c>
      <c r="F69" s="124">
        <v>42217</v>
      </c>
      <c r="G69" s="124">
        <v>42248</v>
      </c>
      <c r="H69" s="124">
        <v>42278</v>
      </c>
      <c r="I69" s="124">
        <v>42309</v>
      </c>
      <c r="J69" s="124">
        <v>42339</v>
      </c>
      <c r="K69" s="124">
        <v>42370</v>
      </c>
      <c r="L69" s="124">
        <v>42401</v>
      </c>
      <c r="M69" s="124">
        <v>42430</v>
      </c>
      <c r="N69" s="124">
        <v>42461</v>
      </c>
      <c r="O69" s="124">
        <v>42491</v>
      </c>
      <c r="P69" s="124">
        <v>42522</v>
      </c>
      <c r="Q69" s="124">
        <v>42552</v>
      </c>
      <c r="R69" s="124">
        <v>42583</v>
      </c>
      <c r="S69" s="124">
        <v>42614</v>
      </c>
      <c r="T69" s="124">
        <v>42644</v>
      </c>
      <c r="U69" s="124">
        <v>42675</v>
      </c>
      <c r="V69" s="124">
        <v>42705</v>
      </c>
      <c r="W69" s="124">
        <v>42736</v>
      </c>
      <c r="X69" s="124">
        <v>42767</v>
      </c>
      <c r="Y69" s="124">
        <v>42795</v>
      </c>
      <c r="Z69" s="124">
        <v>42826</v>
      </c>
      <c r="AA69" s="152">
        <v>42856</v>
      </c>
      <c r="AB69" s="124">
        <v>42887</v>
      </c>
      <c r="AC69" s="152">
        <v>42917</v>
      </c>
      <c r="AD69" s="124">
        <v>42948</v>
      </c>
      <c r="AE69" s="146"/>
      <c r="AF69" s="146"/>
      <c r="AG69" s="146"/>
      <c r="AH69" s="146"/>
      <c r="AI69" s="146"/>
      <c r="AJ69" s="146"/>
      <c r="AK69" s="146"/>
      <c r="AL69" s="146"/>
      <c r="AM69" s="146"/>
      <c r="AN69" s="146"/>
      <c r="AO69" s="146"/>
      <c r="AP69" s="146"/>
      <c r="AQ69" s="146"/>
      <c r="AR69" s="146"/>
      <c r="AS69" s="146"/>
      <c r="AT69" s="146"/>
      <c r="AU69" s="146"/>
      <c r="AV69" s="146"/>
      <c r="AW69" s="146"/>
    </row>
    <row r="70" spans="1:49" x14ac:dyDescent="0.2">
      <c r="A70" s="203" t="s">
        <v>544</v>
      </c>
      <c r="B70" s="513">
        <v>323</v>
      </c>
      <c r="C70" s="513">
        <v>352</v>
      </c>
      <c r="D70" s="513">
        <v>338</v>
      </c>
      <c r="E70" s="513">
        <v>434</v>
      </c>
      <c r="F70" s="513">
        <v>492</v>
      </c>
      <c r="G70" s="513">
        <v>511</v>
      </c>
      <c r="H70" s="513">
        <v>562</v>
      </c>
      <c r="I70" s="513">
        <v>708</v>
      </c>
      <c r="J70" s="513">
        <v>874</v>
      </c>
      <c r="K70" s="513">
        <v>1020</v>
      </c>
      <c r="L70" s="513">
        <v>1088</v>
      </c>
      <c r="M70" s="513">
        <v>1198</v>
      </c>
      <c r="N70" s="513">
        <v>1328</v>
      </c>
      <c r="O70" s="513">
        <v>1456</v>
      </c>
      <c r="P70" s="513">
        <v>1449.81318681318</v>
      </c>
      <c r="Q70" s="513">
        <v>1767</v>
      </c>
      <c r="R70" s="513">
        <v>1793</v>
      </c>
      <c r="S70" s="513">
        <v>1895</v>
      </c>
      <c r="T70" s="513">
        <v>2048</v>
      </c>
      <c r="U70" s="513">
        <v>2188</v>
      </c>
      <c r="V70" s="513">
        <v>2213</v>
      </c>
      <c r="W70" s="513">
        <v>2425</v>
      </c>
      <c r="X70" s="513">
        <v>2473</v>
      </c>
      <c r="Y70" s="513">
        <v>2483</v>
      </c>
      <c r="Z70" s="513">
        <v>2557</v>
      </c>
      <c r="AA70" s="514">
        <v>2625</v>
      </c>
      <c r="AB70" s="513">
        <v>2535</v>
      </c>
      <c r="AC70" s="513">
        <v>2601</v>
      </c>
      <c r="AD70" s="513">
        <v>2575</v>
      </c>
      <c r="AE70" s="513"/>
      <c r="AF70" s="513"/>
      <c r="AG70" s="513"/>
      <c r="AH70" s="513"/>
      <c r="AI70" s="513"/>
      <c r="AJ70" s="513"/>
      <c r="AK70" s="513"/>
      <c r="AL70" s="513"/>
      <c r="AM70" s="513"/>
      <c r="AN70" s="513"/>
      <c r="AO70" s="513"/>
      <c r="AP70" s="513"/>
      <c r="AQ70" s="513"/>
      <c r="AR70" s="513"/>
      <c r="AS70" s="513"/>
      <c r="AT70" s="513"/>
      <c r="AU70" s="513"/>
      <c r="AV70" s="513"/>
      <c r="AW70" s="513"/>
    </row>
    <row r="71" spans="1:49" x14ac:dyDescent="0.2">
      <c r="A71" s="203" t="s">
        <v>545</v>
      </c>
      <c r="B71" s="513">
        <v>50</v>
      </c>
      <c r="C71" s="513">
        <v>28</v>
      </c>
      <c r="D71" s="513">
        <v>33</v>
      </c>
      <c r="E71" s="513">
        <v>61</v>
      </c>
      <c r="F71" s="513">
        <v>76</v>
      </c>
      <c r="G71" s="513">
        <v>161</v>
      </c>
      <c r="H71" s="513">
        <v>129</v>
      </c>
      <c r="I71" s="513">
        <v>153</v>
      </c>
      <c r="J71" s="513">
        <v>166</v>
      </c>
      <c r="K71" s="513">
        <v>109</v>
      </c>
      <c r="L71" s="513">
        <v>38</v>
      </c>
      <c r="M71" s="513">
        <v>16</v>
      </c>
      <c r="N71" s="513">
        <v>13</v>
      </c>
      <c r="O71" s="513">
        <v>7</v>
      </c>
      <c r="P71" s="513">
        <v>12</v>
      </c>
      <c r="Q71" s="513">
        <v>12</v>
      </c>
      <c r="R71" s="513">
        <v>12</v>
      </c>
      <c r="S71" s="513">
        <v>35</v>
      </c>
      <c r="T71" s="513">
        <v>127</v>
      </c>
      <c r="U71" s="513">
        <v>181</v>
      </c>
      <c r="V71" s="513">
        <v>159</v>
      </c>
      <c r="W71" s="513">
        <v>242</v>
      </c>
      <c r="X71" s="513">
        <v>239</v>
      </c>
      <c r="Y71" s="513">
        <v>231</v>
      </c>
      <c r="Z71" s="513">
        <v>294</v>
      </c>
      <c r="AA71" s="514">
        <v>322</v>
      </c>
      <c r="AB71" s="513">
        <v>373</v>
      </c>
      <c r="AC71" s="513">
        <v>362</v>
      </c>
      <c r="AD71" s="513">
        <v>379</v>
      </c>
      <c r="AE71" s="513"/>
      <c r="AF71" s="513"/>
      <c r="AG71" s="513"/>
      <c r="AH71" s="513"/>
      <c r="AI71" s="513"/>
      <c r="AJ71" s="513"/>
      <c r="AK71" s="513"/>
      <c r="AL71" s="513"/>
      <c r="AM71" s="513"/>
      <c r="AN71" s="513"/>
      <c r="AO71" s="513"/>
      <c r="AP71" s="513"/>
      <c r="AQ71" s="513"/>
      <c r="AR71" s="513"/>
      <c r="AS71" s="513"/>
      <c r="AT71" s="513"/>
      <c r="AU71" s="513"/>
      <c r="AV71" s="513"/>
      <c r="AW71" s="513"/>
    </row>
    <row r="72" spans="1:49" x14ac:dyDescent="0.2">
      <c r="A72" s="203" t="s">
        <v>546</v>
      </c>
      <c r="B72" s="513">
        <v>68</v>
      </c>
      <c r="C72" s="513">
        <v>74</v>
      </c>
      <c r="D72" s="513">
        <v>78</v>
      </c>
      <c r="E72" s="513">
        <v>96</v>
      </c>
      <c r="F72" s="513">
        <v>102</v>
      </c>
      <c r="G72" s="513">
        <v>112</v>
      </c>
      <c r="H72" s="513">
        <v>117</v>
      </c>
      <c r="I72" s="513">
        <v>131</v>
      </c>
      <c r="J72" s="513">
        <v>141</v>
      </c>
      <c r="K72" s="515">
        <v>153</v>
      </c>
      <c r="L72" s="515">
        <v>156</v>
      </c>
      <c r="M72" s="515">
        <v>162</v>
      </c>
      <c r="N72" s="515">
        <v>174</v>
      </c>
      <c r="O72" s="515">
        <v>183</v>
      </c>
      <c r="P72" s="515">
        <v>198</v>
      </c>
      <c r="Q72" s="515">
        <v>196</v>
      </c>
      <c r="R72" s="515">
        <v>190</v>
      </c>
      <c r="S72" s="515">
        <v>206</v>
      </c>
      <c r="T72" s="515">
        <v>213</v>
      </c>
      <c r="U72" s="515">
        <v>214</v>
      </c>
      <c r="V72" s="515">
        <v>205</v>
      </c>
      <c r="W72" s="516">
        <v>225</v>
      </c>
      <c r="X72" s="516">
        <v>218</v>
      </c>
      <c r="Y72" s="516">
        <v>207</v>
      </c>
      <c r="Z72" s="516">
        <v>217</v>
      </c>
      <c r="AA72" s="514">
        <v>211</v>
      </c>
      <c r="AB72" s="513">
        <v>85</v>
      </c>
      <c r="AC72" s="513">
        <v>198</v>
      </c>
      <c r="AD72" s="513">
        <v>203</v>
      </c>
      <c r="AE72" s="513"/>
      <c r="AF72" s="513"/>
      <c r="AG72" s="513"/>
      <c r="AH72" s="513"/>
      <c r="AI72" s="513"/>
      <c r="AJ72" s="513"/>
      <c r="AK72" s="513"/>
      <c r="AL72" s="513"/>
      <c r="AM72" s="513"/>
      <c r="AN72" s="513"/>
      <c r="AO72" s="513"/>
      <c r="AP72" s="513"/>
      <c r="AQ72" s="513"/>
      <c r="AR72" s="513"/>
      <c r="AS72" s="513"/>
      <c r="AT72" s="513"/>
      <c r="AU72" s="513"/>
      <c r="AV72" s="513"/>
      <c r="AW72" s="513"/>
    </row>
    <row r="73" spans="1:49" x14ac:dyDescent="0.2">
      <c r="A73" s="203" t="s">
        <v>547</v>
      </c>
      <c r="B73" s="513">
        <v>172</v>
      </c>
      <c r="C73" s="513">
        <v>178</v>
      </c>
      <c r="D73" s="513">
        <v>183</v>
      </c>
      <c r="E73" s="513">
        <v>220</v>
      </c>
      <c r="F73" s="513">
        <v>250</v>
      </c>
      <c r="G73" s="513">
        <v>284</v>
      </c>
      <c r="H73" s="513">
        <v>308</v>
      </c>
      <c r="I73" s="513">
        <v>365</v>
      </c>
      <c r="J73" s="513">
        <v>417</v>
      </c>
      <c r="K73" s="515">
        <v>469</v>
      </c>
      <c r="L73" s="515">
        <v>499</v>
      </c>
      <c r="M73" s="515">
        <v>492</v>
      </c>
      <c r="N73" s="515">
        <v>528</v>
      </c>
      <c r="O73" s="515">
        <v>533</v>
      </c>
      <c r="P73" s="515">
        <v>586</v>
      </c>
      <c r="Q73" s="515">
        <v>605</v>
      </c>
      <c r="R73" s="515">
        <v>637</v>
      </c>
      <c r="S73" s="515">
        <v>675</v>
      </c>
      <c r="T73" s="515">
        <v>700</v>
      </c>
      <c r="U73" s="515">
        <v>706</v>
      </c>
      <c r="V73" s="515">
        <v>674</v>
      </c>
      <c r="W73" s="516">
        <v>721</v>
      </c>
      <c r="X73" s="516">
        <v>714</v>
      </c>
      <c r="Y73" s="516">
        <v>643</v>
      </c>
      <c r="Z73" s="516">
        <v>649</v>
      </c>
      <c r="AA73" s="514">
        <v>679</v>
      </c>
      <c r="AB73" s="513">
        <v>372</v>
      </c>
      <c r="AC73" s="513">
        <v>762</v>
      </c>
      <c r="AD73" s="513">
        <v>794</v>
      </c>
      <c r="AE73" s="513"/>
      <c r="AF73" s="513"/>
      <c r="AG73" s="513"/>
      <c r="AH73" s="513"/>
      <c r="AI73" s="513"/>
      <c r="AJ73" s="513"/>
      <c r="AK73" s="513"/>
      <c r="AL73" s="513"/>
      <c r="AM73" s="513"/>
      <c r="AN73" s="513"/>
      <c r="AO73" s="513"/>
      <c r="AP73" s="513"/>
      <c r="AQ73" s="513"/>
      <c r="AR73" s="513"/>
      <c r="AS73" s="513"/>
      <c r="AT73" s="513"/>
      <c r="AU73" s="513"/>
      <c r="AV73" s="513"/>
      <c r="AW73" s="513"/>
    </row>
    <row r="74" spans="1:49" s="137" customFormat="1" x14ac:dyDescent="0.2">
      <c r="A74" s="127" t="s">
        <v>548</v>
      </c>
      <c r="B74" s="521">
        <v>613</v>
      </c>
      <c r="C74" s="521">
        <v>632</v>
      </c>
      <c r="D74" s="521">
        <v>632</v>
      </c>
      <c r="E74" s="521">
        <v>811</v>
      </c>
      <c r="F74" s="521">
        <v>920</v>
      </c>
      <c r="G74" s="521">
        <v>1068</v>
      </c>
      <c r="H74" s="521">
        <v>1116</v>
      </c>
      <c r="I74" s="521">
        <v>1357</v>
      </c>
      <c r="J74" s="521">
        <v>1598</v>
      </c>
      <c r="K74" s="521">
        <v>1751</v>
      </c>
      <c r="L74" s="521">
        <v>1781</v>
      </c>
      <c r="M74" s="521">
        <v>1868</v>
      </c>
      <c r="N74" s="521">
        <v>2043</v>
      </c>
      <c r="O74" s="521">
        <v>2179</v>
      </c>
      <c r="P74" s="521">
        <v>2443</v>
      </c>
      <c r="Q74" s="521">
        <v>2580</v>
      </c>
      <c r="R74" s="521">
        <v>2632</v>
      </c>
      <c r="S74" s="521">
        <v>2811</v>
      </c>
      <c r="T74" s="521">
        <v>3088</v>
      </c>
      <c r="U74" s="521">
        <v>3289</v>
      </c>
      <c r="V74" s="521">
        <v>3251</v>
      </c>
      <c r="W74" s="521">
        <v>3613</v>
      </c>
      <c r="X74" s="521">
        <v>3644</v>
      </c>
      <c r="Y74" s="521">
        <v>3564</v>
      </c>
      <c r="Z74" s="521">
        <v>3717</v>
      </c>
      <c r="AA74" s="522">
        <v>3837</v>
      </c>
      <c r="AB74" s="521">
        <v>3365</v>
      </c>
      <c r="AC74" s="521">
        <v>3923</v>
      </c>
      <c r="AD74" s="521">
        <v>3951</v>
      </c>
      <c r="AE74" s="521"/>
      <c r="AF74" s="521"/>
      <c r="AG74" s="521"/>
      <c r="AH74" s="521"/>
      <c r="AI74" s="521"/>
      <c r="AJ74" s="521"/>
      <c r="AK74" s="521"/>
      <c r="AL74" s="521"/>
      <c r="AM74" s="521"/>
      <c r="AN74" s="521"/>
      <c r="AO74" s="521"/>
      <c r="AP74" s="521"/>
      <c r="AQ74" s="521"/>
      <c r="AR74" s="521"/>
      <c r="AS74" s="521"/>
      <c r="AT74" s="521"/>
      <c r="AU74" s="521"/>
      <c r="AV74" s="521"/>
      <c r="AW74" s="521"/>
    </row>
    <row r="76" spans="1:49" ht="15.75" x14ac:dyDescent="0.25">
      <c r="A76" s="599" t="s">
        <v>646</v>
      </c>
      <c r="B76" s="155"/>
    </row>
    <row r="77" spans="1:49" x14ac:dyDescent="0.2">
      <c r="A77" s="155"/>
    </row>
    <row r="78" spans="1:49" x14ac:dyDescent="0.2">
      <c r="A78" s="137" t="s">
        <v>641</v>
      </c>
      <c r="M78" s="137" t="s">
        <v>642</v>
      </c>
    </row>
    <row r="103" spans="1:13" x14ac:dyDescent="0.2">
      <c r="A103" s="137" t="s">
        <v>643</v>
      </c>
      <c r="M103" s="137" t="s">
        <v>644</v>
      </c>
    </row>
    <row r="128" spans="1:1" x14ac:dyDescent="0.2">
      <c r="A128" s="137" t="s">
        <v>645</v>
      </c>
    </row>
    <row r="152" spans="1:49" s="683" customFormat="1" x14ac:dyDescent="0.2"/>
    <row r="153" spans="1:49" s="683" customFormat="1" ht="38.25" x14ac:dyDescent="0.2">
      <c r="A153" s="702" t="s">
        <v>760</v>
      </c>
      <c r="B153" s="718">
        <f t="shared" ref="B153:AW153" si="11">B11</f>
        <v>42095</v>
      </c>
      <c r="C153" s="718">
        <f t="shared" si="11"/>
        <v>42125</v>
      </c>
      <c r="D153" s="718">
        <f t="shared" si="11"/>
        <v>42156</v>
      </c>
      <c r="E153" s="718">
        <f t="shared" si="11"/>
        <v>42186</v>
      </c>
      <c r="F153" s="718">
        <f t="shared" si="11"/>
        <v>42217</v>
      </c>
      <c r="G153" s="718">
        <f t="shared" si="11"/>
        <v>42248</v>
      </c>
      <c r="H153" s="718">
        <f t="shared" si="11"/>
        <v>42278</v>
      </c>
      <c r="I153" s="718">
        <f t="shared" si="11"/>
        <v>42309</v>
      </c>
      <c r="J153" s="718">
        <f t="shared" si="11"/>
        <v>42339</v>
      </c>
      <c r="K153" s="718">
        <f t="shared" si="11"/>
        <v>42370</v>
      </c>
      <c r="L153" s="718">
        <f t="shared" si="11"/>
        <v>42401</v>
      </c>
      <c r="M153" s="718">
        <f t="shared" si="11"/>
        <v>42430</v>
      </c>
      <c r="N153" s="718">
        <f t="shared" si="11"/>
        <v>42461</v>
      </c>
      <c r="O153" s="718">
        <f t="shared" si="11"/>
        <v>42491</v>
      </c>
      <c r="P153" s="718">
        <f t="shared" si="11"/>
        <v>42522</v>
      </c>
      <c r="Q153" s="718">
        <f t="shared" si="11"/>
        <v>42552</v>
      </c>
      <c r="R153" s="718">
        <f t="shared" si="11"/>
        <v>42583</v>
      </c>
      <c r="S153" s="718">
        <f t="shared" si="11"/>
        <v>42614</v>
      </c>
      <c r="T153" s="718">
        <f t="shared" si="11"/>
        <v>42644</v>
      </c>
      <c r="U153" s="718">
        <f t="shared" si="11"/>
        <v>42675</v>
      </c>
      <c r="V153" s="718">
        <f t="shared" si="11"/>
        <v>42705</v>
      </c>
      <c r="W153" s="718">
        <f t="shared" si="11"/>
        <v>42736</v>
      </c>
      <c r="X153" s="718">
        <f t="shared" si="11"/>
        <v>42767</v>
      </c>
      <c r="Y153" s="718">
        <f t="shared" si="11"/>
        <v>42795</v>
      </c>
      <c r="Z153" s="718">
        <f t="shared" si="11"/>
        <v>42826</v>
      </c>
      <c r="AA153" s="718">
        <f t="shared" si="11"/>
        <v>42856</v>
      </c>
      <c r="AB153" s="718">
        <f t="shared" si="11"/>
        <v>42887</v>
      </c>
      <c r="AC153" s="718">
        <f t="shared" si="11"/>
        <v>42917</v>
      </c>
      <c r="AD153" s="718">
        <f t="shared" si="11"/>
        <v>42948</v>
      </c>
      <c r="AE153" s="718">
        <f t="shared" si="11"/>
        <v>0</v>
      </c>
      <c r="AF153" s="718">
        <f t="shared" si="11"/>
        <v>0</v>
      </c>
      <c r="AG153" s="718">
        <f t="shared" si="11"/>
        <v>0</v>
      </c>
      <c r="AH153" s="718">
        <f t="shared" si="11"/>
        <v>0</v>
      </c>
      <c r="AI153" s="718">
        <f t="shared" si="11"/>
        <v>0</v>
      </c>
      <c r="AJ153" s="718">
        <f t="shared" si="11"/>
        <v>0</v>
      </c>
      <c r="AK153" s="718">
        <f t="shared" si="11"/>
        <v>0</v>
      </c>
      <c r="AL153" s="718">
        <f t="shared" si="11"/>
        <v>0</v>
      </c>
      <c r="AM153" s="718">
        <f t="shared" si="11"/>
        <v>0</v>
      </c>
      <c r="AN153" s="718">
        <f t="shared" si="11"/>
        <v>0</v>
      </c>
      <c r="AO153" s="718">
        <f t="shared" si="11"/>
        <v>0</v>
      </c>
      <c r="AP153" s="718">
        <f t="shared" si="11"/>
        <v>0</v>
      </c>
      <c r="AQ153" s="718">
        <f t="shared" si="11"/>
        <v>0</v>
      </c>
      <c r="AR153" s="718">
        <f t="shared" si="11"/>
        <v>0</v>
      </c>
      <c r="AS153" s="718">
        <f t="shared" si="11"/>
        <v>0</v>
      </c>
      <c r="AT153" s="718">
        <f t="shared" si="11"/>
        <v>0</v>
      </c>
      <c r="AU153" s="718">
        <f t="shared" si="11"/>
        <v>0</v>
      </c>
      <c r="AV153" s="718">
        <f t="shared" si="11"/>
        <v>0</v>
      </c>
      <c r="AW153" s="718">
        <f t="shared" si="11"/>
        <v>0</v>
      </c>
    </row>
    <row r="154" spans="1:49" s="683" customFormat="1" x14ac:dyDescent="0.2">
      <c r="A154" s="702" t="s">
        <v>543</v>
      </c>
      <c r="B154" s="715">
        <f t="shared" ref="B154:AW154" si="12">B74</f>
        <v>613</v>
      </c>
      <c r="C154" s="715">
        <f t="shared" si="12"/>
        <v>632</v>
      </c>
      <c r="D154" s="715">
        <f t="shared" si="12"/>
        <v>632</v>
      </c>
      <c r="E154" s="715">
        <f t="shared" si="12"/>
        <v>811</v>
      </c>
      <c r="F154" s="715">
        <f t="shared" si="12"/>
        <v>920</v>
      </c>
      <c r="G154" s="715">
        <f t="shared" si="12"/>
        <v>1068</v>
      </c>
      <c r="H154" s="715">
        <f t="shared" si="12"/>
        <v>1116</v>
      </c>
      <c r="I154" s="715">
        <f t="shared" si="12"/>
        <v>1357</v>
      </c>
      <c r="J154" s="715">
        <f t="shared" si="12"/>
        <v>1598</v>
      </c>
      <c r="K154" s="715">
        <f t="shared" si="12"/>
        <v>1751</v>
      </c>
      <c r="L154" s="715">
        <f t="shared" si="12"/>
        <v>1781</v>
      </c>
      <c r="M154" s="715">
        <f t="shared" si="12"/>
        <v>1868</v>
      </c>
      <c r="N154" s="715">
        <f t="shared" si="12"/>
        <v>2043</v>
      </c>
      <c r="O154" s="715">
        <f t="shared" si="12"/>
        <v>2179</v>
      </c>
      <c r="P154" s="715">
        <f t="shared" si="12"/>
        <v>2443</v>
      </c>
      <c r="Q154" s="715">
        <f t="shared" si="12"/>
        <v>2580</v>
      </c>
      <c r="R154" s="715">
        <f t="shared" si="12"/>
        <v>2632</v>
      </c>
      <c r="S154" s="715">
        <f t="shared" si="12"/>
        <v>2811</v>
      </c>
      <c r="T154" s="715">
        <f t="shared" si="12"/>
        <v>3088</v>
      </c>
      <c r="U154" s="715">
        <f t="shared" si="12"/>
        <v>3289</v>
      </c>
      <c r="V154" s="715">
        <f t="shared" si="12"/>
        <v>3251</v>
      </c>
      <c r="W154" s="715">
        <f t="shared" si="12"/>
        <v>3613</v>
      </c>
      <c r="X154" s="715">
        <f t="shared" si="12"/>
        <v>3644</v>
      </c>
      <c r="Y154" s="715">
        <f t="shared" si="12"/>
        <v>3564</v>
      </c>
      <c r="Z154" s="715">
        <f t="shared" si="12"/>
        <v>3717</v>
      </c>
      <c r="AA154" s="715">
        <f t="shared" si="12"/>
        <v>3837</v>
      </c>
      <c r="AB154" s="715">
        <f t="shared" si="12"/>
        <v>3365</v>
      </c>
      <c r="AC154" s="715">
        <f t="shared" si="12"/>
        <v>3923</v>
      </c>
      <c r="AD154" s="715">
        <f t="shared" si="12"/>
        <v>3951</v>
      </c>
      <c r="AE154" s="715">
        <f t="shared" si="12"/>
        <v>0</v>
      </c>
      <c r="AF154" s="715">
        <f t="shared" si="12"/>
        <v>0</v>
      </c>
      <c r="AG154" s="715">
        <f t="shared" si="12"/>
        <v>0</v>
      </c>
      <c r="AH154" s="715">
        <f t="shared" si="12"/>
        <v>0</v>
      </c>
      <c r="AI154" s="715">
        <f t="shared" si="12"/>
        <v>0</v>
      </c>
      <c r="AJ154" s="715">
        <f t="shared" si="12"/>
        <v>0</v>
      </c>
      <c r="AK154" s="715">
        <f t="shared" si="12"/>
        <v>0</v>
      </c>
      <c r="AL154" s="715">
        <f t="shared" si="12"/>
        <v>0</v>
      </c>
      <c r="AM154" s="715">
        <f t="shared" si="12"/>
        <v>0</v>
      </c>
      <c r="AN154" s="715">
        <f t="shared" si="12"/>
        <v>0</v>
      </c>
      <c r="AO154" s="715">
        <f t="shared" si="12"/>
        <v>0</v>
      </c>
      <c r="AP154" s="715">
        <f t="shared" si="12"/>
        <v>0</v>
      </c>
      <c r="AQ154" s="715">
        <f t="shared" si="12"/>
        <v>0</v>
      </c>
      <c r="AR154" s="715">
        <f t="shared" si="12"/>
        <v>0</v>
      </c>
      <c r="AS154" s="715">
        <f t="shared" si="12"/>
        <v>0</v>
      </c>
      <c r="AT154" s="715">
        <f t="shared" si="12"/>
        <v>0</v>
      </c>
      <c r="AU154" s="715">
        <f t="shared" si="12"/>
        <v>0</v>
      </c>
      <c r="AV154" s="715">
        <f t="shared" si="12"/>
        <v>0</v>
      </c>
      <c r="AW154" s="715">
        <f t="shared" si="12"/>
        <v>0</v>
      </c>
    </row>
    <row r="155" spans="1:49" s="683" customFormat="1" x14ac:dyDescent="0.2">
      <c r="A155" s="683" t="s">
        <v>131</v>
      </c>
      <c r="B155" s="715">
        <f t="shared" ref="B155:M155" si="13">MEDIAN($B$154:$M$154)</f>
        <v>1092</v>
      </c>
      <c r="C155" s="715">
        <f t="shared" si="13"/>
        <v>1092</v>
      </c>
      <c r="D155" s="715">
        <f t="shared" si="13"/>
        <v>1092</v>
      </c>
      <c r="E155" s="715">
        <f t="shared" si="13"/>
        <v>1092</v>
      </c>
      <c r="F155" s="715">
        <f t="shared" si="13"/>
        <v>1092</v>
      </c>
      <c r="G155" s="715">
        <f t="shared" si="13"/>
        <v>1092</v>
      </c>
      <c r="H155" s="715">
        <f t="shared" si="13"/>
        <v>1092</v>
      </c>
      <c r="I155" s="715">
        <f t="shared" si="13"/>
        <v>1092</v>
      </c>
      <c r="J155" s="715">
        <f t="shared" si="13"/>
        <v>1092</v>
      </c>
      <c r="K155" s="715">
        <f t="shared" si="13"/>
        <v>1092</v>
      </c>
      <c r="L155" s="715">
        <f t="shared" si="13"/>
        <v>1092</v>
      </c>
      <c r="M155" s="715">
        <f t="shared" si="13"/>
        <v>1092</v>
      </c>
      <c r="N155" s="715"/>
      <c r="O155" s="715"/>
      <c r="P155" s="715"/>
      <c r="Q155" s="715"/>
      <c r="R155" s="715"/>
      <c r="S155" s="715"/>
      <c r="T155" s="715"/>
      <c r="U155" s="715"/>
      <c r="V155" s="715"/>
      <c r="W155" s="715"/>
      <c r="X155" s="715"/>
      <c r="Y155" s="715"/>
      <c r="Z155" s="715"/>
      <c r="AA155" s="715"/>
      <c r="AB155" s="715"/>
      <c r="AC155" s="715"/>
      <c r="AD155" s="715"/>
      <c r="AE155" s="715"/>
      <c r="AF155" s="715"/>
      <c r="AG155" s="715"/>
      <c r="AH155" s="715"/>
      <c r="AI155" s="715"/>
      <c r="AJ155" s="715"/>
      <c r="AK155" s="715"/>
      <c r="AL155" s="715"/>
      <c r="AM155" s="715"/>
      <c r="AN155" s="715"/>
      <c r="AO155" s="715"/>
      <c r="AP155" s="715"/>
      <c r="AQ155" s="715"/>
      <c r="AR155" s="715"/>
      <c r="AS155" s="715"/>
      <c r="AT155" s="715"/>
      <c r="AU155" s="715"/>
      <c r="AV155" s="715"/>
      <c r="AW155" s="715"/>
    </row>
    <row r="156" spans="1:49" s="683" customFormat="1" x14ac:dyDescent="0.2">
      <c r="A156" s="683" t="s">
        <v>184</v>
      </c>
      <c r="B156" s="715"/>
      <c r="C156" s="715"/>
      <c r="D156" s="715"/>
      <c r="E156" s="715"/>
      <c r="F156" s="715"/>
      <c r="G156" s="715"/>
      <c r="H156" s="715"/>
      <c r="I156" s="715"/>
      <c r="J156" s="715"/>
      <c r="K156" s="715"/>
      <c r="L156" s="715"/>
      <c r="M156" s="715">
        <f>MEDIAN($B$154:$M$154)</f>
        <v>1092</v>
      </c>
      <c r="N156" s="715">
        <f>MEDIAN($B$154:$M$154)</f>
        <v>1092</v>
      </c>
      <c r="O156" s="715"/>
      <c r="P156" s="715"/>
      <c r="Q156" s="715"/>
      <c r="R156" s="715"/>
      <c r="S156" s="715"/>
      <c r="T156" s="715"/>
      <c r="U156" s="715"/>
      <c r="V156" s="715"/>
      <c r="W156" s="715"/>
      <c r="X156" s="715"/>
      <c r="Y156" s="715"/>
      <c r="Z156" s="715"/>
      <c r="AA156" s="715"/>
      <c r="AB156" s="715"/>
      <c r="AC156" s="715"/>
      <c r="AD156" s="715"/>
      <c r="AE156" s="715"/>
      <c r="AF156" s="715"/>
      <c r="AG156" s="715"/>
      <c r="AH156" s="715"/>
      <c r="AI156" s="715"/>
      <c r="AJ156" s="715"/>
      <c r="AK156" s="715"/>
      <c r="AL156" s="715"/>
      <c r="AM156" s="715"/>
      <c r="AN156" s="715"/>
      <c r="AO156" s="715"/>
      <c r="AP156" s="715"/>
      <c r="AQ156" s="715"/>
      <c r="AR156" s="715"/>
      <c r="AS156" s="715"/>
      <c r="AT156" s="715"/>
      <c r="AU156" s="715"/>
      <c r="AV156" s="715"/>
      <c r="AW156" s="715"/>
    </row>
    <row r="157" spans="1:49" s="683" customFormat="1" x14ac:dyDescent="0.2">
      <c r="A157" s="683" t="s">
        <v>318</v>
      </c>
      <c r="B157" s="715"/>
      <c r="C157" s="715"/>
      <c r="D157" s="715"/>
      <c r="E157" s="715"/>
      <c r="F157" s="715"/>
      <c r="G157" s="715"/>
      <c r="H157" s="715"/>
      <c r="I157" s="715"/>
      <c r="J157" s="715"/>
      <c r="K157" s="715"/>
      <c r="L157" s="715"/>
      <c r="M157" s="715"/>
      <c r="N157" s="715">
        <f t="shared" ref="N157:Y157" si="14">MEDIAN($N$154:$Y$154)</f>
        <v>2949.5</v>
      </c>
      <c r="O157" s="715">
        <f t="shared" si="14"/>
        <v>2949.5</v>
      </c>
      <c r="P157" s="715">
        <f t="shared" si="14"/>
        <v>2949.5</v>
      </c>
      <c r="Q157" s="715">
        <f t="shared" si="14"/>
        <v>2949.5</v>
      </c>
      <c r="R157" s="715">
        <f t="shared" si="14"/>
        <v>2949.5</v>
      </c>
      <c r="S157" s="715">
        <f t="shared" si="14"/>
        <v>2949.5</v>
      </c>
      <c r="T157" s="715">
        <f t="shared" si="14"/>
        <v>2949.5</v>
      </c>
      <c r="U157" s="715">
        <f t="shared" si="14"/>
        <v>2949.5</v>
      </c>
      <c r="V157" s="715">
        <f t="shared" si="14"/>
        <v>2949.5</v>
      </c>
      <c r="W157" s="715">
        <f t="shared" si="14"/>
        <v>2949.5</v>
      </c>
      <c r="X157" s="715">
        <f t="shared" si="14"/>
        <v>2949.5</v>
      </c>
      <c r="Y157" s="715">
        <f t="shared" si="14"/>
        <v>2949.5</v>
      </c>
      <c r="Z157" s="715"/>
      <c r="AA157" s="715"/>
      <c r="AB157" s="715"/>
      <c r="AC157" s="715"/>
      <c r="AD157" s="715"/>
      <c r="AE157" s="715"/>
      <c r="AF157" s="715"/>
      <c r="AG157" s="715"/>
      <c r="AH157" s="715"/>
      <c r="AI157" s="715"/>
      <c r="AJ157" s="715"/>
      <c r="AK157" s="715"/>
      <c r="AL157" s="715"/>
      <c r="AM157" s="715"/>
      <c r="AN157" s="715"/>
      <c r="AO157" s="715"/>
      <c r="AP157" s="715"/>
      <c r="AQ157" s="715"/>
      <c r="AR157" s="715"/>
      <c r="AS157" s="715"/>
      <c r="AT157" s="715"/>
      <c r="AU157" s="715"/>
      <c r="AV157" s="715"/>
      <c r="AW157" s="715"/>
    </row>
    <row r="158" spans="1:49" s="683" customFormat="1" x14ac:dyDescent="0.2">
      <c r="A158" s="683" t="s">
        <v>319</v>
      </c>
      <c r="B158" s="715"/>
      <c r="C158" s="715"/>
      <c r="D158" s="715"/>
      <c r="E158" s="715"/>
      <c r="F158" s="715"/>
      <c r="G158" s="715"/>
      <c r="H158" s="715"/>
      <c r="I158" s="715"/>
      <c r="J158" s="715"/>
      <c r="K158" s="715"/>
      <c r="L158" s="715"/>
      <c r="M158" s="715"/>
      <c r="N158" s="715"/>
      <c r="O158" s="715"/>
      <c r="P158" s="715"/>
      <c r="Q158" s="715"/>
      <c r="R158" s="715"/>
      <c r="S158" s="715"/>
      <c r="T158" s="715"/>
      <c r="U158" s="715"/>
      <c r="V158" s="715"/>
      <c r="W158" s="715"/>
      <c r="X158" s="715"/>
      <c r="Y158" s="715">
        <f t="shared" ref="Y158:AW158" si="15">MEDIAN($N$154:$Y$154)</f>
        <v>2949.5</v>
      </c>
      <c r="Z158" s="715">
        <f t="shared" si="15"/>
        <v>2949.5</v>
      </c>
      <c r="AA158" s="715">
        <f t="shared" si="15"/>
        <v>2949.5</v>
      </c>
      <c r="AB158" s="715">
        <f t="shared" si="15"/>
        <v>2949.5</v>
      </c>
      <c r="AC158" s="715">
        <f t="shared" si="15"/>
        <v>2949.5</v>
      </c>
      <c r="AD158" s="715">
        <f t="shared" si="15"/>
        <v>2949.5</v>
      </c>
      <c r="AE158" s="715">
        <f t="shared" si="15"/>
        <v>2949.5</v>
      </c>
      <c r="AF158" s="715">
        <f t="shared" si="15"/>
        <v>2949.5</v>
      </c>
      <c r="AG158" s="715">
        <f t="shared" si="15"/>
        <v>2949.5</v>
      </c>
      <c r="AH158" s="715">
        <f t="shared" si="15"/>
        <v>2949.5</v>
      </c>
      <c r="AI158" s="715">
        <f t="shared" si="15"/>
        <v>2949.5</v>
      </c>
      <c r="AJ158" s="715">
        <f t="shared" si="15"/>
        <v>2949.5</v>
      </c>
      <c r="AK158" s="715">
        <f t="shared" si="15"/>
        <v>2949.5</v>
      </c>
      <c r="AL158" s="715">
        <f t="shared" si="15"/>
        <v>2949.5</v>
      </c>
      <c r="AM158" s="715">
        <f t="shared" si="15"/>
        <v>2949.5</v>
      </c>
      <c r="AN158" s="715">
        <f t="shared" si="15"/>
        <v>2949.5</v>
      </c>
      <c r="AO158" s="715">
        <f t="shared" si="15"/>
        <v>2949.5</v>
      </c>
      <c r="AP158" s="715">
        <f t="shared" si="15"/>
        <v>2949.5</v>
      </c>
      <c r="AQ158" s="715">
        <f t="shared" si="15"/>
        <v>2949.5</v>
      </c>
      <c r="AR158" s="715">
        <f t="shared" si="15"/>
        <v>2949.5</v>
      </c>
      <c r="AS158" s="715">
        <f t="shared" si="15"/>
        <v>2949.5</v>
      </c>
      <c r="AT158" s="715">
        <f t="shared" si="15"/>
        <v>2949.5</v>
      </c>
      <c r="AU158" s="715">
        <f t="shared" si="15"/>
        <v>2949.5</v>
      </c>
      <c r="AV158" s="715">
        <f t="shared" si="15"/>
        <v>2949.5</v>
      </c>
      <c r="AW158" s="715">
        <f t="shared" si="15"/>
        <v>2949.5</v>
      </c>
    </row>
    <row r="159" spans="1:49" s="683" customFormat="1" x14ac:dyDescent="0.2">
      <c r="A159" s="702" t="s">
        <v>490</v>
      </c>
      <c r="B159" s="715"/>
      <c r="C159" s="715">
        <f>SUM(C154-B154)</f>
        <v>19</v>
      </c>
      <c r="D159" s="715">
        <f t="shared" ref="D159:AA159" si="16">SUM(D154-C154)</f>
        <v>0</v>
      </c>
      <c r="E159" s="715">
        <f t="shared" si="16"/>
        <v>179</v>
      </c>
      <c r="F159" s="715">
        <f t="shared" si="16"/>
        <v>109</v>
      </c>
      <c r="G159" s="715">
        <f t="shared" si="16"/>
        <v>148</v>
      </c>
      <c r="H159" s="715">
        <f t="shared" si="16"/>
        <v>48</v>
      </c>
      <c r="I159" s="715">
        <f t="shared" si="16"/>
        <v>241</v>
      </c>
      <c r="J159" s="715">
        <f t="shared" si="16"/>
        <v>241</v>
      </c>
      <c r="K159" s="715">
        <f t="shared" si="16"/>
        <v>153</v>
      </c>
      <c r="L159" s="715">
        <f t="shared" si="16"/>
        <v>30</v>
      </c>
      <c r="M159" s="715">
        <f t="shared" si="16"/>
        <v>87</v>
      </c>
      <c r="N159" s="715">
        <f t="shared" si="16"/>
        <v>175</v>
      </c>
      <c r="O159" s="715">
        <f t="shared" si="16"/>
        <v>136</v>
      </c>
      <c r="P159" s="715">
        <f t="shared" si="16"/>
        <v>264</v>
      </c>
      <c r="Q159" s="715">
        <f t="shared" si="16"/>
        <v>137</v>
      </c>
      <c r="R159" s="715">
        <f t="shared" si="16"/>
        <v>52</v>
      </c>
      <c r="S159" s="715">
        <f t="shared" si="16"/>
        <v>179</v>
      </c>
      <c r="T159" s="715">
        <f t="shared" si="16"/>
        <v>277</v>
      </c>
      <c r="U159" s="715">
        <f t="shared" si="16"/>
        <v>201</v>
      </c>
      <c r="V159" s="715">
        <f>SUM(V154-U154)*-1</f>
        <v>38</v>
      </c>
      <c r="W159" s="715">
        <f t="shared" si="16"/>
        <v>362</v>
      </c>
      <c r="X159" s="715">
        <f t="shared" si="16"/>
        <v>31</v>
      </c>
      <c r="Y159" s="715">
        <f>SUM(Y154-X154)*-1</f>
        <v>80</v>
      </c>
      <c r="Z159" s="715">
        <f t="shared" si="16"/>
        <v>153</v>
      </c>
      <c r="AA159" s="715">
        <f t="shared" si="16"/>
        <v>120</v>
      </c>
      <c r="AB159" s="715">
        <f>SUM(AB154-AA154)*-1</f>
        <v>472</v>
      </c>
      <c r="AC159" s="715">
        <f>SUM(AC154-AB154)</f>
        <v>558</v>
      </c>
      <c r="AD159" s="715">
        <f>SUM(AD154-AC154)</f>
        <v>28</v>
      </c>
      <c r="AE159" s="715"/>
      <c r="AF159" s="715"/>
      <c r="AG159" s="715"/>
      <c r="AH159" s="715"/>
      <c r="AI159" s="715"/>
      <c r="AJ159" s="715"/>
      <c r="AK159" s="715"/>
      <c r="AL159" s="715"/>
      <c r="AM159" s="715"/>
      <c r="AN159" s="715"/>
      <c r="AO159" s="715"/>
      <c r="AP159" s="715"/>
      <c r="AQ159" s="715"/>
      <c r="AR159" s="715"/>
      <c r="AS159" s="715"/>
      <c r="AT159" s="715"/>
      <c r="AU159" s="715"/>
      <c r="AV159" s="715"/>
      <c r="AW159" s="715"/>
    </row>
    <row r="160" spans="1:49" s="683" customFormat="1" ht="42.75" x14ac:dyDescent="0.2">
      <c r="A160" s="703" t="s">
        <v>521</v>
      </c>
      <c r="B160" s="715"/>
      <c r="C160" s="715"/>
      <c r="D160" s="715"/>
      <c r="E160" s="715"/>
      <c r="F160" s="715"/>
      <c r="G160" s="715"/>
      <c r="H160" s="715"/>
      <c r="I160" s="715"/>
      <c r="J160" s="715"/>
      <c r="K160" s="715"/>
      <c r="L160" s="715"/>
      <c r="M160" s="715"/>
      <c r="N160" s="715"/>
      <c r="O160" s="715"/>
      <c r="P160" s="715"/>
      <c r="Q160" s="715"/>
      <c r="R160" s="715"/>
      <c r="S160" s="715"/>
      <c r="T160" s="715"/>
      <c r="U160" s="715"/>
      <c r="V160" s="715"/>
      <c r="W160" s="715"/>
      <c r="X160" s="715"/>
      <c r="Y160" s="715"/>
      <c r="Z160" s="715"/>
      <c r="AA160" s="715"/>
      <c r="AB160" s="715"/>
      <c r="AC160" s="715"/>
      <c r="AD160" s="715"/>
      <c r="AE160" s="715"/>
      <c r="AF160" s="715"/>
      <c r="AG160" s="715"/>
      <c r="AH160" s="715"/>
      <c r="AI160" s="715"/>
      <c r="AJ160" s="715"/>
      <c r="AK160" s="715"/>
      <c r="AL160" s="715"/>
      <c r="AM160" s="715"/>
      <c r="AN160" s="715"/>
      <c r="AO160" s="715"/>
      <c r="AP160" s="715"/>
      <c r="AQ160" s="715"/>
      <c r="AR160" s="715"/>
      <c r="AS160" s="715"/>
      <c r="AT160" s="715"/>
      <c r="AU160" s="715"/>
      <c r="AV160" s="715"/>
      <c r="AW160" s="715"/>
    </row>
    <row r="161" spans="1:49" s="683" customFormat="1" x14ac:dyDescent="0.2">
      <c r="A161" s="674" t="s">
        <v>492</v>
      </c>
      <c r="B161" s="715">
        <f t="shared" ref="B161:AW161" si="17">AVERAGE($B$154:$AW$154)</f>
        <v>1418.2708333333333</v>
      </c>
      <c r="C161" s="715">
        <f t="shared" si="17"/>
        <v>1418.2708333333333</v>
      </c>
      <c r="D161" s="715">
        <f t="shared" si="17"/>
        <v>1418.2708333333333</v>
      </c>
      <c r="E161" s="715">
        <f t="shared" si="17"/>
        <v>1418.2708333333333</v>
      </c>
      <c r="F161" s="715">
        <f t="shared" si="17"/>
        <v>1418.2708333333333</v>
      </c>
      <c r="G161" s="715">
        <f t="shared" si="17"/>
        <v>1418.2708333333333</v>
      </c>
      <c r="H161" s="715">
        <f t="shared" si="17"/>
        <v>1418.2708333333333</v>
      </c>
      <c r="I161" s="715">
        <f t="shared" si="17"/>
        <v>1418.2708333333333</v>
      </c>
      <c r="J161" s="715">
        <f t="shared" si="17"/>
        <v>1418.2708333333333</v>
      </c>
      <c r="K161" s="715">
        <f t="shared" si="17"/>
        <v>1418.2708333333333</v>
      </c>
      <c r="L161" s="715">
        <f t="shared" si="17"/>
        <v>1418.2708333333333</v>
      </c>
      <c r="M161" s="715">
        <f t="shared" si="17"/>
        <v>1418.2708333333333</v>
      </c>
      <c r="N161" s="715">
        <f t="shared" si="17"/>
        <v>1418.2708333333333</v>
      </c>
      <c r="O161" s="715">
        <f t="shared" si="17"/>
        <v>1418.2708333333333</v>
      </c>
      <c r="P161" s="715">
        <f t="shared" si="17"/>
        <v>1418.2708333333333</v>
      </c>
      <c r="Q161" s="715">
        <f t="shared" si="17"/>
        <v>1418.2708333333333</v>
      </c>
      <c r="R161" s="715">
        <f t="shared" si="17"/>
        <v>1418.2708333333333</v>
      </c>
      <c r="S161" s="715">
        <f t="shared" si="17"/>
        <v>1418.2708333333333</v>
      </c>
      <c r="T161" s="715">
        <f t="shared" si="17"/>
        <v>1418.2708333333333</v>
      </c>
      <c r="U161" s="715">
        <f t="shared" si="17"/>
        <v>1418.2708333333333</v>
      </c>
      <c r="V161" s="715">
        <f t="shared" si="17"/>
        <v>1418.2708333333333</v>
      </c>
      <c r="W161" s="715">
        <f t="shared" si="17"/>
        <v>1418.2708333333333</v>
      </c>
      <c r="X161" s="715">
        <f t="shared" si="17"/>
        <v>1418.2708333333333</v>
      </c>
      <c r="Y161" s="715">
        <f t="shared" si="17"/>
        <v>1418.2708333333333</v>
      </c>
      <c r="Z161" s="715">
        <f t="shared" si="17"/>
        <v>1418.2708333333333</v>
      </c>
      <c r="AA161" s="715">
        <f t="shared" si="17"/>
        <v>1418.2708333333333</v>
      </c>
      <c r="AB161" s="715">
        <f t="shared" si="17"/>
        <v>1418.2708333333333</v>
      </c>
      <c r="AC161" s="715">
        <f t="shared" si="17"/>
        <v>1418.2708333333333</v>
      </c>
      <c r="AD161" s="715">
        <f t="shared" si="17"/>
        <v>1418.2708333333333</v>
      </c>
      <c r="AE161" s="715">
        <f t="shared" si="17"/>
        <v>1418.2708333333333</v>
      </c>
      <c r="AF161" s="715">
        <f t="shared" si="17"/>
        <v>1418.2708333333333</v>
      </c>
      <c r="AG161" s="715">
        <f t="shared" si="17"/>
        <v>1418.2708333333333</v>
      </c>
      <c r="AH161" s="715">
        <f t="shared" si="17"/>
        <v>1418.2708333333333</v>
      </c>
      <c r="AI161" s="715">
        <f t="shared" si="17"/>
        <v>1418.2708333333333</v>
      </c>
      <c r="AJ161" s="715">
        <f t="shared" si="17"/>
        <v>1418.2708333333333</v>
      </c>
      <c r="AK161" s="715">
        <f t="shared" si="17"/>
        <v>1418.2708333333333</v>
      </c>
      <c r="AL161" s="715">
        <f t="shared" si="17"/>
        <v>1418.2708333333333</v>
      </c>
      <c r="AM161" s="715">
        <f t="shared" si="17"/>
        <v>1418.2708333333333</v>
      </c>
      <c r="AN161" s="715">
        <f t="shared" si="17"/>
        <v>1418.2708333333333</v>
      </c>
      <c r="AO161" s="715">
        <f t="shared" si="17"/>
        <v>1418.2708333333333</v>
      </c>
      <c r="AP161" s="715">
        <f t="shared" si="17"/>
        <v>1418.2708333333333</v>
      </c>
      <c r="AQ161" s="715">
        <f t="shared" si="17"/>
        <v>1418.2708333333333</v>
      </c>
      <c r="AR161" s="715">
        <f t="shared" si="17"/>
        <v>1418.2708333333333</v>
      </c>
      <c r="AS161" s="715">
        <f t="shared" si="17"/>
        <v>1418.2708333333333</v>
      </c>
      <c r="AT161" s="715">
        <f t="shared" si="17"/>
        <v>1418.2708333333333</v>
      </c>
      <c r="AU161" s="715">
        <f t="shared" si="17"/>
        <v>1418.2708333333333</v>
      </c>
      <c r="AV161" s="715">
        <f t="shared" si="17"/>
        <v>1418.2708333333333</v>
      </c>
      <c r="AW161" s="715">
        <f t="shared" si="17"/>
        <v>1418.2708333333333</v>
      </c>
    </row>
    <row r="162" spans="1:49" s="683" customFormat="1" x14ac:dyDescent="0.2">
      <c r="A162" s="702" t="s">
        <v>491</v>
      </c>
      <c r="B162" s="715">
        <f>SUM(C159:AW159)/COUNT(C159:AW159)</f>
        <v>161.35714285714286</v>
      </c>
      <c r="C162" s="715"/>
      <c r="D162" s="715"/>
      <c r="E162" s="715"/>
      <c r="F162" s="715"/>
      <c r="G162" s="715"/>
      <c r="H162" s="715"/>
      <c r="I162" s="715"/>
      <c r="J162" s="715"/>
      <c r="K162" s="715"/>
      <c r="L162" s="715"/>
      <c r="M162" s="715"/>
      <c r="N162" s="715"/>
      <c r="O162" s="715"/>
      <c r="P162" s="715"/>
      <c r="Q162" s="715"/>
      <c r="R162" s="715"/>
      <c r="S162" s="715"/>
      <c r="T162" s="715"/>
      <c r="U162" s="715"/>
      <c r="V162" s="715"/>
      <c r="W162" s="715"/>
      <c r="X162" s="715"/>
      <c r="Y162" s="715"/>
      <c r="Z162" s="715"/>
      <c r="AA162" s="715"/>
      <c r="AB162" s="715"/>
      <c r="AC162" s="715"/>
      <c r="AD162" s="715"/>
      <c r="AE162" s="715"/>
      <c r="AF162" s="715"/>
      <c r="AG162" s="715"/>
      <c r="AH162" s="715"/>
      <c r="AI162" s="715"/>
      <c r="AJ162" s="715"/>
      <c r="AK162" s="715"/>
      <c r="AL162" s="715"/>
      <c r="AM162" s="715"/>
      <c r="AN162" s="715"/>
      <c r="AO162" s="715"/>
      <c r="AP162" s="715"/>
      <c r="AQ162" s="715"/>
      <c r="AR162" s="715"/>
      <c r="AS162" s="715"/>
      <c r="AT162" s="715"/>
      <c r="AU162" s="715"/>
      <c r="AV162" s="715"/>
      <c r="AW162" s="715"/>
    </row>
    <row r="163" spans="1:49" s="683" customFormat="1" ht="25.5" x14ac:dyDescent="0.2">
      <c r="A163" s="702" t="s">
        <v>494</v>
      </c>
      <c r="B163" s="715">
        <f>B162/1.128</f>
        <v>143.04711246200608</v>
      </c>
      <c r="C163" s="715"/>
      <c r="D163" s="715"/>
      <c r="E163" s="715"/>
      <c r="F163" s="715"/>
      <c r="G163" s="715"/>
      <c r="H163" s="715"/>
      <c r="I163" s="715"/>
      <c r="J163" s="715"/>
      <c r="K163" s="715"/>
      <c r="L163" s="715"/>
      <c r="M163" s="715"/>
      <c r="N163" s="715"/>
      <c r="O163" s="715"/>
      <c r="P163" s="715"/>
      <c r="Q163" s="715"/>
      <c r="R163" s="715"/>
      <c r="S163" s="715"/>
      <c r="T163" s="715"/>
      <c r="U163" s="715"/>
      <c r="V163" s="715"/>
      <c r="W163" s="715"/>
      <c r="X163" s="715"/>
      <c r="Y163" s="715"/>
      <c r="Z163" s="715"/>
      <c r="AA163" s="715"/>
      <c r="AB163" s="715"/>
      <c r="AC163" s="715"/>
      <c r="AD163" s="715"/>
      <c r="AE163" s="715"/>
      <c r="AF163" s="715"/>
      <c r="AG163" s="715"/>
      <c r="AH163" s="715"/>
      <c r="AI163" s="715"/>
      <c r="AJ163" s="715"/>
      <c r="AK163" s="715"/>
      <c r="AL163" s="715"/>
      <c r="AM163" s="715"/>
      <c r="AN163" s="715"/>
      <c r="AO163" s="715"/>
      <c r="AP163" s="715"/>
      <c r="AQ163" s="715"/>
      <c r="AR163" s="715"/>
      <c r="AS163" s="715"/>
      <c r="AT163" s="715"/>
      <c r="AU163" s="715"/>
      <c r="AV163" s="715"/>
      <c r="AW163" s="715"/>
    </row>
    <row r="164" spans="1:49" s="683" customFormat="1" x14ac:dyDescent="0.2">
      <c r="A164" s="702" t="s">
        <v>497</v>
      </c>
      <c r="B164" s="715">
        <f t="shared" ref="B164:AW164" si="18">$B$161+(3*$B$163)</f>
        <v>1847.4121707193515</v>
      </c>
      <c r="C164" s="715">
        <f t="shared" si="18"/>
        <v>1847.4121707193515</v>
      </c>
      <c r="D164" s="715">
        <f t="shared" si="18"/>
        <v>1847.4121707193515</v>
      </c>
      <c r="E164" s="715">
        <f t="shared" si="18"/>
        <v>1847.4121707193515</v>
      </c>
      <c r="F164" s="715">
        <f t="shared" si="18"/>
        <v>1847.4121707193515</v>
      </c>
      <c r="G164" s="715">
        <f t="shared" si="18"/>
        <v>1847.4121707193515</v>
      </c>
      <c r="H164" s="715">
        <f t="shared" si="18"/>
        <v>1847.4121707193515</v>
      </c>
      <c r="I164" s="715">
        <f t="shared" si="18"/>
        <v>1847.4121707193515</v>
      </c>
      <c r="J164" s="715">
        <f t="shared" si="18"/>
        <v>1847.4121707193515</v>
      </c>
      <c r="K164" s="715">
        <f t="shared" si="18"/>
        <v>1847.4121707193515</v>
      </c>
      <c r="L164" s="715">
        <f t="shared" si="18"/>
        <v>1847.4121707193515</v>
      </c>
      <c r="M164" s="715">
        <f t="shared" si="18"/>
        <v>1847.4121707193515</v>
      </c>
      <c r="N164" s="715">
        <f t="shared" si="18"/>
        <v>1847.4121707193515</v>
      </c>
      <c r="O164" s="715">
        <f t="shared" si="18"/>
        <v>1847.4121707193515</v>
      </c>
      <c r="P164" s="715">
        <f t="shared" si="18"/>
        <v>1847.4121707193515</v>
      </c>
      <c r="Q164" s="715">
        <f t="shared" si="18"/>
        <v>1847.4121707193515</v>
      </c>
      <c r="R164" s="715">
        <f t="shared" si="18"/>
        <v>1847.4121707193515</v>
      </c>
      <c r="S164" s="715">
        <f t="shared" si="18"/>
        <v>1847.4121707193515</v>
      </c>
      <c r="T164" s="715">
        <f t="shared" si="18"/>
        <v>1847.4121707193515</v>
      </c>
      <c r="U164" s="715">
        <f t="shared" si="18"/>
        <v>1847.4121707193515</v>
      </c>
      <c r="V164" s="715">
        <f t="shared" si="18"/>
        <v>1847.4121707193515</v>
      </c>
      <c r="W164" s="715">
        <f t="shared" si="18"/>
        <v>1847.4121707193515</v>
      </c>
      <c r="X164" s="715">
        <f t="shared" si="18"/>
        <v>1847.4121707193515</v>
      </c>
      <c r="Y164" s="715">
        <f t="shared" si="18"/>
        <v>1847.4121707193515</v>
      </c>
      <c r="Z164" s="715">
        <f t="shared" si="18"/>
        <v>1847.4121707193515</v>
      </c>
      <c r="AA164" s="715">
        <f t="shared" si="18"/>
        <v>1847.4121707193515</v>
      </c>
      <c r="AB164" s="715">
        <f t="shared" si="18"/>
        <v>1847.4121707193515</v>
      </c>
      <c r="AC164" s="715">
        <f t="shared" si="18"/>
        <v>1847.4121707193515</v>
      </c>
      <c r="AD164" s="715">
        <f t="shared" si="18"/>
        <v>1847.4121707193515</v>
      </c>
      <c r="AE164" s="715">
        <f t="shared" si="18"/>
        <v>1847.4121707193515</v>
      </c>
      <c r="AF164" s="715">
        <f t="shared" si="18"/>
        <v>1847.4121707193515</v>
      </c>
      <c r="AG164" s="715">
        <f t="shared" si="18"/>
        <v>1847.4121707193515</v>
      </c>
      <c r="AH164" s="715">
        <f t="shared" si="18"/>
        <v>1847.4121707193515</v>
      </c>
      <c r="AI164" s="715">
        <f t="shared" si="18"/>
        <v>1847.4121707193515</v>
      </c>
      <c r="AJ164" s="715">
        <f t="shared" si="18"/>
        <v>1847.4121707193515</v>
      </c>
      <c r="AK164" s="715">
        <f t="shared" si="18"/>
        <v>1847.4121707193515</v>
      </c>
      <c r="AL164" s="715">
        <f t="shared" si="18"/>
        <v>1847.4121707193515</v>
      </c>
      <c r="AM164" s="715">
        <f t="shared" si="18"/>
        <v>1847.4121707193515</v>
      </c>
      <c r="AN164" s="715">
        <f t="shared" si="18"/>
        <v>1847.4121707193515</v>
      </c>
      <c r="AO164" s="715">
        <f t="shared" si="18"/>
        <v>1847.4121707193515</v>
      </c>
      <c r="AP164" s="715">
        <f t="shared" si="18"/>
        <v>1847.4121707193515</v>
      </c>
      <c r="AQ164" s="715">
        <f t="shared" si="18"/>
        <v>1847.4121707193515</v>
      </c>
      <c r="AR164" s="715">
        <f t="shared" si="18"/>
        <v>1847.4121707193515</v>
      </c>
      <c r="AS164" s="715">
        <f t="shared" si="18"/>
        <v>1847.4121707193515</v>
      </c>
      <c r="AT164" s="715">
        <f t="shared" si="18"/>
        <v>1847.4121707193515</v>
      </c>
      <c r="AU164" s="715">
        <f t="shared" si="18"/>
        <v>1847.4121707193515</v>
      </c>
      <c r="AV164" s="715">
        <f t="shared" si="18"/>
        <v>1847.4121707193515</v>
      </c>
      <c r="AW164" s="715">
        <f t="shared" si="18"/>
        <v>1847.4121707193515</v>
      </c>
    </row>
    <row r="165" spans="1:49" s="683" customFormat="1" x14ac:dyDescent="0.2">
      <c r="A165" s="702" t="s">
        <v>499</v>
      </c>
      <c r="B165" s="715">
        <f t="shared" ref="B165:AW165" si="19">$B$161-(3*$B$163)</f>
        <v>989.12949594731504</v>
      </c>
      <c r="C165" s="715">
        <f t="shared" si="19"/>
        <v>989.12949594731504</v>
      </c>
      <c r="D165" s="715">
        <f t="shared" si="19"/>
        <v>989.12949594731504</v>
      </c>
      <c r="E165" s="715">
        <f t="shared" si="19"/>
        <v>989.12949594731504</v>
      </c>
      <c r="F165" s="715">
        <f t="shared" si="19"/>
        <v>989.12949594731504</v>
      </c>
      <c r="G165" s="715">
        <f t="shared" si="19"/>
        <v>989.12949594731504</v>
      </c>
      <c r="H165" s="715">
        <f t="shared" si="19"/>
        <v>989.12949594731504</v>
      </c>
      <c r="I165" s="715">
        <f t="shared" si="19"/>
        <v>989.12949594731504</v>
      </c>
      <c r="J165" s="715">
        <f t="shared" si="19"/>
        <v>989.12949594731504</v>
      </c>
      <c r="K165" s="715">
        <f t="shared" si="19"/>
        <v>989.12949594731504</v>
      </c>
      <c r="L165" s="715">
        <f t="shared" si="19"/>
        <v>989.12949594731504</v>
      </c>
      <c r="M165" s="715">
        <f t="shared" si="19"/>
        <v>989.12949594731504</v>
      </c>
      <c r="N165" s="715">
        <f t="shared" si="19"/>
        <v>989.12949594731504</v>
      </c>
      <c r="O165" s="715">
        <f t="shared" si="19"/>
        <v>989.12949594731504</v>
      </c>
      <c r="P165" s="715">
        <f t="shared" si="19"/>
        <v>989.12949594731504</v>
      </c>
      <c r="Q165" s="715">
        <f t="shared" si="19"/>
        <v>989.12949594731504</v>
      </c>
      <c r="R165" s="715">
        <f t="shared" si="19"/>
        <v>989.12949594731504</v>
      </c>
      <c r="S165" s="715">
        <f t="shared" si="19"/>
        <v>989.12949594731504</v>
      </c>
      <c r="T165" s="715">
        <f t="shared" si="19"/>
        <v>989.12949594731504</v>
      </c>
      <c r="U165" s="715">
        <f t="shared" si="19"/>
        <v>989.12949594731504</v>
      </c>
      <c r="V165" s="715">
        <f t="shared" si="19"/>
        <v>989.12949594731504</v>
      </c>
      <c r="W165" s="715">
        <f t="shared" si="19"/>
        <v>989.12949594731504</v>
      </c>
      <c r="X165" s="715">
        <f t="shared" si="19"/>
        <v>989.12949594731504</v>
      </c>
      <c r="Y165" s="715">
        <f t="shared" si="19"/>
        <v>989.12949594731504</v>
      </c>
      <c r="Z165" s="715">
        <f t="shared" si="19"/>
        <v>989.12949594731504</v>
      </c>
      <c r="AA165" s="715">
        <f t="shared" si="19"/>
        <v>989.12949594731504</v>
      </c>
      <c r="AB165" s="715">
        <f t="shared" si="19"/>
        <v>989.12949594731504</v>
      </c>
      <c r="AC165" s="715">
        <f t="shared" si="19"/>
        <v>989.12949594731504</v>
      </c>
      <c r="AD165" s="715">
        <f t="shared" si="19"/>
        <v>989.12949594731504</v>
      </c>
      <c r="AE165" s="715">
        <f t="shared" si="19"/>
        <v>989.12949594731504</v>
      </c>
      <c r="AF165" s="715">
        <f t="shared" si="19"/>
        <v>989.12949594731504</v>
      </c>
      <c r="AG165" s="715">
        <f t="shared" si="19"/>
        <v>989.12949594731504</v>
      </c>
      <c r="AH165" s="715">
        <f t="shared" si="19"/>
        <v>989.12949594731504</v>
      </c>
      <c r="AI165" s="715">
        <f t="shared" si="19"/>
        <v>989.12949594731504</v>
      </c>
      <c r="AJ165" s="715">
        <f t="shared" si="19"/>
        <v>989.12949594731504</v>
      </c>
      <c r="AK165" s="715">
        <f t="shared" si="19"/>
        <v>989.12949594731504</v>
      </c>
      <c r="AL165" s="715">
        <f t="shared" si="19"/>
        <v>989.12949594731504</v>
      </c>
      <c r="AM165" s="715">
        <f t="shared" si="19"/>
        <v>989.12949594731504</v>
      </c>
      <c r="AN165" s="715">
        <f t="shared" si="19"/>
        <v>989.12949594731504</v>
      </c>
      <c r="AO165" s="715">
        <f t="shared" si="19"/>
        <v>989.12949594731504</v>
      </c>
      <c r="AP165" s="715">
        <f t="shared" si="19"/>
        <v>989.12949594731504</v>
      </c>
      <c r="AQ165" s="715">
        <f t="shared" si="19"/>
        <v>989.12949594731504</v>
      </c>
      <c r="AR165" s="715">
        <f t="shared" si="19"/>
        <v>989.12949594731504</v>
      </c>
      <c r="AS165" s="715">
        <f t="shared" si="19"/>
        <v>989.12949594731504</v>
      </c>
      <c r="AT165" s="715">
        <f t="shared" si="19"/>
        <v>989.12949594731504</v>
      </c>
      <c r="AU165" s="715">
        <f t="shared" si="19"/>
        <v>989.12949594731504</v>
      </c>
      <c r="AV165" s="715">
        <f t="shared" si="19"/>
        <v>989.12949594731504</v>
      </c>
      <c r="AW165" s="715">
        <f t="shared" si="19"/>
        <v>989.12949594731504</v>
      </c>
    </row>
    <row r="166" spans="1:49" s="683" customFormat="1" ht="25.5" x14ac:dyDescent="0.2">
      <c r="A166" s="693" t="s">
        <v>513</v>
      </c>
      <c r="B166" s="715"/>
      <c r="C166" s="715"/>
      <c r="D166" s="715"/>
      <c r="E166" s="715"/>
      <c r="F166" s="715"/>
      <c r="G166" s="715"/>
      <c r="H166" s="715"/>
      <c r="I166" s="715"/>
      <c r="J166" s="715"/>
      <c r="K166" s="715"/>
      <c r="L166" s="715"/>
      <c r="M166" s="715"/>
      <c r="N166" s="715"/>
      <c r="O166" s="715"/>
      <c r="P166" s="715"/>
      <c r="Q166" s="715"/>
      <c r="R166" s="715"/>
      <c r="S166" s="715"/>
      <c r="T166" s="715"/>
      <c r="U166" s="715"/>
      <c r="V166" s="715"/>
      <c r="W166" s="715"/>
      <c r="X166" s="715"/>
      <c r="Y166" s="715"/>
      <c r="Z166" s="715"/>
      <c r="AA166" s="715"/>
      <c r="AB166" s="715"/>
      <c r="AC166" s="715"/>
      <c r="AD166" s="715"/>
      <c r="AE166" s="715"/>
      <c r="AF166" s="715"/>
      <c r="AG166" s="715"/>
      <c r="AH166" s="715"/>
      <c r="AI166" s="715"/>
      <c r="AJ166" s="715"/>
      <c r="AK166" s="715"/>
      <c r="AL166" s="715"/>
      <c r="AM166" s="715"/>
      <c r="AN166" s="715"/>
      <c r="AO166" s="715"/>
      <c r="AP166" s="715"/>
      <c r="AQ166" s="715"/>
      <c r="AR166" s="715"/>
      <c r="AS166" s="715"/>
      <c r="AT166" s="715"/>
      <c r="AU166" s="715"/>
      <c r="AV166" s="715"/>
      <c r="AW166" s="715"/>
    </row>
    <row r="167" spans="1:49" s="683" customFormat="1" x14ac:dyDescent="0.2">
      <c r="A167" s="719" t="s">
        <v>539</v>
      </c>
      <c r="B167" s="715">
        <f t="shared" ref="B167:AW167" si="20">B70</f>
        <v>323</v>
      </c>
      <c r="C167" s="715">
        <f t="shared" si="20"/>
        <v>352</v>
      </c>
      <c r="D167" s="715">
        <f t="shared" si="20"/>
        <v>338</v>
      </c>
      <c r="E167" s="715">
        <f t="shared" si="20"/>
        <v>434</v>
      </c>
      <c r="F167" s="715">
        <f t="shared" si="20"/>
        <v>492</v>
      </c>
      <c r="G167" s="715">
        <f t="shared" si="20"/>
        <v>511</v>
      </c>
      <c r="H167" s="715">
        <f t="shared" si="20"/>
        <v>562</v>
      </c>
      <c r="I167" s="715">
        <f t="shared" si="20"/>
        <v>708</v>
      </c>
      <c r="J167" s="715">
        <f t="shared" si="20"/>
        <v>874</v>
      </c>
      <c r="K167" s="715">
        <f t="shared" si="20"/>
        <v>1020</v>
      </c>
      <c r="L167" s="715">
        <f t="shared" si="20"/>
        <v>1088</v>
      </c>
      <c r="M167" s="715">
        <f t="shared" si="20"/>
        <v>1198</v>
      </c>
      <c r="N167" s="715">
        <f t="shared" si="20"/>
        <v>1328</v>
      </c>
      <c r="O167" s="715">
        <f t="shared" si="20"/>
        <v>1456</v>
      </c>
      <c r="P167" s="715">
        <f t="shared" si="20"/>
        <v>1449.81318681318</v>
      </c>
      <c r="Q167" s="715">
        <f t="shared" si="20"/>
        <v>1767</v>
      </c>
      <c r="R167" s="715">
        <f t="shared" si="20"/>
        <v>1793</v>
      </c>
      <c r="S167" s="715">
        <f t="shared" si="20"/>
        <v>1895</v>
      </c>
      <c r="T167" s="715">
        <f t="shared" si="20"/>
        <v>2048</v>
      </c>
      <c r="U167" s="715">
        <f t="shared" si="20"/>
        <v>2188</v>
      </c>
      <c r="V167" s="715">
        <f t="shared" si="20"/>
        <v>2213</v>
      </c>
      <c r="W167" s="715">
        <f t="shared" si="20"/>
        <v>2425</v>
      </c>
      <c r="X167" s="715">
        <f t="shared" si="20"/>
        <v>2473</v>
      </c>
      <c r="Y167" s="715">
        <f t="shared" si="20"/>
        <v>2483</v>
      </c>
      <c r="Z167" s="715">
        <f t="shared" si="20"/>
        <v>2557</v>
      </c>
      <c r="AA167" s="715">
        <f t="shared" si="20"/>
        <v>2625</v>
      </c>
      <c r="AB167" s="715">
        <f t="shared" si="20"/>
        <v>2535</v>
      </c>
      <c r="AC167" s="715">
        <f t="shared" si="20"/>
        <v>2601</v>
      </c>
      <c r="AD167" s="715">
        <f t="shared" si="20"/>
        <v>2575</v>
      </c>
      <c r="AE167" s="715">
        <f t="shared" si="20"/>
        <v>0</v>
      </c>
      <c r="AF167" s="715">
        <f t="shared" si="20"/>
        <v>0</v>
      </c>
      <c r="AG167" s="715">
        <f t="shared" si="20"/>
        <v>0</v>
      </c>
      <c r="AH167" s="715">
        <f t="shared" si="20"/>
        <v>0</v>
      </c>
      <c r="AI167" s="715">
        <f t="shared" si="20"/>
        <v>0</v>
      </c>
      <c r="AJ167" s="715">
        <f t="shared" si="20"/>
        <v>0</v>
      </c>
      <c r="AK167" s="715">
        <f t="shared" si="20"/>
        <v>0</v>
      </c>
      <c r="AL167" s="715">
        <f t="shared" si="20"/>
        <v>0</v>
      </c>
      <c r="AM167" s="715">
        <f t="shared" si="20"/>
        <v>0</v>
      </c>
      <c r="AN167" s="715">
        <f t="shared" si="20"/>
        <v>0</v>
      </c>
      <c r="AO167" s="715">
        <f t="shared" si="20"/>
        <v>0</v>
      </c>
      <c r="AP167" s="715">
        <f t="shared" si="20"/>
        <v>0</v>
      </c>
      <c r="AQ167" s="715">
        <f t="shared" si="20"/>
        <v>0</v>
      </c>
      <c r="AR167" s="715">
        <f t="shared" si="20"/>
        <v>0</v>
      </c>
      <c r="AS167" s="715">
        <f t="shared" si="20"/>
        <v>0</v>
      </c>
      <c r="AT167" s="715">
        <f t="shared" si="20"/>
        <v>0</v>
      </c>
      <c r="AU167" s="715">
        <f t="shared" si="20"/>
        <v>0</v>
      </c>
      <c r="AV167" s="715">
        <f t="shared" si="20"/>
        <v>0</v>
      </c>
      <c r="AW167" s="715">
        <f t="shared" si="20"/>
        <v>0</v>
      </c>
    </row>
    <row r="168" spans="1:49" s="683" customFormat="1" x14ac:dyDescent="0.2">
      <c r="A168" s="683" t="s">
        <v>131</v>
      </c>
      <c r="B168" s="715">
        <f t="shared" ref="B168:M168" si="21">MEDIAN($B$167:$M$167)</f>
        <v>536.5</v>
      </c>
      <c r="C168" s="715">
        <f t="shared" si="21"/>
        <v>536.5</v>
      </c>
      <c r="D168" s="715">
        <f t="shared" si="21"/>
        <v>536.5</v>
      </c>
      <c r="E168" s="715">
        <f t="shared" si="21"/>
        <v>536.5</v>
      </c>
      <c r="F168" s="715">
        <f t="shared" si="21"/>
        <v>536.5</v>
      </c>
      <c r="G168" s="715">
        <f t="shared" si="21"/>
        <v>536.5</v>
      </c>
      <c r="H168" s="715">
        <f t="shared" si="21"/>
        <v>536.5</v>
      </c>
      <c r="I168" s="715">
        <f t="shared" si="21"/>
        <v>536.5</v>
      </c>
      <c r="J168" s="715">
        <f t="shared" si="21"/>
        <v>536.5</v>
      </c>
      <c r="K168" s="715">
        <f t="shared" si="21"/>
        <v>536.5</v>
      </c>
      <c r="L168" s="715">
        <f t="shared" si="21"/>
        <v>536.5</v>
      </c>
      <c r="M168" s="715">
        <f t="shared" si="21"/>
        <v>536.5</v>
      </c>
      <c r="N168" s="720"/>
      <c r="O168" s="720"/>
      <c r="P168" s="720"/>
      <c r="Q168" s="720"/>
      <c r="R168" s="720"/>
      <c r="S168" s="720"/>
      <c r="T168" s="720"/>
      <c r="U168" s="720"/>
      <c r="V168" s="720"/>
      <c r="W168" s="721"/>
      <c r="X168" s="721"/>
      <c r="Y168" s="721"/>
      <c r="Z168" s="721"/>
      <c r="AA168" s="715"/>
      <c r="AB168" s="715"/>
      <c r="AC168" s="715"/>
      <c r="AD168" s="715"/>
      <c r="AE168" s="715"/>
      <c r="AF168" s="715"/>
      <c r="AG168" s="715"/>
      <c r="AH168" s="715"/>
      <c r="AI168" s="715"/>
      <c r="AJ168" s="715"/>
      <c r="AK168" s="715"/>
      <c r="AL168" s="715"/>
      <c r="AM168" s="715"/>
      <c r="AN168" s="715"/>
      <c r="AO168" s="715"/>
      <c r="AP168" s="715"/>
      <c r="AQ168" s="715"/>
      <c r="AR168" s="715"/>
      <c r="AS168" s="715"/>
      <c r="AT168" s="715"/>
      <c r="AU168" s="715"/>
      <c r="AV168" s="715"/>
      <c r="AW168" s="715"/>
    </row>
    <row r="169" spans="1:49" s="683" customFormat="1" x14ac:dyDescent="0.2">
      <c r="A169" s="683" t="s">
        <v>184</v>
      </c>
      <c r="B169" s="715"/>
      <c r="C169" s="715"/>
      <c r="D169" s="715"/>
      <c r="E169" s="715"/>
      <c r="F169" s="715"/>
      <c r="G169" s="715"/>
      <c r="H169" s="715"/>
      <c r="I169" s="715"/>
      <c r="J169" s="715"/>
      <c r="K169" s="720"/>
      <c r="L169" s="720"/>
      <c r="M169" s="715">
        <f>MEDIAN($B$167:$M$167)</f>
        <v>536.5</v>
      </c>
      <c r="N169" s="715">
        <f>MEDIAN($B$167:$M$167)</f>
        <v>536.5</v>
      </c>
      <c r="O169" s="715" t="s">
        <v>385</v>
      </c>
      <c r="P169" s="715" t="s">
        <v>385</v>
      </c>
      <c r="Q169" s="715" t="s">
        <v>385</v>
      </c>
      <c r="R169" s="715" t="s">
        <v>385</v>
      </c>
      <c r="S169" s="715" t="s">
        <v>385</v>
      </c>
      <c r="T169" s="715" t="s">
        <v>385</v>
      </c>
      <c r="U169" s="715" t="s">
        <v>385</v>
      </c>
      <c r="V169" s="715" t="s">
        <v>385</v>
      </c>
      <c r="W169" s="715" t="s">
        <v>385</v>
      </c>
      <c r="X169" s="715" t="s">
        <v>385</v>
      </c>
      <c r="Y169" s="715" t="s">
        <v>385</v>
      </c>
      <c r="Z169" s="715" t="s">
        <v>385</v>
      </c>
      <c r="AA169" s="715"/>
      <c r="AB169" s="715"/>
      <c r="AC169" s="715"/>
      <c r="AD169" s="715"/>
      <c r="AE169" s="715"/>
      <c r="AF169" s="715"/>
      <c r="AG169" s="715"/>
      <c r="AH169" s="715"/>
      <c r="AI169" s="715"/>
      <c r="AJ169" s="715"/>
      <c r="AK169" s="715"/>
      <c r="AL169" s="715"/>
      <c r="AM169" s="715"/>
      <c r="AN169" s="715"/>
      <c r="AO169" s="715"/>
      <c r="AP169" s="715"/>
      <c r="AQ169" s="715"/>
      <c r="AR169" s="715"/>
      <c r="AS169" s="715"/>
      <c r="AT169" s="715"/>
      <c r="AU169" s="715"/>
      <c r="AV169" s="715"/>
      <c r="AW169" s="715"/>
    </row>
    <row r="170" spans="1:49" s="683" customFormat="1" x14ac:dyDescent="0.2">
      <c r="A170" s="683" t="s">
        <v>318</v>
      </c>
      <c r="B170" s="715"/>
      <c r="C170" s="715"/>
      <c r="D170" s="715"/>
      <c r="E170" s="715"/>
      <c r="F170" s="715"/>
      <c r="G170" s="715"/>
      <c r="H170" s="715"/>
      <c r="I170" s="715"/>
      <c r="J170" s="715"/>
      <c r="K170" s="720"/>
      <c r="L170" s="720"/>
      <c r="M170" s="715"/>
      <c r="N170" s="715">
        <f t="shared" ref="N170:Y170" si="22">MEDIAN($N$167:$Y$167)</f>
        <v>1971.5</v>
      </c>
      <c r="O170" s="715">
        <f t="shared" si="22"/>
        <v>1971.5</v>
      </c>
      <c r="P170" s="715">
        <f t="shared" si="22"/>
        <v>1971.5</v>
      </c>
      <c r="Q170" s="715">
        <f t="shared" si="22"/>
        <v>1971.5</v>
      </c>
      <c r="R170" s="715">
        <f t="shared" si="22"/>
        <v>1971.5</v>
      </c>
      <c r="S170" s="715">
        <f t="shared" si="22"/>
        <v>1971.5</v>
      </c>
      <c r="T170" s="715">
        <f t="shared" si="22"/>
        <v>1971.5</v>
      </c>
      <c r="U170" s="715">
        <f t="shared" si="22"/>
        <v>1971.5</v>
      </c>
      <c r="V170" s="715">
        <f t="shared" si="22"/>
        <v>1971.5</v>
      </c>
      <c r="W170" s="715">
        <f t="shared" si="22"/>
        <v>1971.5</v>
      </c>
      <c r="X170" s="715">
        <f t="shared" si="22"/>
        <v>1971.5</v>
      </c>
      <c r="Y170" s="715">
        <f t="shared" si="22"/>
        <v>1971.5</v>
      </c>
      <c r="Z170" s="715" t="s">
        <v>385</v>
      </c>
      <c r="AA170" s="715"/>
      <c r="AB170" s="715"/>
      <c r="AC170" s="715"/>
      <c r="AD170" s="715"/>
      <c r="AE170" s="715"/>
      <c r="AF170" s="715"/>
      <c r="AG170" s="715"/>
      <c r="AH170" s="715"/>
      <c r="AI170" s="715"/>
      <c r="AJ170" s="715"/>
      <c r="AK170" s="715"/>
      <c r="AL170" s="715"/>
      <c r="AM170" s="715"/>
      <c r="AN170" s="715"/>
      <c r="AO170" s="715"/>
      <c r="AP170" s="715"/>
      <c r="AQ170" s="715"/>
      <c r="AR170" s="715"/>
      <c r="AS170" s="715"/>
      <c r="AT170" s="715"/>
      <c r="AU170" s="715"/>
      <c r="AV170" s="715"/>
      <c r="AW170" s="715"/>
    </row>
    <row r="171" spans="1:49" s="683" customFormat="1" x14ac:dyDescent="0.2">
      <c r="A171" s="683" t="s">
        <v>319</v>
      </c>
      <c r="B171" s="715"/>
      <c r="C171" s="715"/>
      <c r="D171" s="715"/>
      <c r="E171" s="715"/>
      <c r="F171" s="715"/>
      <c r="G171" s="715"/>
      <c r="H171" s="715"/>
      <c r="I171" s="715"/>
      <c r="J171" s="715"/>
      <c r="K171" s="720"/>
      <c r="L171" s="720"/>
      <c r="M171" s="715"/>
      <c r="N171" s="715"/>
      <c r="O171" s="715"/>
      <c r="P171" s="715"/>
      <c r="Q171" s="715"/>
      <c r="R171" s="715"/>
      <c r="S171" s="715"/>
      <c r="T171" s="715"/>
      <c r="U171" s="715"/>
      <c r="V171" s="715"/>
      <c r="W171" s="715"/>
      <c r="X171" s="715"/>
      <c r="Y171" s="715">
        <f t="shared" ref="Y171:AW171" si="23">MEDIAN($N$167:$Y$167)</f>
        <v>1971.5</v>
      </c>
      <c r="Z171" s="715">
        <f t="shared" si="23"/>
        <v>1971.5</v>
      </c>
      <c r="AA171" s="715">
        <f t="shared" si="23"/>
        <v>1971.5</v>
      </c>
      <c r="AB171" s="715">
        <f t="shared" si="23"/>
        <v>1971.5</v>
      </c>
      <c r="AC171" s="715">
        <f t="shared" si="23"/>
        <v>1971.5</v>
      </c>
      <c r="AD171" s="715">
        <f t="shared" si="23"/>
        <v>1971.5</v>
      </c>
      <c r="AE171" s="715">
        <f t="shared" si="23"/>
        <v>1971.5</v>
      </c>
      <c r="AF171" s="715">
        <f t="shared" si="23"/>
        <v>1971.5</v>
      </c>
      <c r="AG171" s="715">
        <f t="shared" si="23"/>
        <v>1971.5</v>
      </c>
      <c r="AH171" s="715">
        <f t="shared" si="23"/>
        <v>1971.5</v>
      </c>
      <c r="AI171" s="715">
        <f t="shared" si="23"/>
        <v>1971.5</v>
      </c>
      <c r="AJ171" s="715">
        <f t="shared" si="23"/>
        <v>1971.5</v>
      </c>
      <c r="AK171" s="715">
        <f t="shared" si="23"/>
        <v>1971.5</v>
      </c>
      <c r="AL171" s="715">
        <f t="shared" si="23"/>
        <v>1971.5</v>
      </c>
      <c r="AM171" s="715">
        <f t="shared" si="23"/>
        <v>1971.5</v>
      </c>
      <c r="AN171" s="715">
        <f t="shared" si="23"/>
        <v>1971.5</v>
      </c>
      <c r="AO171" s="715">
        <f t="shared" si="23"/>
        <v>1971.5</v>
      </c>
      <c r="AP171" s="715">
        <f t="shared" si="23"/>
        <v>1971.5</v>
      </c>
      <c r="AQ171" s="715">
        <f t="shared" si="23"/>
        <v>1971.5</v>
      </c>
      <c r="AR171" s="715">
        <f t="shared" si="23"/>
        <v>1971.5</v>
      </c>
      <c r="AS171" s="715">
        <f t="shared" si="23"/>
        <v>1971.5</v>
      </c>
      <c r="AT171" s="715">
        <f t="shared" si="23"/>
        <v>1971.5</v>
      </c>
      <c r="AU171" s="715">
        <f t="shared" si="23"/>
        <v>1971.5</v>
      </c>
      <c r="AV171" s="715">
        <f t="shared" si="23"/>
        <v>1971.5</v>
      </c>
      <c r="AW171" s="715">
        <f t="shared" si="23"/>
        <v>1971.5</v>
      </c>
    </row>
    <row r="172" spans="1:49" s="683" customFormat="1" x14ac:dyDescent="0.2">
      <c r="A172" s="702" t="s">
        <v>490</v>
      </c>
      <c r="B172" s="715"/>
      <c r="C172" s="715">
        <f>(C167-B167)</f>
        <v>29</v>
      </c>
      <c r="D172" s="715">
        <f>(D167-C167)*-1</f>
        <v>14</v>
      </c>
      <c r="E172" s="715">
        <f t="shared" ref="E172:AA172" si="24">(E167-D167)</f>
        <v>96</v>
      </c>
      <c r="F172" s="715">
        <f t="shared" si="24"/>
        <v>58</v>
      </c>
      <c r="G172" s="715">
        <f t="shared" si="24"/>
        <v>19</v>
      </c>
      <c r="H172" s="715">
        <f t="shared" si="24"/>
        <v>51</v>
      </c>
      <c r="I172" s="715">
        <f t="shared" si="24"/>
        <v>146</v>
      </c>
      <c r="J172" s="715">
        <f t="shared" si="24"/>
        <v>166</v>
      </c>
      <c r="K172" s="715">
        <f t="shared" si="24"/>
        <v>146</v>
      </c>
      <c r="L172" s="715">
        <f t="shared" si="24"/>
        <v>68</v>
      </c>
      <c r="M172" s="715">
        <f t="shared" si="24"/>
        <v>110</v>
      </c>
      <c r="N172" s="715">
        <f t="shared" si="24"/>
        <v>130</v>
      </c>
      <c r="O172" s="715">
        <f t="shared" si="24"/>
        <v>128</v>
      </c>
      <c r="P172" s="715">
        <f>(P167-O167)*-1</f>
        <v>6.186813186820018</v>
      </c>
      <c r="Q172" s="715">
        <f t="shared" si="24"/>
        <v>317.18681318682002</v>
      </c>
      <c r="R172" s="715">
        <f t="shared" si="24"/>
        <v>26</v>
      </c>
      <c r="S172" s="715">
        <f t="shared" si="24"/>
        <v>102</v>
      </c>
      <c r="T172" s="715">
        <f t="shared" si="24"/>
        <v>153</v>
      </c>
      <c r="U172" s="715">
        <f t="shared" si="24"/>
        <v>140</v>
      </c>
      <c r="V172" s="715">
        <f t="shared" si="24"/>
        <v>25</v>
      </c>
      <c r="W172" s="715">
        <f t="shared" si="24"/>
        <v>212</v>
      </c>
      <c r="X172" s="715">
        <f t="shared" si="24"/>
        <v>48</v>
      </c>
      <c r="Y172" s="715">
        <f t="shared" si="24"/>
        <v>10</v>
      </c>
      <c r="Z172" s="715">
        <f t="shared" si="24"/>
        <v>74</v>
      </c>
      <c r="AA172" s="715">
        <f t="shared" si="24"/>
        <v>68</v>
      </c>
      <c r="AB172" s="715">
        <f>(AB167-AA167)*-1</f>
        <v>90</v>
      </c>
      <c r="AC172" s="715">
        <f>(AC167-AB167)</f>
        <v>66</v>
      </c>
      <c r="AD172" s="715">
        <f>(AD167-AC167)*-1</f>
        <v>26</v>
      </c>
      <c r="AE172" s="715"/>
      <c r="AF172" s="715"/>
      <c r="AG172" s="715"/>
      <c r="AH172" s="715"/>
      <c r="AI172" s="715"/>
      <c r="AJ172" s="715"/>
      <c r="AK172" s="715"/>
      <c r="AL172" s="715"/>
      <c r="AM172" s="715"/>
      <c r="AN172" s="715"/>
      <c r="AO172" s="715"/>
      <c r="AP172" s="715"/>
      <c r="AQ172" s="715"/>
      <c r="AR172" s="715"/>
      <c r="AS172" s="715"/>
      <c r="AT172" s="715"/>
      <c r="AU172" s="715"/>
      <c r="AV172" s="715"/>
      <c r="AW172" s="715"/>
    </row>
    <row r="173" spans="1:49" s="683" customFormat="1" ht="42.75" x14ac:dyDescent="0.2">
      <c r="A173" s="703" t="s">
        <v>521</v>
      </c>
      <c r="B173" s="715"/>
      <c r="C173" s="715"/>
      <c r="D173" s="715"/>
      <c r="E173" s="715"/>
      <c r="F173" s="715"/>
      <c r="G173" s="715"/>
      <c r="H173" s="715"/>
      <c r="I173" s="715"/>
      <c r="J173" s="715"/>
      <c r="K173" s="720"/>
      <c r="L173" s="720"/>
      <c r="M173" s="715"/>
      <c r="N173" s="715"/>
      <c r="O173" s="715"/>
      <c r="P173" s="715"/>
      <c r="Q173" s="715"/>
      <c r="R173" s="715"/>
      <c r="S173" s="715"/>
      <c r="T173" s="715"/>
      <c r="U173" s="715"/>
      <c r="V173" s="715"/>
      <c r="W173" s="715"/>
      <c r="X173" s="715"/>
      <c r="Y173" s="715"/>
      <c r="Z173" s="715"/>
      <c r="AA173" s="715"/>
      <c r="AB173" s="715"/>
      <c r="AC173" s="715"/>
      <c r="AD173" s="715"/>
      <c r="AE173" s="715"/>
      <c r="AF173" s="715"/>
      <c r="AG173" s="715"/>
      <c r="AH173" s="715"/>
      <c r="AI173" s="715"/>
      <c r="AJ173" s="715"/>
      <c r="AK173" s="715"/>
      <c r="AL173" s="715"/>
      <c r="AM173" s="715"/>
      <c r="AN173" s="715"/>
      <c r="AO173" s="715"/>
      <c r="AP173" s="715"/>
      <c r="AQ173" s="715"/>
      <c r="AR173" s="715"/>
      <c r="AS173" s="715"/>
      <c r="AT173" s="715"/>
      <c r="AU173" s="715"/>
      <c r="AV173" s="715"/>
      <c r="AW173" s="715"/>
    </row>
    <row r="174" spans="1:49" s="683" customFormat="1" x14ac:dyDescent="0.2">
      <c r="A174" s="674" t="s">
        <v>492</v>
      </c>
      <c r="B174" s="715">
        <f t="shared" ref="B174:AW174" si="25">AVERAGE($B$167:$AW$167)</f>
        <v>923.16277472527463</v>
      </c>
      <c r="C174" s="715">
        <f t="shared" si="25"/>
        <v>923.16277472527463</v>
      </c>
      <c r="D174" s="715">
        <f t="shared" si="25"/>
        <v>923.16277472527463</v>
      </c>
      <c r="E174" s="715">
        <f t="shared" si="25"/>
        <v>923.16277472527463</v>
      </c>
      <c r="F174" s="715">
        <f t="shared" si="25"/>
        <v>923.16277472527463</v>
      </c>
      <c r="G174" s="715">
        <f t="shared" si="25"/>
        <v>923.16277472527463</v>
      </c>
      <c r="H174" s="715">
        <f t="shared" si="25"/>
        <v>923.16277472527463</v>
      </c>
      <c r="I174" s="715">
        <f t="shared" si="25"/>
        <v>923.16277472527463</v>
      </c>
      <c r="J174" s="715">
        <f t="shared" si="25"/>
        <v>923.16277472527463</v>
      </c>
      <c r="K174" s="715">
        <f t="shared" si="25"/>
        <v>923.16277472527463</v>
      </c>
      <c r="L174" s="715">
        <f t="shared" si="25"/>
        <v>923.16277472527463</v>
      </c>
      <c r="M174" s="715">
        <f t="shared" si="25"/>
        <v>923.16277472527463</v>
      </c>
      <c r="N174" s="715">
        <f t="shared" si="25"/>
        <v>923.16277472527463</v>
      </c>
      <c r="O174" s="715">
        <f t="shared" si="25"/>
        <v>923.16277472527463</v>
      </c>
      <c r="P174" s="715">
        <f t="shared" si="25"/>
        <v>923.16277472527463</v>
      </c>
      <c r="Q174" s="715">
        <f t="shared" si="25"/>
        <v>923.16277472527463</v>
      </c>
      <c r="R174" s="715">
        <f t="shared" si="25"/>
        <v>923.16277472527463</v>
      </c>
      <c r="S174" s="715">
        <f t="shared" si="25"/>
        <v>923.16277472527463</v>
      </c>
      <c r="T174" s="715">
        <f t="shared" si="25"/>
        <v>923.16277472527463</v>
      </c>
      <c r="U174" s="715">
        <f t="shared" si="25"/>
        <v>923.16277472527463</v>
      </c>
      <c r="V174" s="715">
        <f t="shared" si="25"/>
        <v>923.16277472527463</v>
      </c>
      <c r="W174" s="715">
        <f t="shared" si="25"/>
        <v>923.16277472527463</v>
      </c>
      <c r="X174" s="715">
        <f t="shared" si="25"/>
        <v>923.16277472527463</v>
      </c>
      <c r="Y174" s="715">
        <f t="shared" si="25"/>
        <v>923.16277472527463</v>
      </c>
      <c r="Z174" s="715">
        <f t="shared" si="25"/>
        <v>923.16277472527463</v>
      </c>
      <c r="AA174" s="715">
        <f t="shared" si="25"/>
        <v>923.16277472527463</v>
      </c>
      <c r="AB174" s="715">
        <f t="shared" si="25"/>
        <v>923.16277472527463</v>
      </c>
      <c r="AC174" s="715">
        <f t="shared" si="25"/>
        <v>923.16277472527463</v>
      </c>
      <c r="AD174" s="715">
        <f t="shared" si="25"/>
        <v>923.16277472527463</v>
      </c>
      <c r="AE174" s="715">
        <f t="shared" si="25"/>
        <v>923.16277472527463</v>
      </c>
      <c r="AF174" s="715">
        <f t="shared" si="25"/>
        <v>923.16277472527463</v>
      </c>
      <c r="AG174" s="715">
        <f t="shared" si="25"/>
        <v>923.16277472527463</v>
      </c>
      <c r="AH174" s="715">
        <f t="shared" si="25"/>
        <v>923.16277472527463</v>
      </c>
      <c r="AI174" s="715">
        <f t="shared" si="25"/>
        <v>923.16277472527463</v>
      </c>
      <c r="AJ174" s="715">
        <f t="shared" si="25"/>
        <v>923.16277472527463</v>
      </c>
      <c r="AK174" s="715">
        <f t="shared" si="25"/>
        <v>923.16277472527463</v>
      </c>
      <c r="AL174" s="715">
        <f t="shared" si="25"/>
        <v>923.16277472527463</v>
      </c>
      <c r="AM174" s="715">
        <f t="shared" si="25"/>
        <v>923.16277472527463</v>
      </c>
      <c r="AN174" s="715">
        <f t="shared" si="25"/>
        <v>923.16277472527463</v>
      </c>
      <c r="AO174" s="715">
        <f t="shared" si="25"/>
        <v>923.16277472527463</v>
      </c>
      <c r="AP174" s="715">
        <f t="shared" si="25"/>
        <v>923.16277472527463</v>
      </c>
      <c r="AQ174" s="715">
        <f t="shared" si="25"/>
        <v>923.16277472527463</v>
      </c>
      <c r="AR174" s="715">
        <f t="shared" si="25"/>
        <v>923.16277472527463</v>
      </c>
      <c r="AS174" s="715">
        <f t="shared" si="25"/>
        <v>923.16277472527463</v>
      </c>
      <c r="AT174" s="715">
        <f t="shared" si="25"/>
        <v>923.16277472527463</v>
      </c>
      <c r="AU174" s="715">
        <f t="shared" si="25"/>
        <v>923.16277472527463</v>
      </c>
      <c r="AV174" s="715">
        <f t="shared" si="25"/>
        <v>923.16277472527463</v>
      </c>
      <c r="AW174" s="715">
        <f t="shared" si="25"/>
        <v>923.16277472527463</v>
      </c>
    </row>
    <row r="175" spans="1:49" s="683" customFormat="1" x14ac:dyDescent="0.2">
      <c r="A175" s="702" t="s">
        <v>491</v>
      </c>
      <c r="B175" s="715">
        <f>SUM(C172:AW172)/COUNT(C172:AW172)</f>
        <v>90.156200941915714</v>
      </c>
      <c r="C175" s="715"/>
      <c r="D175" s="715"/>
      <c r="E175" s="715"/>
      <c r="F175" s="715"/>
      <c r="G175" s="715"/>
      <c r="H175" s="715"/>
      <c r="I175" s="715"/>
      <c r="J175" s="715"/>
      <c r="K175" s="720"/>
      <c r="L175" s="720"/>
      <c r="M175" s="715"/>
      <c r="N175" s="715"/>
      <c r="O175" s="715"/>
      <c r="P175" s="715"/>
      <c r="Q175" s="715"/>
      <c r="R175" s="715"/>
      <c r="S175" s="715"/>
      <c r="T175" s="715"/>
      <c r="U175" s="715"/>
      <c r="V175" s="715"/>
      <c r="W175" s="715"/>
      <c r="X175" s="715"/>
      <c r="Y175" s="715"/>
      <c r="Z175" s="715"/>
      <c r="AA175" s="715"/>
      <c r="AB175" s="715"/>
      <c r="AC175" s="715"/>
      <c r="AD175" s="715"/>
      <c r="AE175" s="715"/>
      <c r="AF175" s="715"/>
      <c r="AG175" s="715"/>
      <c r="AH175" s="715"/>
      <c r="AI175" s="715"/>
      <c r="AJ175" s="715"/>
      <c r="AK175" s="715"/>
      <c r="AL175" s="715"/>
      <c r="AM175" s="715"/>
      <c r="AN175" s="715"/>
      <c r="AO175" s="715"/>
      <c r="AP175" s="715"/>
      <c r="AQ175" s="715"/>
      <c r="AR175" s="715"/>
      <c r="AS175" s="715"/>
      <c r="AT175" s="715"/>
      <c r="AU175" s="715"/>
      <c r="AV175" s="715"/>
      <c r="AW175" s="715"/>
    </row>
    <row r="176" spans="1:49" s="683" customFormat="1" ht="25.5" x14ac:dyDescent="0.2">
      <c r="A176" s="702" t="s">
        <v>494</v>
      </c>
      <c r="B176" s="715">
        <f>B175/1.128</f>
        <v>79.925710054889819</v>
      </c>
      <c r="C176" s="715"/>
      <c r="D176" s="715"/>
      <c r="E176" s="715"/>
      <c r="F176" s="715"/>
      <c r="G176" s="715"/>
      <c r="H176" s="715"/>
      <c r="I176" s="715"/>
      <c r="J176" s="715"/>
      <c r="K176" s="720"/>
      <c r="L176" s="720"/>
      <c r="M176" s="715"/>
      <c r="N176" s="715"/>
      <c r="O176" s="715"/>
      <c r="P176" s="715"/>
      <c r="Q176" s="715"/>
      <c r="R176" s="715"/>
      <c r="S176" s="715"/>
      <c r="T176" s="715"/>
      <c r="U176" s="715"/>
      <c r="V176" s="715"/>
      <c r="W176" s="715"/>
      <c r="X176" s="715"/>
      <c r="Y176" s="715"/>
      <c r="Z176" s="715"/>
      <c r="AA176" s="715"/>
      <c r="AB176" s="715"/>
      <c r="AC176" s="715"/>
      <c r="AD176" s="715"/>
      <c r="AE176" s="715"/>
      <c r="AF176" s="715"/>
      <c r="AG176" s="715"/>
      <c r="AH176" s="715"/>
      <c r="AI176" s="715"/>
      <c r="AJ176" s="715"/>
      <c r="AK176" s="715"/>
      <c r="AL176" s="715"/>
      <c r="AM176" s="715"/>
      <c r="AN176" s="715"/>
      <c r="AO176" s="715"/>
      <c r="AP176" s="715"/>
      <c r="AQ176" s="715"/>
      <c r="AR176" s="715"/>
      <c r="AS176" s="715"/>
      <c r="AT176" s="715"/>
      <c r="AU176" s="715"/>
      <c r="AV176" s="715"/>
      <c r="AW176" s="715"/>
    </row>
    <row r="177" spans="1:49" s="683" customFormat="1" x14ac:dyDescent="0.2">
      <c r="A177" s="702" t="s">
        <v>497</v>
      </c>
      <c r="B177" s="715">
        <f t="shared" ref="B177:AW177" si="26">$B$174+(3*$B$176)</f>
        <v>1162.939904889944</v>
      </c>
      <c r="C177" s="715">
        <f t="shared" si="26"/>
        <v>1162.939904889944</v>
      </c>
      <c r="D177" s="715">
        <f t="shared" si="26"/>
        <v>1162.939904889944</v>
      </c>
      <c r="E177" s="715">
        <f t="shared" si="26"/>
        <v>1162.939904889944</v>
      </c>
      <c r="F177" s="715">
        <f t="shared" si="26"/>
        <v>1162.939904889944</v>
      </c>
      <c r="G177" s="715">
        <f t="shared" si="26"/>
        <v>1162.939904889944</v>
      </c>
      <c r="H177" s="715">
        <f t="shared" si="26"/>
        <v>1162.939904889944</v>
      </c>
      <c r="I177" s="715">
        <f t="shared" si="26"/>
        <v>1162.939904889944</v>
      </c>
      <c r="J177" s="715">
        <f t="shared" si="26"/>
        <v>1162.939904889944</v>
      </c>
      <c r="K177" s="715">
        <f t="shared" si="26"/>
        <v>1162.939904889944</v>
      </c>
      <c r="L177" s="715">
        <f t="shared" si="26"/>
        <v>1162.939904889944</v>
      </c>
      <c r="M177" s="715">
        <f t="shared" si="26"/>
        <v>1162.939904889944</v>
      </c>
      <c r="N177" s="715">
        <f t="shared" si="26"/>
        <v>1162.939904889944</v>
      </c>
      <c r="O177" s="715">
        <f t="shared" si="26"/>
        <v>1162.939904889944</v>
      </c>
      <c r="P177" s="715">
        <f t="shared" si="26"/>
        <v>1162.939904889944</v>
      </c>
      <c r="Q177" s="715">
        <f t="shared" si="26"/>
        <v>1162.939904889944</v>
      </c>
      <c r="R177" s="715">
        <f t="shared" si="26"/>
        <v>1162.939904889944</v>
      </c>
      <c r="S177" s="715">
        <f t="shared" si="26"/>
        <v>1162.939904889944</v>
      </c>
      <c r="T177" s="715">
        <f t="shared" si="26"/>
        <v>1162.939904889944</v>
      </c>
      <c r="U177" s="715">
        <f t="shared" si="26"/>
        <v>1162.939904889944</v>
      </c>
      <c r="V177" s="715">
        <f t="shared" si="26"/>
        <v>1162.939904889944</v>
      </c>
      <c r="W177" s="715">
        <f t="shared" si="26"/>
        <v>1162.939904889944</v>
      </c>
      <c r="X177" s="715">
        <f t="shared" si="26"/>
        <v>1162.939904889944</v>
      </c>
      <c r="Y177" s="715">
        <f t="shared" si="26"/>
        <v>1162.939904889944</v>
      </c>
      <c r="Z177" s="715">
        <f t="shared" si="26"/>
        <v>1162.939904889944</v>
      </c>
      <c r="AA177" s="715">
        <f t="shared" si="26"/>
        <v>1162.939904889944</v>
      </c>
      <c r="AB177" s="715">
        <f t="shared" si="26"/>
        <v>1162.939904889944</v>
      </c>
      <c r="AC177" s="715">
        <f t="shared" si="26"/>
        <v>1162.939904889944</v>
      </c>
      <c r="AD177" s="715">
        <f t="shared" si="26"/>
        <v>1162.939904889944</v>
      </c>
      <c r="AE177" s="715">
        <f t="shared" si="26"/>
        <v>1162.939904889944</v>
      </c>
      <c r="AF177" s="715">
        <f t="shared" si="26"/>
        <v>1162.939904889944</v>
      </c>
      <c r="AG177" s="715">
        <f t="shared" si="26"/>
        <v>1162.939904889944</v>
      </c>
      <c r="AH177" s="715">
        <f t="shared" si="26"/>
        <v>1162.939904889944</v>
      </c>
      <c r="AI177" s="715">
        <f t="shared" si="26"/>
        <v>1162.939904889944</v>
      </c>
      <c r="AJ177" s="715">
        <f t="shared" si="26"/>
        <v>1162.939904889944</v>
      </c>
      <c r="AK177" s="715">
        <f t="shared" si="26"/>
        <v>1162.939904889944</v>
      </c>
      <c r="AL177" s="715">
        <f t="shared" si="26"/>
        <v>1162.939904889944</v>
      </c>
      <c r="AM177" s="715">
        <f t="shared" si="26"/>
        <v>1162.939904889944</v>
      </c>
      <c r="AN177" s="715">
        <f t="shared" si="26"/>
        <v>1162.939904889944</v>
      </c>
      <c r="AO177" s="715">
        <f t="shared" si="26"/>
        <v>1162.939904889944</v>
      </c>
      <c r="AP177" s="715">
        <f t="shared" si="26"/>
        <v>1162.939904889944</v>
      </c>
      <c r="AQ177" s="715">
        <f t="shared" si="26"/>
        <v>1162.939904889944</v>
      </c>
      <c r="AR177" s="715">
        <f t="shared" si="26"/>
        <v>1162.939904889944</v>
      </c>
      <c r="AS177" s="715">
        <f t="shared" si="26"/>
        <v>1162.939904889944</v>
      </c>
      <c r="AT177" s="715">
        <f t="shared" si="26"/>
        <v>1162.939904889944</v>
      </c>
      <c r="AU177" s="715">
        <f t="shared" si="26"/>
        <v>1162.939904889944</v>
      </c>
      <c r="AV177" s="715">
        <f t="shared" si="26"/>
        <v>1162.939904889944</v>
      </c>
      <c r="AW177" s="715">
        <f t="shared" si="26"/>
        <v>1162.939904889944</v>
      </c>
    </row>
    <row r="178" spans="1:49" s="683" customFormat="1" x14ac:dyDescent="0.2">
      <c r="A178" s="702" t="s">
        <v>499</v>
      </c>
      <c r="B178" s="715">
        <f t="shared" ref="B178:AW178" si="27">$B$174-(3*$B$176)</f>
        <v>683.38564456060521</v>
      </c>
      <c r="C178" s="715">
        <f t="shared" si="27"/>
        <v>683.38564456060521</v>
      </c>
      <c r="D178" s="715">
        <f t="shared" si="27"/>
        <v>683.38564456060521</v>
      </c>
      <c r="E178" s="715">
        <f t="shared" si="27"/>
        <v>683.38564456060521</v>
      </c>
      <c r="F178" s="715">
        <f t="shared" si="27"/>
        <v>683.38564456060521</v>
      </c>
      <c r="G178" s="715">
        <f t="shared" si="27"/>
        <v>683.38564456060521</v>
      </c>
      <c r="H178" s="715">
        <f t="shared" si="27"/>
        <v>683.38564456060521</v>
      </c>
      <c r="I178" s="715">
        <f t="shared" si="27"/>
        <v>683.38564456060521</v>
      </c>
      <c r="J178" s="715">
        <f t="shared" si="27"/>
        <v>683.38564456060521</v>
      </c>
      <c r="K178" s="715">
        <f t="shared" si="27"/>
        <v>683.38564456060521</v>
      </c>
      <c r="L178" s="715">
        <f t="shared" si="27"/>
        <v>683.38564456060521</v>
      </c>
      <c r="M178" s="715">
        <f t="shared" si="27"/>
        <v>683.38564456060521</v>
      </c>
      <c r="N178" s="715">
        <f t="shared" si="27"/>
        <v>683.38564456060521</v>
      </c>
      <c r="O178" s="715">
        <f t="shared" si="27"/>
        <v>683.38564456060521</v>
      </c>
      <c r="P178" s="715">
        <f t="shared" si="27"/>
        <v>683.38564456060521</v>
      </c>
      <c r="Q178" s="715">
        <f t="shared" si="27"/>
        <v>683.38564456060521</v>
      </c>
      <c r="R178" s="715">
        <f t="shared" si="27"/>
        <v>683.38564456060521</v>
      </c>
      <c r="S178" s="715">
        <f t="shared" si="27"/>
        <v>683.38564456060521</v>
      </c>
      <c r="T178" s="715">
        <f t="shared" si="27"/>
        <v>683.38564456060521</v>
      </c>
      <c r="U178" s="715">
        <f t="shared" si="27"/>
        <v>683.38564456060521</v>
      </c>
      <c r="V178" s="715">
        <f t="shared" si="27"/>
        <v>683.38564456060521</v>
      </c>
      <c r="W178" s="715">
        <f t="shared" si="27"/>
        <v>683.38564456060521</v>
      </c>
      <c r="X178" s="715">
        <f t="shared" si="27"/>
        <v>683.38564456060521</v>
      </c>
      <c r="Y178" s="715">
        <f t="shared" si="27"/>
        <v>683.38564456060521</v>
      </c>
      <c r="Z178" s="715">
        <f t="shared" si="27"/>
        <v>683.38564456060521</v>
      </c>
      <c r="AA178" s="715">
        <f t="shared" si="27"/>
        <v>683.38564456060521</v>
      </c>
      <c r="AB178" s="715">
        <f t="shared" si="27"/>
        <v>683.38564456060521</v>
      </c>
      <c r="AC178" s="715">
        <f t="shared" si="27"/>
        <v>683.38564456060521</v>
      </c>
      <c r="AD178" s="715">
        <f t="shared" si="27"/>
        <v>683.38564456060521</v>
      </c>
      <c r="AE178" s="715">
        <f t="shared" si="27"/>
        <v>683.38564456060521</v>
      </c>
      <c r="AF178" s="715">
        <f t="shared" si="27"/>
        <v>683.38564456060521</v>
      </c>
      <c r="AG178" s="715">
        <f t="shared" si="27"/>
        <v>683.38564456060521</v>
      </c>
      <c r="AH178" s="715">
        <f t="shared" si="27"/>
        <v>683.38564456060521</v>
      </c>
      <c r="AI178" s="715">
        <f t="shared" si="27"/>
        <v>683.38564456060521</v>
      </c>
      <c r="AJ178" s="715">
        <f t="shared" si="27"/>
        <v>683.38564456060521</v>
      </c>
      <c r="AK178" s="715">
        <f t="shared" si="27"/>
        <v>683.38564456060521</v>
      </c>
      <c r="AL178" s="715">
        <f t="shared" si="27"/>
        <v>683.38564456060521</v>
      </c>
      <c r="AM178" s="715">
        <f t="shared" si="27"/>
        <v>683.38564456060521</v>
      </c>
      <c r="AN178" s="715">
        <f t="shared" si="27"/>
        <v>683.38564456060521</v>
      </c>
      <c r="AO178" s="715">
        <f t="shared" si="27"/>
        <v>683.38564456060521</v>
      </c>
      <c r="AP178" s="715">
        <f t="shared" si="27"/>
        <v>683.38564456060521</v>
      </c>
      <c r="AQ178" s="715">
        <f t="shared" si="27"/>
        <v>683.38564456060521</v>
      </c>
      <c r="AR178" s="715">
        <f t="shared" si="27"/>
        <v>683.38564456060521</v>
      </c>
      <c r="AS178" s="715">
        <f t="shared" si="27"/>
        <v>683.38564456060521</v>
      </c>
      <c r="AT178" s="715">
        <f t="shared" si="27"/>
        <v>683.38564456060521</v>
      </c>
      <c r="AU178" s="715">
        <f t="shared" si="27"/>
        <v>683.38564456060521</v>
      </c>
      <c r="AV178" s="715">
        <f t="shared" si="27"/>
        <v>683.38564456060521</v>
      </c>
      <c r="AW178" s="715">
        <f t="shared" si="27"/>
        <v>683.38564456060521</v>
      </c>
    </row>
    <row r="179" spans="1:49" s="683" customFormat="1" ht="25.5" x14ac:dyDescent="0.2">
      <c r="A179" s="693" t="s">
        <v>513</v>
      </c>
      <c r="B179" s="715"/>
      <c r="C179" s="715"/>
      <c r="D179" s="715"/>
      <c r="E179" s="715"/>
      <c r="F179" s="715"/>
      <c r="G179" s="715"/>
      <c r="H179" s="715"/>
      <c r="I179" s="715"/>
      <c r="J179" s="715"/>
      <c r="K179" s="720"/>
      <c r="L179" s="720"/>
      <c r="M179" s="715"/>
      <c r="N179" s="715"/>
      <c r="O179" s="715"/>
      <c r="P179" s="715"/>
      <c r="Q179" s="715"/>
      <c r="R179" s="715"/>
      <c r="S179" s="715"/>
      <c r="T179" s="715"/>
      <c r="U179" s="715"/>
      <c r="V179" s="715"/>
      <c r="W179" s="715"/>
      <c r="X179" s="715"/>
      <c r="Y179" s="715"/>
      <c r="Z179" s="715"/>
      <c r="AA179" s="715"/>
      <c r="AB179" s="715"/>
      <c r="AC179" s="715"/>
      <c r="AD179" s="715"/>
      <c r="AE179" s="715"/>
      <c r="AF179" s="715"/>
      <c r="AG179" s="715"/>
      <c r="AH179" s="715"/>
      <c r="AI179" s="715"/>
      <c r="AJ179" s="715"/>
      <c r="AK179" s="715"/>
      <c r="AL179" s="715"/>
      <c r="AM179" s="715"/>
      <c r="AN179" s="715"/>
      <c r="AO179" s="715"/>
      <c r="AP179" s="715"/>
      <c r="AQ179" s="715"/>
      <c r="AR179" s="715"/>
      <c r="AS179" s="715"/>
      <c r="AT179" s="715"/>
      <c r="AU179" s="715"/>
      <c r="AV179" s="715"/>
      <c r="AW179" s="715"/>
    </row>
    <row r="180" spans="1:49" s="683" customFormat="1" x14ac:dyDescent="0.2">
      <c r="A180" s="719" t="s">
        <v>540</v>
      </c>
      <c r="B180" s="715">
        <f t="shared" ref="B180:AW180" si="28">B71</f>
        <v>50</v>
      </c>
      <c r="C180" s="715">
        <f t="shared" si="28"/>
        <v>28</v>
      </c>
      <c r="D180" s="715">
        <f t="shared" si="28"/>
        <v>33</v>
      </c>
      <c r="E180" s="715">
        <f t="shared" si="28"/>
        <v>61</v>
      </c>
      <c r="F180" s="715">
        <f t="shared" si="28"/>
        <v>76</v>
      </c>
      <c r="G180" s="715">
        <f t="shared" si="28"/>
        <v>161</v>
      </c>
      <c r="H180" s="715">
        <f t="shared" si="28"/>
        <v>129</v>
      </c>
      <c r="I180" s="715">
        <f t="shared" si="28"/>
        <v>153</v>
      </c>
      <c r="J180" s="715">
        <f t="shared" si="28"/>
        <v>166</v>
      </c>
      <c r="K180" s="715">
        <f t="shared" si="28"/>
        <v>109</v>
      </c>
      <c r="L180" s="715">
        <f t="shared" si="28"/>
        <v>38</v>
      </c>
      <c r="M180" s="715">
        <f t="shared" si="28"/>
        <v>16</v>
      </c>
      <c r="N180" s="715">
        <f t="shared" si="28"/>
        <v>13</v>
      </c>
      <c r="O180" s="715">
        <f t="shared" si="28"/>
        <v>7</v>
      </c>
      <c r="P180" s="715">
        <f t="shared" si="28"/>
        <v>12</v>
      </c>
      <c r="Q180" s="715">
        <f t="shared" si="28"/>
        <v>12</v>
      </c>
      <c r="R180" s="715">
        <f t="shared" si="28"/>
        <v>12</v>
      </c>
      <c r="S180" s="715">
        <f t="shared" si="28"/>
        <v>35</v>
      </c>
      <c r="T180" s="715">
        <f t="shared" si="28"/>
        <v>127</v>
      </c>
      <c r="U180" s="715">
        <f t="shared" si="28"/>
        <v>181</v>
      </c>
      <c r="V180" s="715">
        <f t="shared" si="28"/>
        <v>159</v>
      </c>
      <c r="W180" s="715">
        <f t="shared" si="28"/>
        <v>242</v>
      </c>
      <c r="X180" s="715">
        <f t="shared" si="28"/>
        <v>239</v>
      </c>
      <c r="Y180" s="715">
        <f t="shared" si="28"/>
        <v>231</v>
      </c>
      <c r="Z180" s="715">
        <f t="shared" si="28"/>
        <v>294</v>
      </c>
      <c r="AA180" s="715">
        <f t="shared" si="28"/>
        <v>322</v>
      </c>
      <c r="AB180" s="715">
        <f t="shared" si="28"/>
        <v>373</v>
      </c>
      <c r="AC180" s="715">
        <f t="shared" si="28"/>
        <v>362</v>
      </c>
      <c r="AD180" s="715">
        <f t="shared" si="28"/>
        <v>379</v>
      </c>
      <c r="AE180" s="715">
        <f t="shared" si="28"/>
        <v>0</v>
      </c>
      <c r="AF180" s="715">
        <f t="shared" si="28"/>
        <v>0</v>
      </c>
      <c r="AG180" s="715">
        <f t="shared" si="28"/>
        <v>0</v>
      </c>
      <c r="AH180" s="715">
        <f t="shared" si="28"/>
        <v>0</v>
      </c>
      <c r="AI180" s="715">
        <f t="shared" si="28"/>
        <v>0</v>
      </c>
      <c r="AJ180" s="715">
        <f t="shared" si="28"/>
        <v>0</v>
      </c>
      <c r="AK180" s="715">
        <f t="shared" si="28"/>
        <v>0</v>
      </c>
      <c r="AL180" s="715">
        <f t="shared" si="28"/>
        <v>0</v>
      </c>
      <c r="AM180" s="715">
        <f t="shared" si="28"/>
        <v>0</v>
      </c>
      <c r="AN180" s="715">
        <f t="shared" si="28"/>
        <v>0</v>
      </c>
      <c r="AO180" s="715">
        <f t="shared" si="28"/>
        <v>0</v>
      </c>
      <c r="AP180" s="715">
        <f t="shared" si="28"/>
        <v>0</v>
      </c>
      <c r="AQ180" s="715">
        <f t="shared" si="28"/>
        <v>0</v>
      </c>
      <c r="AR180" s="715">
        <f t="shared" si="28"/>
        <v>0</v>
      </c>
      <c r="AS180" s="715">
        <f t="shared" si="28"/>
        <v>0</v>
      </c>
      <c r="AT180" s="715">
        <f t="shared" si="28"/>
        <v>0</v>
      </c>
      <c r="AU180" s="715">
        <f t="shared" si="28"/>
        <v>0</v>
      </c>
      <c r="AV180" s="715">
        <f t="shared" si="28"/>
        <v>0</v>
      </c>
      <c r="AW180" s="715">
        <f t="shared" si="28"/>
        <v>0</v>
      </c>
    </row>
    <row r="181" spans="1:49" s="683" customFormat="1" x14ac:dyDescent="0.2">
      <c r="A181" s="683" t="s">
        <v>131</v>
      </c>
      <c r="B181" s="715">
        <f t="shared" ref="B181:M181" si="29">MEDIAN($B$180:$M$180)</f>
        <v>68.5</v>
      </c>
      <c r="C181" s="715">
        <f t="shared" si="29"/>
        <v>68.5</v>
      </c>
      <c r="D181" s="715">
        <f t="shared" si="29"/>
        <v>68.5</v>
      </c>
      <c r="E181" s="715">
        <f t="shared" si="29"/>
        <v>68.5</v>
      </c>
      <c r="F181" s="715">
        <f t="shared" si="29"/>
        <v>68.5</v>
      </c>
      <c r="G181" s="715">
        <f t="shared" si="29"/>
        <v>68.5</v>
      </c>
      <c r="H181" s="715">
        <f t="shared" si="29"/>
        <v>68.5</v>
      </c>
      <c r="I181" s="715">
        <f t="shared" si="29"/>
        <v>68.5</v>
      </c>
      <c r="J181" s="715">
        <f t="shared" si="29"/>
        <v>68.5</v>
      </c>
      <c r="K181" s="715">
        <f t="shared" si="29"/>
        <v>68.5</v>
      </c>
      <c r="L181" s="715">
        <f t="shared" si="29"/>
        <v>68.5</v>
      </c>
      <c r="M181" s="715">
        <f t="shared" si="29"/>
        <v>68.5</v>
      </c>
      <c r="N181" s="720"/>
      <c r="O181" s="720"/>
      <c r="P181" s="720"/>
      <c r="Q181" s="720"/>
      <c r="R181" s="720"/>
      <c r="S181" s="720"/>
      <c r="T181" s="720"/>
      <c r="U181" s="720"/>
      <c r="V181" s="720"/>
      <c r="W181" s="721"/>
      <c r="X181" s="721"/>
      <c r="Y181" s="721"/>
      <c r="Z181" s="721"/>
      <c r="AA181" s="715"/>
      <c r="AB181" s="715"/>
      <c r="AC181" s="715"/>
      <c r="AD181" s="715"/>
      <c r="AE181" s="715"/>
      <c r="AF181" s="715"/>
      <c r="AG181" s="715"/>
      <c r="AH181" s="715"/>
      <c r="AI181" s="715"/>
      <c r="AJ181" s="715"/>
      <c r="AK181" s="715"/>
      <c r="AL181" s="715"/>
      <c r="AM181" s="715"/>
      <c r="AN181" s="715"/>
      <c r="AO181" s="715"/>
      <c r="AP181" s="715"/>
      <c r="AQ181" s="715"/>
      <c r="AR181" s="715"/>
      <c r="AS181" s="715"/>
      <c r="AT181" s="715"/>
      <c r="AU181" s="715"/>
      <c r="AV181" s="715"/>
      <c r="AW181" s="715"/>
    </row>
    <row r="182" spans="1:49" s="683" customFormat="1" x14ac:dyDescent="0.2">
      <c r="A182" s="683" t="s">
        <v>184</v>
      </c>
      <c r="B182" s="715"/>
      <c r="C182" s="715"/>
      <c r="D182" s="715"/>
      <c r="E182" s="715"/>
      <c r="F182" s="715"/>
      <c r="G182" s="715"/>
      <c r="H182" s="715"/>
      <c r="I182" s="715"/>
      <c r="J182" s="715"/>
      <c r="K182" s="720"/>
      <c r="L182" s="720"/>
      <c r="M182" s="715">
        <f t="shared" ref="M182:AW182" si="30">MEDIAN($B$180:$M$180)</f>
        <v>68.5</v>
      </c>
      <c r="N182" s="715">
        <f t="shared" si="30"/>
        <v>68.5</v>
      </c>
      <c r="O182" s="715">
        <f t="shared" si="30"/>
        <v>68.5</v>
      </c>
      <c r="P182" s="715">
        <f t="shared" si="30"/>
        <v>68.5</v>
      </c>
      <c r="Q182" s="715">
        <f t="shared" si="30"/>
        <v>68.5</v>
      </c>
      <c r="R182" s="715">
        <f t="shared" si="30"/>
        <v>68.5</v>
      </c>
      <c r="S182" s="715">
        <f t="shared" si="30"/>
        <v>68.5</v>
      </c>
      <c r="T182" s="715">
        <f t="shared" si="30"/>
        <v>68.5</v>
      </c>
      <c r="U182" s="715">
        <f t="shared" si="30"/>
        <v>68.5</v>
      </c>
      <c r="V182" s="715">
        <f t="shared" si="30"/>
        <v>68.5</v>
      </c>
      <c r="W182" s="715">
        <f t="shared" si="30"/>
        <v>68.5</v>
      </c>
      <c r="X182" s="715">
        <f t="shared" si="30"/>
        <v>68.5</v>
      </c>
      <c r="Y182" s="715">
        <f t="shared" si="30"/>
        <v>68.5</v>
      </c>
      <c r="Z182" s="715">
        <f t="shared" si="30"/>
        <v>68.5</v>
      </c>
      <c r="AA182" s="715">
        <f t="shared" si="30"/>
        <v>68.5</v>
      </c>
      <c r="AB182" s="715">
        <f t="shared" si="30"/>
        <v>68.5</v>
      </c>
      <c r="AC182" s="715">
        <f t="shared" si="30"/>
        <v>68.5</v>
      </c>
      <c r="AD182" s="715">
        <f t="shared" si="30"/>
        <v>68.5</v>
      </c>
      <c r="AE182" s="715">
        <f t="shared" si="30"/>
        <v>68.5</v>
      </c>
      <c r="AF182" s="715">
        <f t="shared" si="30"/>
        <v>68.5</v>
      </c>
      <c r="AG182" s="715">
        <f t="shared" si="30"/>
        <v>68.5</v>
      </c>
      <c r="AH182" s="715">
        <f t="shared" si="30"/>
        <v>68.5</v>
      </c>
      <c r="AI182" s="715">
        <f t="shared" si="30"/>
        <v>68.5</v>
      </c>
      <c r="AJ182" s="715">
        <f t="shared" si="30"/>
        <v>68.5</v>
      </c>
      <c r="AK182" s="715">
        <f t="shared" si="30"/>
        <v>68.5</v>
      </c>
      <c r="AL182" s="715">
        <f t="shared" si="30"/>
        <v>68.5</v>
      </c>
      <c r="AM182" s="715">
        <f t="shared" si="30"/>
        <v>68.5</v>
      </c>
      <c r="AN182" s="715">
        <f t="shared" si="30"/>
        <v>68.5</v>
      </c>
      <c r="AO182" s="715">
        <f t="shared" si="30"/>
        <v>68.5</v>
      </c>
      <c r="AP182" s="715">
        <f t="shared" si="30"/>
        <v>68.5</v>
      </c>
      <c r="AQ182" s="715">
        <f t="shared" si="30"/>
        <v>68.5</v>
      </c>
      <c r="AR182" s="715">
        <f t="shared" si="30"/>
        <v>68.5</v>
      </c>
      <c r="AS182" s="715">
        <f t="shared" si="30"/>
        <v>68.5</v>
      </c>
      <c r="AT182" s="715">
        <f t="shared" si="30"/>
        <v>68.5</v>
      </c>
      <c r="AU182" s="715">
        <f t="shared" si="30"/>
        <v>68.5</v>
      </c>
      <c r="AV182" s="715">
        <f t="shared" si="30"/>
        <v>68.5</v>
      </c>
      <c r="AW182" s="715">
        <f t="shared" si="30"/>
        <v>68.5</v>
      </c>
    </row>
    <row r="183" spans="1:49" s="683" customFormat="1" x14ac:dyDescent="0.2">
      <c r="A183" s="702" t="s">
        <v>490</v>
      </c>
      <c r="B183" s="715"/>
      <c r="C183" s="715">
        <f>(C180-B180)*-1</f>
        <v>22</v>
      </c>
      <c r="D183" s="715">
        <f t="shared" ref="D183:AB183" si="31">(D180-C180)</f>
        <v>5</v>
      </c>
      <c r="E183" s="715">
        <f t="shared" si="31"/>
        <v>28</v>
      </c>
      <c r="F183" s="715">
        <f t="shared" si="31"/>
        <v>15</v>
      </c>
      <c r="G183" s="715">
        <f t="shared" si="31"/>
        <v>85</v>
      </c>
      <c r="H183" s="715">
        <f>(H180-G180)*-1</f>
        <v>32</v>
      </c>
      <c r="I183" s="715">
        <f t="shared" si="31"/>
        <v>24</v>
      </c>
      <c r="J183" s="715">
        <f t="shared" si="31"/>
        <v>13</v>
      </c>
      <c r="K183" s="715">
        <f>(K180-J180)*-1</f>
        <v>57</v>
      </c>
      <c r="L183" s="715">
        <f>(L180-K180)*-1</f>
        <v>71</v>
      </c>
      <c r="M183" s="715">
        <f>(M180-L180)*-1</f>
        <v>22</v>
      </c>
      <c r="N183" s="715">
        <f>(N180-M180)*-1</f>
        <v>3</v>
      </c>
      <c r="O183" s="715">
        <f>(O180-N180)*-1</f>
        <v>6</v>
      </c>
      <c r="P183" s="715">
        <f t="shared" si="31"/>
        <v>5</v>
      </c>
      <c r="Q183" s="715">
        <f t="shared" si="31"/>
        <v>0</v>
      </c>
      <c r="R183" s="715">
        <f t="shared" si="31"/>
        <v>0</v>
      </c>
      <c r="S183" s="715">
        <f t="shared" si="31"/>
        <v>23</v>
      </c>
      <c r="T183" s="715">
        <f t="shared" si="31"/>
        <v>92</v>
      </c>
      <c r="U183" s="715">
        <f t="shared" si="31"/>
        <v>54</v>
      </c>
      <c r="V183" s="715">
        <f>(V180-U180)*-1</f>
        <v>22</v>
      </c>
      <c r="W183" s="715">
        <f t="shared" si="31"/>
        <v>83</v>
      </c>
      <c r="X183" s="715">
        <f>(X180-W180)*-1</f>
        <v>3</v>
      </c>
      <c r="Y183" s="715">
        <f>(Y180-X180)*-1</f>
        <v>8</v>
      </c>
      <c r="Z183" s="715">
        <f t="shared" si="31"/>
        <v>63</v>
      </c>
      <c r="AA183" s="715">
        <f t="shared" si="31"/>
        <v>28</v>
      </c>
      <c r="AB183" s="715">
        <f t="shared" si="31"/>
        <v>51</v>
      </c>
      <c r="AC183" s="715">
        <f>(AC180-AB180)*-1</f>
        <v>11</v>
      </c>
      <c r="AD183" s="715">
        <f>(AD180-AC180)</f>
        <v>17</v>
      </c>
      <c r="AE183" s="715" t="s">
        <v>385</v>
      </c>
      <c r="AF183" s="715" t="s">
        <v>385</v>
      </c>
      <c r="AG183" s="715" t="s">
        <v>385</v>
      </c>
      <c r="AH183" s="715" t="s">
        <v>385</v>
      </c>
      <c r="AI183" s="715" t="s">
        <v>385</v>
      </c>
      <c r="AJ183" s="715" t="s">
        <v>385</v>
      </c>
      <c r="AK183" s="715" t="s">
        <v>385</v>
      </c>
      <c r="AL183" s="715" t="s">
        <v>385</v>
      </c>
      <c r="AM183" s="715" t="s">
        <v>385</v>
      </c>
      <c r="AN183" s="715" t="s">
        <v>385</v>
      </c>
      <c r="AO183" s="715" t="s">
        <v>385</v>
      </c>
      <c r="AP183" s="715" t="s">
        <v>385</v>
      </c>
      <c r="AQ183" s="715" t="s">
        <v>385</v>
      </c>
      <c r="AR183" s="715" t="s">
        <v>385</v>
      </c>
      <c r="AS183" s="715" t="s">
        <v>385</v>
      </c>
      <c r="AT183" s="715" t="s">
        <v>385</v>
      </c>
      <c r="AU183" s="715" t="s">
        <v>385</v>
      </c>
      <c r="AV183" s="715" t="s">
        <v>385</v>
      </c>
      <c r="AW183" s="715" t="s">
        <v>385</v>
      </c>
    </row>
    <row r="184" spans="1:49" s="683" customFormat="1" ht="42.75" x14ac:dyDescent="0.2">
      <c r="A184" s="703" t="s">
        <v>521</v>
      </c>
      <c r="B184" s="715"/>
      <c r="C184" s="715"/>
      <c r="D184" s="715"/>
      <c r="E184" s="715"/>
      <c r="F184" s="715"/>
      <c r="G184" s="715"/>
      <c r="H184" s="715"/>
      <c r="I184" s="715"/>
      <c r="J184" s="715"/>
      <c r="K184" s="720"/>
      <c r="L184" s="720"/>
      <c r="M184" s="715"/>
      <c r="N184" s="715"/>
      <c r="O184" s="715"/>
      <c r="P184" s="715"/>
      <c r="Q184" s="715"/>
      <c r="R184" s="715"/>
      <c r="S184" s="715"/>
      <c r="T184" s="715"/>
      <c r="U184" s="715"/>
      <c r="V184" s="715"/>
      <c r="W184" s="715"/>
      <c r="X184" s="715"/>
      <c r="Y184" s="715"/>
      <c r="Z184" s="715"/>
      <c r="AA184" s="715"/>
      <c r="AB184" s="715"/>
      <c r="AC184" s="715"/>
      <c r="AD184" s="715"/>
      <c r="AE184" s="715"/>
      <c r="AF184" s="715"/>
      <c r="AG184" s="715"/>
      <c r="AH184" s="715"/>
      <c r="AI184" s="715"/>
      <c r="AJ184" s="715"/>
      <c r="AK184" s="715"/>
      <c r="AL184" s="715"/>
      <c r="AM184" s="715"/>
      <c r="AN184" s="715"/>
      <c r="AO184" s="715"/>
      <c r="AP184" s="715"/>
      <c r="AQ184" s="715"/>
      <c r="AR184" s="715"/>
      <c r="AS184" s="715"/>
      <c r="AT184" s="715"/>
      <c r="AU184" s="715"/>
      <c r="AV184" s="715"/>
      <c r="AW184" s="715"/>
    </row>
    <row r="185" spans="1:49" s="683" customFormat="1" x14ac:dyDescent="0.2">
      <c r="A185" s="674" t="s">
        <v>492</v>
      </c>
      <c r="B185" s="715">
        <f t="shared" ref="B185:AW185" si="32">AVERAGE($B$180:$AW$180)</f>
        <v>83.75</v>
      </c>
      <c r="C185" s="715">
        <f t="shared" si="32"/>
        <v>83.75</v>
      </c>
      <c r="D185" s="715">
        <f t="shared" si="32"/>
        <v>83.75</v>
      </c>
      <c r="E185" s="715">
        <f t="shared" si="32"/>
        <v>83.75</v>
      </c>
      <c r="F185" s="715">
        <f t="shared" si="32"/>
        <v>83.75</v>
      </c>
      <c r="G185" s="715">
        <f t="shared" si="32"/>
        <v>83.75</v>
      </c>
      <c r="H185" s="715">
        <f t="shared" si="32"/>
        <v>83.75</v>
      </c>
      <c r="I185" s="715">
        <f t="shared" si="32"/>
        <v>83.75</v>
      </c>
      <c r="J185" s="715">
        <f t="shared" si="32"/>
        <v>83.75</v>
      </c>
      <c r="K185" s="715">
        <f t="shared" si="32"/>
        <v>83.75</v>
      </c>
      <c r="L185" s="715">
        <f t="shared" si="32"/>
        <v>83.75</v>
      </c>
      <c r="M185" s="715">
        <f t="shared" si="32"/>
        <v>83.75</v>
      </c>
      <c r="N185" s="715">
        <f t="shared" si="32"/>
        <v>83.75</v>
      </c>
      <c r="O185" s="715">
        <f t="shared" si="32"/>
        <v>83.75</v>
      </c>
      <c r="P185" s="715">
        <f t="shared" si="32"/>
        <v>83.75</v>
      </c>
      <c r="Q185" s="715">
        <f t="shared" si="32"/>
        <v>83.75</v>
      </c>
      <c r="R185" s="715">
        <f t="shared" si="32"/>
        <v>83.75</v>
      </c>
      <c r="S185" s="715">
        <f t="shared" si="32"/>
        <v>83.75</v>
      </c>
      <c r="T185" s="715">
        <f t="shared" si="32"/>
        <v>83.75</v>
      </c>
      <c r="U185" s="715">
        <f t="shared" si="32"/>
        <v>83.75</v>
      </c>
      <c r="V185" s="715">
        <f t="shared" si="32"/>
        <v>83.75</v>
      </c>
      <c r="W185" s="715">
        <f t="shared" si="32"/>
        <v>83.75</v>
      </c>
      <c r="X185" s="715">
        <f t="shared" si="32"/>
        <v>83.75</v>
      </c>
      <c r="Y185" s="715">
        <f t="shared" si="32"/>
        <v>83.75</v>
      </c>
      <c r="Z185" s="715">
        <f t="shared" si="32"/>
        <v>83.75</v>
      </c>
      <c r="AA185" s="715">
        <f t="shared" si="32"/>
        <v>83.75</v>
      </c>
      <c r="AB185" s="715">
        <f t="shared" si="32"/>
        <v>83.75</v>
      </c>
      <c r="AC185" s="715">
        <f t="shared" si="32"/>
        <v>83.75</v>
      </c>
      <c r="AD185" s="715">
        <f t="shared" si="32"/>
        <v>83.75</v>
      </c>
      <c r="AE185" s="715">
        <f t="shared" si="32"/>
        <v>83.75</v>
      </c>
      <c r="AF185" s="715">
        <f t="shared" si="32"/>
        <v>83.75</v>
      </c>
      <c r="AG185" s="715">
        <f t="shared" si="32"/>
        <v>83.75</v>
      </c>
      <c r="AH185" s="715">
        <f t="shared" si="32"/>
        <v>83.75</v>
      </c>
      <c r="AI185" s="715">
        <f t="shared" si="32"/>
        <v>83.75</v>
      </c>
      <c r="AJ185" s="715">
        <f t="shared" si="32"/>
        <v>83.75</v>
      </c>
      <c r="AK185" s="715">
        <f t="shared" si="32"/>
        <v>83.75</v>
      </c>
      <c r="AL185" s="715">
        <f t="shared" si="32"/>
        <v>83.75</v>
      </c>
      <c r="AM185" s="715">
        <f t="shared" si="32"/>
        <v>83.75</v>
      </c>
      <c r="AN185" s="715">
        <f t="shared" si="32"/>
        <v>83.75</v>
      </c>
      <c r="AO185" s="715">
        <f t="shared" si="32"/>
        <v>83.75</v>
      </c>
      <c r="AP185" s="715">
        <f t="shared" si="32"/>
        <v>83.75</v>
      </c>
      <c r="AQ185" s="715">
        <f t="shared" si="32"/>
        <v>83.75</v>
      </c>
      <c r="AR185" s="715">
        <f t="shared" si="32"/>
        <v>83.75</v>
      </c>
      <c r="AS185" s="715">
        <f t="shared" si="32"/>
        <v>83.75</v>
      </c>
      <c r="AT185" s="715">
        <f t="shared" si="32"/>
        <v>83.75</v>
      </c>
      <c r="AU185" s="715">
        <f t="shared" si="32"/>
        <v>83.75</v>
      </c>
      <c r="AV185" s="715">
        <f t="shared" si="32"/>
        <v>83.75</v>
      </c>
      <c r="AW185" s="715">
        <f t="shared" si="32"/>
        <v>83.75</v>
      </c>
    </row>
    <row r="186" spans="1:49" s="683" customFormat="1" x14ac:dyDescent="0.2">
      <c r="A186" s="702" t="s">
        <v>491</v>
      </c>
      <c r="B186" s="715">
        <f>SUM(C183:AW183)/COUNT(C183:AW183)</f>
        <v>30.107142857142858</v>
      </c>
      <c r="C186" s="715"/>
      <c r="D186" s="715"/>
      <c r="E186" s="715"/>
      <c r="F186" s="715"/>
      <c r="G186" s="715"/>
      <c r="H186" s="715"/>
      <c r="I186" s="715"/>
      <c r="J186" s="715"/>
      <c r="K186" s="720"/>
      <c r="L186" s="720"/>
      <c r="M186" s="715"/>
      <c r="N186" s="715"/>
      <c r="O186" s="715"/>
      <c r="P186" s="715"/>
      <c r="Q186" s="715"/>
      <c r="R186" s="715"/>
      <c r="S186" s="715"/>
      <c r="T186" s="715"/>
      <c r="U186" s="715"/>
      <c r="V186" s="715"/>
      <c r="W186" s="715"/>
      <c r="X186" s="715"/>
      <c r="Y186" s="715"/>
      <c r="Z186" s="715"/>
      <c r="AA186" s="715"/>
      <c r="AB186" s="715"/>
      <c r="AC186" s="715"/>
      <c r="AD186" s="715"/>
      <c r="AE186" s="715"/>
      <c r="AF186" s="715"/>
      <c r="AG186" s="715"/>
      <c r="AH186" s="715"/>
      <c r="AI186" s="715"/>
      <c r="AJ186" s="715"/>
      <c r="AK186" s="715"/>
      <c r="AL186" s="715"/>
      <c r="AM186" s="715"/>
      <c r="AN186" s="715"/>
      <c r="AO186" s="715"/>
      <c r="AP186" s="715"/>
      <c r="AQ186" s="715"/>
      <c r="AR186" s="715"/>
      <c r="AS186" s="715"/>
      <c r="AT186" s="715"/>
      <c r="AU186" s="715"/>
      <c r="AV186" s="715"/>
      <c r="AW186" s="715"/>
    </row>
    <row r="187" spans="1:49" s="683" customFormat="1" ht="25.5" x14ac:dyDescent="0.2">
      <c r="A187" s="702" t="s">
        <v>494</v>
      </c>
      <c r="B187" s="715">
        <f>B186/1.128</f>
        <v>26.690729483282677</v>
      </c>
      <c r="C187" s="715"/>
      <c r="D187" s="715"/>
      <c r="E187" s="715"/>
      <c r="F187" s="715"/>
      <c r="G187" s="715"/>
      <c r="H187" s="715"/>
      <c r="I187" s="715"/>
      <c r="J187" s="715"/>
      <c r="K187" s="720"/>
      <c r="L187" s="720"/>
      <c r="M187" s="715"/>
      <c r="N187" s="715"/>
      <c r="O187" s="715"/>
      <c r="P187" s="715"/>
      <c r="Q187" s="715"/>
      <c r="R187" s="715"/>
      <c r="S187" s="715"/>
      <c r="T187" s="715"/>
      <c r="U187" s="715"/>
      <c r="V187" s="715"/>
      <c r="W187" s="715"/>
      <c r="X187" s="715"/>
      <c r="Y187" s="715"/>
      <c r="Z187" s="715"/>
      <c r="AA187" s="715"/>
      <c r="AB187" s="715"/>
      <c r="AC187" s="715"/>
      <c r="AD187" s="715"/>
      <c r="AE187" s="715"/>
      <c r="AF187" s="715"/>
      <c r="AG187" s="715"/>
      <c r="AH187" s="715"/>
      <c r="AI187" s="715"/>
      <c r="AJ187" s="715"/>
      <c r="AK187" s="715"/>
      <c r="AL187" s="715"/>
      <c r="AM187" s="715"/>
      <c r="AN187" s="715"/>
      <c r="AO187" s="715"/>
      <c r="AP187" s="715"/>
      <c r="AQ187" s="715"/>
      <c r="AR187" s="715"/>
      <c r="AS187" s="715"/>
      <c r="AT187" s="715"/>
      <c r="AU187" s="715"/>
      <c r="AV187" s="715"/>
      <c r="AW187" s="715"/>
    </row>
    <row r="188" spans="1:49" s="683" customFormat="1" x14ac:dyDescent="0.2">
      <c r="A188" s="702" t="s">
        <v>497</v>
      </c>
      <c r="B188" s="715">
        <f t="shared" ref="B188:AW188" si="33">$B$185+(3*$B$187)</f>
        <v>163.82218844984803</v>
      </c>
      <c r="C188" s="715">
        <f t="shared" si="33"/>
        <v>163.82218844984803</v>
      </c>
      <c r="D188" s="715">
        <f t="shared" si="33"/>
        <v>163.82218844984803</v>
      </c>
      <c r="E188" s="715">
        <f t="shared" si="33"/>
        <v>163.82218844984803</v>
      </c>
      <c r="F188" s="715">
        <f t="shared" si="33"/>
        <v>163.82218844984803</v>
      </c>
      <c r="G188" s="715">
        <f t="shared" si="33"/>
        <v>163.82218844984803</v>
      </c>
      <c r="H188" s="715">
        <f t="shared" si="33"/>
        <v>163.82218844984803</v>
      </c>
      <c r="I188" s="715">
        <f t="shared" si="33"/>
        <v>163.82218844984803</v>
      </c>
      <c r="J188" s="715">
        <f t="shared" si="33"/>
        <v>163.82218844984803</v>
      </c>
      <c r="K188" s="715">
        <f t="shared" si="33"/>
        <v>163.82218844984803</v>
      </c>
      <c r="L188" s="715">
        <f t="shared" si="33"/>
        <v>163.82218844984803</v>
      </c>
      <c r="M188" s="715">
        <f t="shared" si="33"/>
        <v>163.82218844984803</v>
      </c>
      <c r="N188" s="715">
        <f t="shared" si="33"/>
        <v>163.82218844984803</v>
      </c>
      <c r="O188" s="715">
        <f t="shared" si="33"/>
        <v>163.82218844984803</v>
      </c>
      <c r="P188" s="715">
        <f t="shared" si="33"/>
        <v>163.82218844984803</v>
      </c>
      <c r="Q188" s="715">
        <f t="shared" si="33"/>
        <v>163.82218844984803</v>
      </c>
      <c r="R188" s="715">
        <f t="shared" si="33"/>
        <v>163.82218844984803</v>
      </c>
      <c r="S188" s="715">
        <f t="shared" si="33"/>
        <v>163.82218844984803</v>
      </c>
      <c r="T188" s="715">
        <f t="shared" si="33"/>
        <v>163.82218844984803</v>
      </c>
      <c r="U188" s="715">
        <f t="shared" si="33"/>
        <v>163.82218844984803</v>
      </c>
      <c r="V188" s="715">
        <f t="shared" si="33"/>
        <v>163.82218844984803</v>
      </c>
      <c r="W188" s="715">
        <f t="shared" si="33"/>
        <v>163.82218844984803</v>
      </c>
      <c r="X188" s="715">
        <f t="shared" si="33"/>
        <v>163.82218844984803</v>
      </c>
      <c r="Y188" s="715">
        <f t="shared" si="33"/>
        <v>163.82218844984803</v>
      </c>
      <c r="Z188" s="715">
        <f t="shared" si="33"/>
        <v>163.82218844984803</v>
      </c>
      <c r="AA188" s="715">
        <f t="shared" si="33"/>
        <v>163.82218844984803</v>
      </c>
      <c r="AB188" s="715">
        <f t="shared" si="33"/>
        <v>163.82218844984803</v>
      </c>
      <c r="AC188" s="715">
        <f t="shared" si="33"/>
        <v>163.82218844984803</v>
      </c>
      <c r="AD188" s="715">
        <f t="shared" si="33"/>
        <v>163.82218844984803</v>
      </c>
      <c r="AE188" s="715">
        <f t="shared" si="33"/>
        <v>163.82218844984803</v>
      </c>
      <c r="AF188" s="715">
        <f t="shared" si="33"/>
        <v>163.82218844984803</v>
      </c>
      <c r="AG188" s="715">
        <f t="shared" si="33"/>
        <v>163.82218844984803</v>
      </c>
      <c r="AH188" s="715">
        <f t="shared" si="33"/>
        <v>163.82218844984803</v>
      </c>
      <c r="AI188" s="715">
        <f t="shared" si="33"/>
        <v>163.82218844984803</v>
      </c>
      <c r="AJ188" s="715">
        <f t="shared" si="33"/>
        <v>163.82218844984803</v>
      </c>
      <c r="AK188" s="715">
        <f t="shared" si="33"/>
        <v>163.82218844984803</v>
      </c>
      <c r="AL188" s="715">
        <f t="shared" si="33"/>
        <v>163.82218844984803</v>
      </c>
      <c r="AM188" s="715">
        <f t="shared" si="33"/>
        <v>163.82218844984803</v>
      </c>
      <c r="AN188" s="715">
        <f t="shared" si="33"/>
        <v>163.82218844984803</v>
      </c>
      <c r="AO188" s="715">
        <f t="shared" si="33"/>
        <v>163.82218844984803</v>
      </c>
      <c r="AP188" s="715">
        <f t="shared" si="33"/>
        <v>163.82218844984803</v>
      </c>
      <c r="AQ188" s="715">
        <f t="shared" si="33"/>
        <v>163.82218844984803</v>
      </c>
      <c r="AR188" s="715">
        <f t="shared" si="33"/>
        <v>163.82218844984803</v>
      </c>
      <c r="AS188" s="715">
        <f t="shared" si="33"/>
        <v>163.82218844984803</v>
      </c>
      <c r="AT188" s="715">
        <f t="shared" si="33"/>
        <v>163.82218844984803</v>
      </c>
      <c r="AU188" s="715">
        <f t="shared" si="33"/>
        <v>163.82218844984803</v>
      </c>
      <c r="AV188" s="715">
        <f t="shared" si="33"/>
        <v>163.82218844984803</v>
      </c>
      <c r="AW188" s="715">
        <f t="shared" si="33"/>
        <v>163.82218844984803</v>
      </c>
    </row>
    <row r="189" spans="1:49" s="683" customFormat="1" x14ac:dyDescent="0.2">
      <c r="A189" s="702" t="s">
        <v>499</v>
      </c>
      <c r="B189" s="715">
        <f t="shared" ref="B189:AW189" si="34">$B$185-(3*$B$187)</f>
        <v>3.6778115501519721</v>
      </c>
      <c r="C189" s="715">
        <f t="shared" si="34"/>
        <v>3.6778115501519721</v>
      </c>
      <c r="D189" s="715">
        <f t="shared" si="34"/>
        <v>3.6778115501519721</v>
      </c>
      <c r="E189" s="715">
        <f t="shared" si="34"/>
        <v>3.6778115501519721</v>
      </c>
      <c r="F189" s="715">
        <f t="shared" si="34"/>
        <v>3.6778115501519721</v>
      </c>
      <c r="G189" s="715">
        <f t="shared" si="34"/>
        <v>3.6778115501519721</v>
      </c>
      <c r="H189" s="715">
        <f t="shared" si="34"/>
        <v>3.6778115501519721</v>
      </c>
      <c r="I189" s="715">
        <f t="shared" si="34"/>
        <v>3.6778115501519721</v>
      </c>
      <c r="J189" s="715">
        <f t="shared" si="34"/>
        <v>3.6778115501519721</v>
      </c>
      <c r="K189" s="715">
        <f t="shared" si="34"/>
        <v>3.6778115501519721</v>
      </c>
      <c r="L189" s="715">
        <f t="shared" si="34"/>
        <v>3.6778115501519721</v>
      </c>
      <c r="M189" s="715">
        <f t="shared" si="34"/>
        <v>3.6778115501519721</v>
      </c>
      <c r="N189" s="715">
        <f t="shared" si="34"/>
        <v>3.6778115501519721</v>
      </c>
      <c r="O189" s="715">
        <f t="shared" si="34"/>
        <v>3.6778115501519721</v>
      </c>
      <c r="P189" s="715">
        <f t="shared" si="34"/>
        <v>3.6778115501519721</v>
      </c>
      <c r="Q189" s="715">
        <f t="shared" si="34"/>
        <v>3.6778115501519721</v>
      </c>
      <c r="R189" s="715">
        <f t="shared" si="34"/>
        <v>3.6778115501519721</v>
      </c>
      <c r="S189" s="715">
        <f t="shared" si="34"/>
        <v>3.6778115501519721</v>
      </c>
      <c r="T189" s="715">
        <f t="shared" si="34"/>
        <v>3.6778115501519721</v>
      </c>
      <c r="U189" s="715">
        <f t="shared" si="34"/>
        <v>3.6778115501519721</v>
      </c>
      <c r="V189" s="715">
        <f t="shared" si="34"/>
        <v>3.6778115501519721</v>
      </c>
      <c r="W189" s="715">
        <f t="shared" si="34"/>
        <v>3.6778115501519721</v>
      </c>
      <c r="X189" s="715">
        <f t="shared" si="34"/>
        <v>3.6778115501519721</v>
      </c>
      <c r="Y189" s="715">
        <f t="shared" si="34"/>
        <v>3.6778115501519721</v>
      </c>
      <c r="Z189" s="715">
        <f t="shared" si="34"/>
        <v>3.6778115501519721</v>
      </c>
      <c r="AA189" s="715">
        <f t="shared" si="34"/>
        <v>3.6778115501519721</v>
      </c>
      <c r="AB189" s="715">
        <f t="shared" si="34"/>
        <v>3.6778115501519721</v>
      </c>
      <c r="AC189" s="715">
        <f t="shared" si="34"/>
        <v>3.6778115501519721</v>
      </c>
      <c r="AD189" s="715">
        <f t="shared" si="34"/>
        <v>3.6778115501519721</v>
      </c>
      <c r="AE189" s="715">
        <f t="shared" si="34"/>
        <v>3.6778115501519721</v>
      </c>
      <c r="AF189" s="715">
        <f t="shared" si="34"/>
        <v>3.6778115501519721</v>
      </c>
      <c r="AG189" s="715">
        <f t="shared" si="34"/>
        <v>3.6778115501519721</v>
      </c>
      <c r="AH189" s="715">
        <f t="shared" si="34"/>
        <v>3.6778115501519721</v>
      </c>
      <c r="AI189" s="715">
        <f t="shared" si="34"/>
        <v>3.6778115501519721</v>
      </c>
      <c r="AJ189" s="715">
        <f t="shared" si="34"/>
        <v>3.6778115501519721</v>
      </c>
      <c r="AK189" s="715">
        <f t="shared" si="34"/>
        <v>3.6778115501519721</v>
      </c>
      <c r="AL189" s="715">
        <f t="shared" si="34"/>
        <v>3.6778115501519721</v>
      </c>
      <c r="AM189" s="715">
        <f t="shared" si="34"/>
        <v>3.6778115501519721</v>
      </c>
      <c r="AN189" s="715">
        <f t="shared" si="34"/>
        <v>3.6778115501519721</v>
      </c>
      <c r="AO189" s="715">
        <f t="shared" si="34"/>
        <v>3.6778115501519721</v>
      </c>
      <c r="AP189" s="715">
        <f t="shared" si="34"/>
        <v>3.6778115501519721</v>
      </c>
      <c r="AQ189" s="715">
        <f t="shared" si="34"/>
        <v>3.6778115501519721</v>
      </c>
      <c r="AR189" s="715">
        <f t="shared" si="34"/>
        <v>3.6778115501519721</v>
      </c>
      <c r="AS189" s="715">
        <f t="shared" si="34"/>
        <v>3.6778115501519721</v>
      </c>
      <c r="AT189" s="715">
        <f t="shared" si="34"/>
        <v>3.6778115501519721</v>
      </c>
      <c r="AU189" s="715">
        <f t="shared" si="34"/>
        <v>3.6778115501519721</v>
      </c>
      <c r="AV189" s="715">
        <f t="shared" si="34"/>
        <v>3.6778115501519721</v>
      </c>
      <c r="AW189" s="715">
        <f t="shared" si="34"/>
        <v>3.6778115501519721</v>
      </c>
    </row>
    <row r="190" spans="1:49" s="683" customFormat="1" ht="25.5" x14ac:dyDescent="0.2">
      <c r="A190" s="693" t="s">
        <v>513</v>
      </c>
      <c r="B190" s="715"/>
      <c r="C190" s="715"/>
      <c r="D190" s="715"/>
      <c r="E190" s="715"/>
      <c r="F190" s="715"/>
      <c r="G190" s="715"/>
      <c r="H190" s="715"/>
      <c r="I190" s="715"/>
      <c r="J190" s="715"/>
      <c r="K190" s="720"/>
      <c r="L190" s="720"/>
      <c r="M190" s="715"/>
      <c r="N190" s="715"/>
      <c r="O190" s="715"/>
      <c r="P190" s="715"/>
      <c r="Q190" s="715"/>
      <c r="R190" s="715"/>
      <c r="S190" s="715"/>
      <c r="T190" s="715"/>
      <c r="U190" s="715"/>
      <c r="V190" s="715"/>
      <c r="W190" s="715"/>
      <c r="X190" s="715"/>
      <c r="Y190" s="715"/>
      <c r="Z190" s="715"/>
      <c r="AA190" s="715"/>
      <c r="AB190" s="715"/>
      <c r="AC190" s="715"/>
      <c r="AD190" s="715"/>
      <c r="AE190" s="715"/>
      <c r="AF190" s="715"/>
      <c r="AG190" s="715"/>
      <c r="AH190" s="715"/>
      <c r="AI190" s="715"/>
      <c r="AJ190" s="715"/>
      <c r="AK190" s="715"/>
      <c r="AL190" s="715"/>
      <c r="AM190" s="715"/>
      <c r="AN190" s="715"/>
      <c r="AO190" s="715"/>
      <c r="AP190" s="715"/>
      <c r="AQ190" s="715"/>
      <c r="AR190" s="715"/>
      <c r="AS190" s="715"/>
      <c r="AT190" s="715"/>
      <c r="AU190" s="715"/>
      <c r="AV190" s="715"/>
      <c r="AW190" s="715"/>
    </row>
    <row r="191" spans="1:49" s="683" customFormat="1" x14ac:dyDescent="0.2">
      <c r="A191" s="719" t="s">
        <v>541</v>
      </c>
      <c r="B191" s="715">
        <f t="shared" ref="B191:AW191" si="35">B72</f>
        <v>68</v>
      </c>
      <c r="C191" s="715">
        <f t="shared" si="35"/>
        <v>74</v>
      </c>
      <c r="D191" s="715">
        <f t="shared" si="35"/>
        <v>78</v>
      </c>
      <c r="E191" s="715">
        <f t="shared" si="35"/>
        <v>96</v>
      </c>
      <c r="F191" s="715">
        <f t="shared" si="35"/>
        <v>102</v>
      </c>
      <c r="G191" s="715">
        <f t="shared" si="35"/>
        <v>112</v>
      </c>
      <c r="H191" s="715">
        <f t="shared" si="35"/>
        <v>117</v>
      </c>
      <c r="I191" s="715">
        <f t="shared" si="35"/>
        <v>131</v>
      </c>
      <c r="J191" s="715">
        <f t="shared" si="35"/>
        <v>141</v>
      </c>
      <c r="K191" s="715">
        <f t="shared" si="35"/>
        <v>153</v>
      </c>
      <c r="L191" s="715">
        <f t="shared" si="35"/>
        <v>156</v>
      </c>
      <c r="M191" s="715">
        <f t="shared" si="35"/>
        <v>162</v>
      </c>
      <c r="N191" s="715">
        <f t="shared" si="35"/>
        <v>174</v>
      </c>
      <c r="O191" s="715">
        <f t="shared" si="35"/>
        <v>183</v>
      </c>
      <c r="P191" s="715">
        <f t="shared" si="35"/>
        <v>198</v>
      </c>
      <c r="Q191" s="715">
        <f t="shared" si="35"/>
        <v>196</v>
      </c>
      <c r="R191" s="715">
        <f t="shared" si="35"/>
        <v>190</v>
      </c>
      <c r="S191" s="715">
        <f t="shared" si="35"/>
        <v>206</v>
      </c>
      <c r="T191" s="715">
        <f t="shared" si="35"/>
        <v>213</v>
      </c>
      <c r="U191" s="715">
        <f t="shared" si="35"/>
        <v>214</v>
      </c>
      <c r="V191" s="715">
        <f t="shared" si="35"/>
        <v>205</v>
      </c>
      <c r="W191" s="715">
        <f t="shared" si="35"/>
        <v>225</v>
      </c>
      <c r="X191" s="715">
        <f t="shared" si="35"/>
        <v>218</v>
      </c>
      <c r="Y191" s="715">
        <f t="shared" si="35"/>
        <v>207</v>
      </c>
      <c r="Z191" s="715">
        <f t="shared" si="35"/>
        <v>217</v>
      </c>
      <c r="AA191" s="715">
        <f t="shared" si="35"/>
        <v>211</v>
      </c>
      <c r="AB191" s="715">
        <f t="shared" si="35"/>
        <v>85</v>
      </c>
      <c r="AC191" s="715">
        <f t="shared" si="35"/>
        <v>198</v>
      </c>
      <c r="AD191" s="715">
        <f t="shared" si="35"/>
        <v>203</v>
      </c>
      <c r="AE191" s="715">
        <f t="shared" si="35"/>
        <v>0</v>
      </c>
      <c r="AF191" s="715">
        <f t="shared" si="35"/>
        <v>0</v>
      </c>
      <c r="AG191" s="715">
        <f t="shared" si="35"/>
        <v>0</v>
      </c>
      <c r="AH191" s="715">
        <f t="shared" si="35"/>
        <v>0</v>
      </c>
      <c r="AI191" s="715">
        <f t="shared" si="35"/>
        <v>0</v>
      </c>
      <c r="AJ191" s="715">
        <f t="shared" si="35"/>
        <v>0</v>
      </c>
      <c r="AK191" s="715">
        <f t="shared" si="35"/>
        <v>0</v>
      </c>
      <c r="AL191" s="715">
        <f t="shared" si="35"/>
        <v>0</v>
      </c>
      <c r="AM191" s="715">
        <f t="shared" si="35"/>
        <v>0</v>
      </c>
      <c r="AN191" s="715">
        <f t="shared" si="35"/>
        <v>0</v>
      </c>
      <c r="AO191" s="715">
        <f t="shared" si="35"/>
        <v>0</v>
      </c>
      <c r="AP191" s="715">
        <f t="shared" si="35"/>
        <v>0</v>
      </c>
      <c r="AQ191" s="715">
        <f t="shared" si="35"/>
        <v>0</v>
      </c>
      <c r="AR191" s="715">
        <f t="shared" si="35"/>
        <v>0</v>
      </c>
      <c r="AS191" s="715">
        <f t="shared" si="35"/>
        <v>0</v>
      </c>
      <c r="AT191" s="715">
        <f t="shared" si="35"/>
        <v>0</v>
      </c>
      <c r="AU191" s="715">
        <f t="shared" si="35"/>
        <v>0</v>
      </c>
      <c r="AV191" s="715">
        <f t="shared" si="35"/>
        <v>0</v>
      </c>
      <c r="AW191" s="715">
        <f t="shared" si="35"/>
        <v>0</v>
      </c>
    </row>
    <row r="192" spans="1:49" s="683" customFormat="1" x14ac:dyDescent="0.2">
      <c r="A192" s="683" t="s">
        <v>131</v>
      </c>
      <c r="B192" s="715">
        <f t="shared" ref="B192:M192" si="36">MEDIAN($B$191:$M$191)</f>
        <v>114.5</v>
      </c>
      <c r="C192" s="715">
        <f t="shared" si="36"/>
        <v>114.5</v>
      </c>
      <c r="D192" s="715">
        <f t="shared" si="36"/>
        <v>114.5</v>
      </c>
      <c r="E192" s="715">
        <f t="shared" si="36"/>
        <v>114.5</v>
      </c>
      <c r="F192" s="715">
        <f t="shared" si="36"/>
        <v>114.5</v>
      </c>
      <c r="G192" s="715">
        <f t="shared" si="36"/>
        <v>114.5</v>
      </c>
      <c r="H192" s="715">
        <f t="shared" si="36"/>
        <v>114.5</v>
      </c>
      <c r="I192" s="715">
        <f t="shared" si="36"/>
        <v>114.5</v>
      </c>
      <c r="J192" s="715">
        <f t="shared" si="36"/>
        <v>114.5</v>
      </c>
      <c r="K192" s="715">
        <f t="shared" si="36"/>
        <v>114.5</v>
      </c>
      <c r="L192" s="715">
        <f t="shared" si="36"/>
        <v>114.5</v>
      </c>
      <c r="M192" s="715">
        <f t="shared" si="36"/>
        <v>114.5</v>
      </c>
      <c r="N192" s="720"/>
      <c r="O192" s="720"/>
      <c r="P192" s="720"/>
      <c r="Q192" s="720"/>
      <c r="R192" s="720"/>
      <c r="S192" s="720"/>
      <c r="T192" s="720"/>
      <c r="U192" s="720"/>
      <c r="V192" s="720"/>
      <c r="W192" s="721"/>
      <c r="X192" s="721"/>
      <c r="Y192" s="721"/>
      <c r="Z192" s="721"/>
      <c r="AA192" s="715"/>
      <c r="AB192" s="715"/>
      <c r="AC192" s="715"/>
      <c r="AD192" s="715"/>
      <c r="AE192" s="715"/>
      <c r="AF192" s="715"/>
      <c r="AG192" s="715"/>
      <c r="AH192" s="715"/>
      <c r="AI192" s="715"/>
      <c r="AJ192" s="715"/>
      <c r="AK192" s="715"/>
      <c r="AL192" s="715"/>
      <c r="AM192" s="715"/>
      <c r="AN192" s="715"/>
      <c r="AO192" s="715"/>
      <c r="AP192" s="715"/>
      <c r="AQ192" s="715"/>
      <c r="AR192" s="715"/>
      <c r="AS192" s="715"/>
      <c r="AT192" s="715"/>
      <c r="AU192" s="715"/>
      <c r="AV192" s="715"/>
      <c r="AW192" s="715"/>
    </row>
    <row r="193" spans="1:49" s="683" customFormat="1" x14ac:dyDescent="0.2">
      <c r="A193" s="683" t="s">
        <v>184</v>
      </c>
      <c r="B193" s="715"/>
      <c r="C193" s="715"/>
      <c r="D193" s="715"/>
      <c r="E193" s="715"/>
      <c r="F193" s="715"/>
      <c r="G193" s="715"/>
      <c r="H193" s="715"/>
      <c r="I193" s="715"/>
      <c r="J193" s="715"/>
      <c r="K193" s="720"/>
      <c r="L193" s="720"/>
      <c r="M193" s="715">
        <f>MEDIAN($B$191:$M$191)</f>
        <v>114.5</v>
      </c>
      <c r="N193" s="715">
        <f>MEDIAN($B$191:$M$191)</f>
        <v>114.5</v>
      </c>
      <c r="O193" s="715" t="s">
        <v>385</v>
      </c>
      <c r="P193" s="715" t="s">
        <v>385</v>
      </c>
      <c r="Q193" s="715" t="s">
        <v>385</v>
      </c>
      <c r="R193" s="715" t="s">
        <v>385</v>
      </c>
      <c r="S193" s="715" t="s">
        <v>385</v>
      </c>
      <c r="T193" s="715" t="s">
        <v>385</v>
      </c>
      <c r="U193" s="715" t="s">
        <v>385</v>
      </c>
      <c r="V193" s="715" t="s">
        <v>385</v>
      </c>
      <c r="W193" s="715" t="s">
        <v>385</v>
      </c>
      <c r="X193" s="715" t="s">
        <v>385</v>
      </c>
      <c r="Y193" s="715" t="s">
        <v>385</v>
      </c>
      <c r="Z193" s="715" t="s">
        <v>385</v>
      </c>
      <c r="AA193" s="715"/>
      <c r="AB193" s="715"/>
      <c r="AC193" s="715"/>
      <c r="AD193" s="715"/>
      <c r="AE193" s="715"/>
      <c r="AF193" s="715"/>
      <c r="AG193" s="715"/>
      <c r="AH193" s="715"/>
      <c r="AI193" s="715"/>
      <c r="AJ193" s="715"/>
      <c r="AK193" s="715"/>
      <c r="AL193" s="715"/>
      <c r="AM193" s="715"/>
      <c r="AN193" s="715"/>
      <c r="AO193" s="715"/>
      <c r="AP193" s="715"/>
      <c r="AQ193" s="715"/>
      <c r="AR193" s="715"/>
      <c r="AS193" s="715"/>
      <c r="AT193" s="715"/>
      <c r="AU193" s="715"/>
      <c r="AV193" s="715"/>
      <c r="AW193" s="715"/>
    </row>
    <row r="194" spans="1:49" s="683" customFormat="1" x14ac:dyDescent="0.2">
      <c r="A194" s="683" t="s">
        <v>318</v>
      </c>
      <c r="B194" s="715"/>
      <c r="C194" s="715"/>
      <c r="D194" s="715"/>
      <c r="E194" s="715"/>
      <c r="F194" s="715"/>
      <c r="G194" s="715"/>
      <c r="H194" s="715"/>
      <c r="I194" s="715"/>
      <c r="J194" s="715"/>
      <c r="K194" s="720"/>
      <c r="L194" s="720"/>
      <c r="M194" s="715"/>
      <c r="N194" s="715">
        <f t="shared" ref="N194:Y194" si="37">MEDIAN($N$191:$Y$191)</f>
        <v>205.5</v>
      </c>
      <c r="O194" s="715">
        <f t="shared" si="37"/>
        <v>205.5</v>
      </c>
      <c r="P194" s="715">
        <f t="shared" si="37"/>
        <v>205.5</v>
      </c>
      <c r="Q194" s="715">
        <f t="shared" si="37"/>
        <v>205.5</v>
      </c>
      <c r="R194" s="715">
        <f t="shared" si="37"/>
        <v>205.5</v>
      </c>
      <c r="S194" s="715">
        <f t="shared" si="37"/>
        <v>205.5</v>
      </c>
      <c r="T194" s="715">
        <f t="shared" si="37"/>
        <v>205.5</v>
      </c>
      <c r="U194" s="715">
        <f t="shared" si="37"/>
        <v>205.5</v>
      </c>
      <c r="V194" s="715">
        <f t="shared" si="37"/>
        <v>205.5</v>
      </c>
      <c r="W194" s="715">
        <f t="shared" si="37"/>
        <v>205.5</v>
      </c>
      <c r="X194" s="715">
        <f t="shared" si="37"/>
        <v>205.5</v>
      </c>
      <c r="Y194" s="715">
        <f t="shared" si="37"/>
        <v>205.5</v>
      </c>
      <c r="Z194" s="715" t="s">
        <v>385</v>
      </c>
      <c r="AA194" s="715" t="s">
        <v>385</v>
      </c>
      <c r="AB194" s="715"/>
      <c r="AC194" s="715"/>
      <c r="AD194" s="715"/>
      <c r="AE194" s="715"/>
      <c r="AF194" s="715"/>
      <c r="AG194" s="715"/>
      <c r="AH194" s="715"/>
      <c r="AI194" s="715"/>
      <c r="AJ194" s="715"/>
      <c r="AK194" s="715"/>
      <c r="AL194" s="715"/>
      <c r="AM194" s="715"/>
      <c r="AN194" s="715"/>
      <c r="AO194" s="715"/>
      <c r="AP194" s="715"/>
      <c r="AQ194" s="715"/>
      <c r="AR194" s="715"/>
      <c r="AS194" s="715"/>
      <c r="AT194" s="715"/>
      <c r="AU194" s="715"/>
      <c r="AV194" s="715"/>
      <c r="AW194" s="715"/>
    </row>
    <row r="195" spans="1:49" s="683" customFormat="1" x14ac:dyDescent="0.2">
      <c r="A195" s="683" t="s">
        <v>319</v>
      </c>
      <c r="B195" s="715"/>
      <c r="C195" s="715"/>
      <c r="D195" s="715"/>
      <c r="E195" s="715"/>
      <c r="F195" s="715"/>
      <c r="G195" s="715"/>
      <c r="H195" s="715"/>
      <c r="I195" s="715"/>
      <c r="J195" s="715"/>
      <c r="K195" s="720"/>
      <c r="L195" s="720"/>
      <c r="M195" s="715"/>
      <c r="N195" s="715"/>
      <c r="O195" s="715"/>
      <c r="P195" s="715"/>
      <c r="Q195" s="715"/>
      <c r="R195" s="715"/>
      <c r="S195" s="715"/>
      <c r="T195" s="715"/>
      <c r="U195" s="715"/>
      <c r="V195" s="715"/>
      <c r="W195" s="715"/>
      <c r="X195" s="715"/>
      <c r="Y195" s="715">
        <f t="shared" ref="Y195:AW195" si="38">MEDIAN($N$191:$Y$191)</f>
        <v>205.5</v>
      </c>
      <c r="Z195" s="715">
        <f t="shared" si="38"/>
        <v>205.5</v>
      </c>
      <c r="AA195" s="715">
        <f t="shared" si="38"/>
        <v>205.5</v>
      </c>
      <c r="AB195" s="715">
        <f t="shared" si="38"/>
        <v>205.5</v>
      </c>
      <c r="AC195" s="715">
        <f t="shared" si="38"/>
        <v>205.5</v>
      </c>
      <c r="AD195" s="715">
        <f t="shared" si="38"/>
        <v>205.5</v>
      </c>
      <c r="AE195" s="715">
        <f t="shared" si="38"/>
        <v>205.5</v>
      </c>
      <c r="AF195" s="715">
        <f t="shared" si="38"/>
        <v>205.5</v>
      </c>
      <c r="AG195" s="715">
        <f t="shared" si="38"/>
        <v>205.5</v>
      </c>
      <c r="AH195" s="715">
        <f t="shared" si="38"/>
        <v>205.5</v>
      </c>
      <c r="AI195" s="715">
        <f t="shared" si="38"/>
        <v>205.5</v>
      </c>
      <c r="AJ195" s="715">
        <f t="shared" si="38"/>
        <v>205.5</v>
      </c>
      <c r="AK195" s="715">
        <f t="shared" si="38"/>
        <v>205.5</v>
      </c>
      <c r="AL195" s="715">
        <f t="shared" si="38"/>
        <v>205.5</v>
      </c>
      <c r="AM195" s="715">
        <f t="shared" si="38"/>
        <v>205.5</v>
      </c>
      <c r="AN195" s="715">
        <f t="shared" si="38"/>
        <v>205.5</v>
      </c>
      <c r="AO195" s="715">
        <f t="shared" si="38"/>
        <v>205.5</v>
      </c>
      <c r="AP195" s="715">
        <f t="shared" si="38"/>
        <v>205.5</v>
      </c>
      <c r="AQ195" s="715">
        <f t="shared" si="38"/>
        <v>205.5</v>
      </c>
      <c r="AR195" s="715">
        <f t="shared" si="38"/>
        <v>205.5</v>
      </c>
      <c r="AS195" s="715">
        <f t="shared" si="38"/>
        <v>205.5</v>
      </c>
      <c r="AT195" s="715">
        <f t="shared" si="38"/>
        <v>205.5</v>
      </c>
      <c r="AU195" s="715">
        <f t="shared" si="38"/>
        <v>205.5</v>
      </c>
      <c r="AV195" s="715">
        <f t="shared" si="38"/>
        <v>205.5</v>
      </c>
      <c r="AW195" s="715">
        <f t="shared" si="38"/>
        <v>205.5</v>
      </c>
    </row>
    <row r="196" spans="1:49" s="683" customFormat="1" x14ac:dyDescent="0.2">
      <c r="A196" s="702" t="s">
        <v>490</v>
      </c>
      <c r="B196" s="715"/>
      <c r="C196" s="715">
        <f>SUM(C191-B191)</f>
        <v>6</v>
      </c>
      <c r="D196" s="715">
        <f t="shared" ref="D196:Z196" si="39">SUM(D191-C191)</f>
        <v>4</v>
      </c>
      <c r="E196" s="715">
        <f t="shared" si="39"/>
        <v>18</v>
      </c>
      <c r="F196" s="715">
        <f t="shared" si="39"/>
        <v>6</v>
      </c>
      <c r="G196" s="715">
        <f t="shared" si="39"/>
        <v>10</v>
      </c>
      <c r="H196" s="715">
        <f t="shared" si="39"/>
        <v>5</v>
      </c>
      <c r="I196" s="715">
        <f t="shared" si="39"/>
        <v>14</v>
      </c>
      <c r="J196" s="715">
        <f t="shared" si="39"/>
        <v>10</v>
      </c>
      <c r="K196" s="715">
        <f t="shared" si="39"/>
        <v>12</v>
      </c>
      <c r="L196" s="715">
        <f t="shared" si="39"/>
        <v>3</v>
      </c>
      <c r="M196" s="715">
        <f t="shared" si="39"/>
        <v>6</v>
      </c>
      <c r="N196" s="715">
        <f t="shared" si="39"/>
        <v>12</v>
      </c>
      <c r="O196" s="715">
        <f t="shared" si="39"/>
        <v>9</v>
      </c>
      <c r="P196" s="715">
        <f t="shared" si="39"/>
        <v>15</v>
      </c>
      <c r="Q196" s="715">
        <f>SUM(Q191-P191)*-1</f>
        <v>2</v>
      </c>
      <c r="R196" s="715">
        <f>SUM(R191-Q191)*-1</f>
        <v>6</v>
      </c>
      <c r="S196" s="715">
        <f t="shared" si="39"/>
        <v>16</v>
      </c>
      <c r="T196" s="715">
        <f t="shared" si="39"/>
        <v>7</v>
      </c>
      <c r="U196" s="715">
        <f t="shared" si="39"/>
        <v>1</v>
      </c>
      <c r="V196" s="715">
        <f>SUM(V191-U191)*-1</f>
        <v>9</v>
      </c>
      <c r="W196" s="715">
        <f t="shared" si="39"/>
        <v>20</v>
      </c>
      <c r="X196" s="715">
        <f>SUM(X191-W191)*-1</f>
        <v>7</v>
      </c>
      <c r="Y196" s="715">
        <f>SUM(Y191-X191)*-1</f>
        <v>11</v>
      </c>
      <c r="Z196" s="715">
        <f t="shared" si="39"/>
        <v>10</v>
      </c>
      <c r="AA196" s="715">
        <f>SUM(AA191-Z191)*-1</f>
        <v>6</v>
      </c>
      <c r="AB196" s="715">
        <f>SUM(AB191-AA191)*-1</f>
        <v>126</v>
      </c>
      <c r="AC196" s="715">
        <f>SUM(AC191-AB191)</f>
        <v>113</v>
      </c>
      <c r="AD196" s="715">
        <f>SUM(AD191-AC191)</f>
        <v>5</v>
      </c>
      <c r="AE196" s="715"/>
      <c r="AF196" s="715"/>
      <c r="AG196" s="715"/>
      <c r="AH196" s="715"/>
      <c r="AI196" s="715"/>
      <c r="AJ196" s="715"/>
      <c r="AK196" s="715"/>
      <c r="AL196" s="715"/>
      <c r="AM196" s="715"/>
      <c r="AN196" s="715"/>
      <c r="AO196" s="715"/>
      <c r="AP196" s="715"/>
      <c r="AQ196" s="715"/>
      <c r="AR196" s="715"/>
      <c r="AS196" s="715"/>
      <c r="AT196" s="715"/>
      <c r="AU196" s="715"/>
      <c r="AV196" s="715"/>
      <c r="AW196" s="715"/>
    </row>
    <row r="197" spans="1:49" s="683" customFormat="1" ht="42.75" x14ac:dyDescent="0.2">
      <c r="A197" s="703" t="s">
        <v>521</v>
      </c>
      <c r="B197" s="715"/>
      <c r="C197" s="715"/>
      <c r="D197" s="715"/>
      <c r="E197" s="715"/>
      <c r="F197" s="715"/>
      <c r="G197" s="715"/>
      <c r="H197" s="715"/>
      <c r="I197" s="715"/>
      <c r="J197" s="715"/>
      <c r="K197" s="720"/>
      <c r="L197" s="720"/>
      <c r="M197" s="715"/>
      <c r="N197" s="715"/>
      <c r="O197" s="715"/>
      <c r="P197" s="715"/>
      <c r="Q197" s="715"/>
      <c r="R197" s="715"/>
      <c r="S197" s="715"/>
      <c r="T197" s="715"/>
      <c r="U197" s="715"/>
      <c r="V197" s="715"/>
      <c r="W197" s="715"/>
      <c r="X197" s="715"/>
      <c r="Y197" s="715"/>
      <c r="Z197" s="715"/>
      <c r="AA197" s="715"/>
      <c r="AB197" s="715"/>
      <c r="AC197" s="715"/>
      <c r="AD197" s="715"/>
      <c r="AE197" s="715"/>
      <c r="AF197" s="715"/>
      <c r="AG197" s="715"/>
      <c r="AH197" s="715"/>
      <c r="AI197" s="715"/>
      <c r="AJ197" s="715"/>
      <c r="AK197" s="715"/>
      <c r="AL197" s="715"/>
      <c r="AM197" s="715"/>
      <c r="AN197" s="715"/>
      <c r="AO197" s="715"/>
      <c r="AP197" s="715"/>
      <c r="AQ197" s="715"/>
      <c r="AR197" s="715"/>
      <c r="AS197" s="715"/>
      <c r="AT197" s="715"/>
      <c r="AU197" s="715"/>
      <c r="AV197" s="715"/>
      <c r="AW197" s="715"/>
    </row>
    <row r="198" spans="1:49" s="683" customFormat="1" x14ac:dyDescent="0.2">
      <c r="A198" s="674" t="s">
        <v>492</v>
      </c>
      <c r="B198" s="715">
        <f t="shared" ref="B198:AW198" si="40">AVERAGE($B$191:$AW$191)</f>
        <v>98.604166666666671</v>
      </c>
      <c r="C198" s="715">
        <f t="shared" si="40"/>
        <v>98.604166666666671</v>
      </c>
      <c r="D198" s="715">
        <f t="shared" si="40"/>
        <v>98.604166666666671</v>
      </c>
      <c r="E198" s="715">
        <f t="shared" si="40"/>
        <v>98.604166666666671</v>
      </c>
      <c r="F198" s="715">
        <f t="shared" si="40"/>
        <v>98.604166666666671</v>
      </c>
      <c r="G198" s="715">
        <f t="shared" si="40"/>
        <v>98.604166666666671</v>
      </c>
      <c r="H198" s="715">
        <f t="shared" si="40"/>
        <v>98.604166666666671</v>
      </c>
      <c r="I198" s="715">
        <f t="shared" si="40"/>
        <v>98.604166666666671</v>
      </c>
      <c r="J198" s="715">
        <f t="shared" si="40"/>
        <v>98.604166666666671</v>
      </c>
      <c r="K198" s="715">
        <f t="shared" si="40"/>
        <v>98.604166666666671</v>
      </c>
      <c r="L198" s="715">
        <f t="shared" si="40"/>
        <v>98.604166666666671</v>
      </c>
      <c r="M198" s="715">
        <f t="shared" si="40"/>
        <v>98.604166666666671</v>
      </c>
      <c r="N198" s="715">
        <f t="shared" si="40"/>
        <v>98.604166666666671</v>
      </c>
      <c r="O198" s="715">
        <f t="shared" si="40"/>
        <v>98.604166666666671</v>
      </c>
      <c r="P198" s="715">
        <f t="shared" si="40"/>
        <v>98.604166666666671</v>
      </c>
      <c r="Q198" s="715">
        <f t="shared" si="40"/>
        <v>98.604166666666671</v>
      </c>
      <c r="R198" s="715">
        <f t="shared" si="40"/>
        <v>98.604166666666671</v>
      </c>
      <c r="S198" s="715">
        <f t="shared" si="40"/>
        <v>98.604166666666671</v>
      </c>
      <c r="T198" s="715">
        <f t="shared" si="40"/>
        <v>98.604166666666671</v>
      </c>
      <c r="U198" s="715">
        <f t="shared" si="40"/>
        <v>98.604166666666671</v>
      </c>
      <c r="V198" s="715">
        <f t="shared" si="40"/>
        <v>98.604166666666671</v>
      </c>
      <c r="W198" s="715">
        <f t="shared" si="40"/>
        <v>98.604166666666671</v>
      </c>
      <c r="X198" s="715">
        <f t="shared" si="40"/>
        <v>98.604166666666671</v>
      </c>
      <c r="Y198" s="715">
        <f t="shared" si="40"/>
        <v>98.604166666666671</v>
      </c>
      <c r="Z198" s="715">
        <f t="shared" si="40"/>
        <v>98.604166666666671</v>
      </c>
      <c r="AA198" s="715">
        <f t="shared" si="40"/>
        <v>98.604166666666671</v>
      </c>
      <c r="AB198" s="715">
        <f t="shared" si="40"/>
        <v>98.604166666666671</v>
      </c>
      <c r="AC198" s="715">
        <f t="shared" si="40"/>
        <v>98.604166666666671</v>
      </c>
      <c r="AD198" s="715">
        <f t="shared" si="40"/>
        <v>98.604166666666671</v>
      </c>
      <c r="AE198" s="715">
        <f t="shared" si="40"/>
        <v>98.604166666666671</v>
      </c>
      <c r="AF198" s="715">
        <f t="shared" si="40"/>
        <v>98.604166666666671</v>
      </c>
      <c r="AG198" s="715">
        <f t="shared" si="40"/>
        <v>98.604166666666671</v>
      </c>
      <c r="AH198" s="715">
        <f t="shared" si="40"/>
        <v>98.604166666666671</v>
      </c>
      <c r="AI198" s="715">
        <f t="shared" si="40"/>
        <v>98.604166666666671</v>
      </c>
      <c r="AJ198" s="715">
        <f t="shared" si="40"/>
        <v>98.604166666666671</v>
      </c>
      <c r="AK198" s="715">
        <f t="shared" si="40"/>
        <v>98.604166666666671</v>
      </c>
      <c r="AL198" s="715">
        <f t="shared" si="40"/>
        <v>98.604166666666671</v>
      </c>
      <c r="AM198" s="715">
        <f t="shared" si="40"/>
        <v>98.604166666666671</v>
      </c>
      <c r="AN198" s="715">
        <f t="shared" si="40"/>
        <v>98.604166666666671</v>
      </c>
      <c r="AO198" s="715">
        <f t="shared" si="40"/>
        <v>98.604166666666671</v>
      </c>
      <c r="AP198" s="715">
        <f t="shared" si="40"/>
        <v>98.604166666666671</v>
      </c>
      <c r="AQ198" s="715">
        <f t="shared" si="40"/>
        <v>98.604166666666671</v>
      </c>
      <c r="AR198" s="715">
        <f t="shared" si="40"/>
        <v>98.604166666666671</v>
      </c>
      <c r="AS198" s="715">
        <f t="shared" si="40"/>
        <v>98.604166666666671</v>
      </c>
      <c r="AT198" s="715">
        <f t="shared" si="40"/>
        <v>98.604166666666671</v>
      </c>
      <c r="AU198" s="715">
        <f t="shared" si="40"/>
        <v>98.604166666666671</v>
      </c>
      <c r="AV198" s="715">
        <f t="shared" si="40"/>
        <v>98.604166666666671</v>
      </c>
      <c r="AW198" s="715">
        <f t="shared" si="40"/>
        <v>98.604166666666671</v>
      </c>
    </row>
    <row r="199" spans="1:49" s="683" customFormat="1" x14ac:dyDescent="0.2">
      <c r="A199" s="702" t="s">
        <v>491</v>
      </c>
      <c r="B199" s="715">
        <f>SUM(C196:AW196)/COUNT(C196:AW196)</f>
        <v>16.75</v>
      </c>
      <c r="C199" s="715"/>
      <c r="D199" s="715"/>
      <c r="E199" s="715"/>
      <c r="F199" s="715"/>
      <c r="G199" s="715"/>
      <c r="H199" s="715"/>
      <c r="I199" s="715"/>
      <c r="J199" s="715"/>
      <c r="K199" s="720"/>
      <c r="L199" s="720"/>
      <c r="M199" s="715"/>
      <c r="N199" s="715"/>
      <c r="O199" s="715"/>
      <c r="P199" s="715"/>
      <c r="Q199" s="715"/>
      <c r="R199" s="715"/>
      <c r="S199" s="715"/>
      <c r="T199" s="715"/>
      <c r="U199" s="715"/>
      <c r="V199" s="715"/>
      <c r="W199" s="715"/>
      <c r="X199" s="715"/>
      <c r="Y199" s="715"/>
      <c r="Z199" s="715"/>
      <c r="AA199" s="715"/>
      <c r="AB199" s="715"/>
      <c r="AC199" s="715"/>
      <c r="AD199" s="715"/>
      <c r="AE199" s="715"/>
      <c r="AF199" s="715"/>
      <c r="AG199" s="715"/>
      <c r="AH199" s="715"/>
      <c r="AI199" s="715"/>
      <c r="AJ199" s="715"/>
      <c r="AK199" s="715"/>
      <c r="AL199" s="715"/>
      <c r="AM199" s="715"/>
      <c r="AN199" s="715"/>
      <c r="AO199" s="715"/>
      <c r="AP199" s="715"/>
      <c r="AQ199" s="715"/>
      <c r="AR199" s="715"/>
      <c r="AS199" s="715"/>
      <c r="AT199" s="715"/>
      <c r="AU199" s="715"/>
      <c r="AV199" s="715"/>
      <c r="AW199" s="715"/>
    </row>
    <row r="200" spans="1:49" s="683" customFormat="1" ht="25.5" x14ac:dyDescent="0.2">
      <c r="A200" s="702" t="s">
        <v>494</v>
      </c>
      <c r="B200" s="715">
        <f>B199/1.128</f>
        <v>14.849290780141846</v>
      </c>
      <c r="C200" s="715"/>
      <c r="D200" s="715"/>
      <c r="E200" s="715"/>
      <c r="F200" s="715"/>
      <c r="G200" s="715"/>
      <c r="H200" s="715"/>
      <c r="I200" s="715"/>
      <c r="J200" s="715"/>
      <c r="K200" s="720"/>
      <c r="L200" s="720"/>
      <c r="M200" s="715"/>
      <c r="N200" s="715"/>
      <c r="O200" s="715"/>
      <c r="P200" s="715"/>
      <c r="Q200" s="715"/>
      <c r="R200" s="715"/>
      <c r="S200" s="715"/>
      <c r="T200" s="715"/>
      <c r="U200" s="715"/>
      <c r="V200" s="715"/>
      <c r="W200" s="715"/>
      <c r="X200" s="715"/>
      <c r="Y200" s="715"/>
      <c r="Z200" s="715"/>
      <c r="AA200" s="715"/>
      <c r="AB200" s="715"/>
      <c r="AC200" s="715"/>
      <c r="AD200" s="715"/>
      <c r="AE200" s="715"/>
      <c r="AF200" s="715"/>
      <c r="AG200" s="715"/>
      <c r="AH200" s="715"/>
      <c r="AI200" s="715"/>
      <c r="AJ200" s="715"/>
      <c r="AK200" s="715"/>
      <c r="AL200" s="715"/>
      <c r="AM200" s="715"/>
      <c r="AN200" s="715"/>
      <c r="AO200" s="715"/>
      <c r="AP200" s="715"/>
      <c r="AQ200" s="715"/>
      <c r="AR200" s="715"/>
      <c r="AS200" s="715"/>
      <c r="AT200" s="715"/>
      <c r="AU200" s="715"/>
      <c r="AV200" s="715"/>
      <c r="AW200" s="715"/>
    </row>
    <row r="201" spans="1:49" s="683" customFormat="1" x14ac:dyDescent="0.2">
      <c r="A201" s="702" t="s">
        <v>497</v>
      </c>
      <c r="B201" s="715">
        <f t="shared" ref="B201:AW201" si="41">$B$198+(3*$B$200)</f>
        <v>143.15203900709221</v>
      </c>
      <c r="C201" s="715">
        <f t="shared" si="41"/>
        <v>143.15203900709221</v>
      </c>
      <c r="D201" s="715">
        <f t="shared" si="41"/>
        <v>143.15203900709221</v>
      </c>
      <c r="E201" s="715">
        <f t="shared" si="41"/>
        <v>143.15203900709221</v>
      </c>
      <c r="F201" s="715">
        <f t="shared" si="41"/>
        <v>143.15203900709221</v>
      </c>
      <c r="G201" s="715">
        <f t="shared" si="41"/>
        <v>143.15203900709221</v>
      </c>
      <c r="H201" s="715">
        <f t="shared" si="41"/>
        <v>143.15203900709221</v>
      </c>
      <c r="I201" s="715">
        <f t="shared" si="41"/>
        <v>143.15203900709221</v>
      </c>
      <c r="J201" s="715">
        <f t="shared" si="41"/>
        <v>143.15203900709221</v>
      </c>
      <c r="K201" s="715">
        <f t="shared" si="41"/>
        <v>143.15203900709221</v>
      </c>
      <c r="L201" s="715">
        <f t="shared" si="41"/>
        <v>143.15203900709221</v>
      </c>
      <c r="M201" s="715">
        <f t="shared" si="41"/>
        <v>143.15203900709221</v>
      </c>
      <c r="N201" s="715">
        <f t="shared" si="41"/>
        <v>143.15203900709221</v>
      </c>
      <c r="O201" s="715">
        <f t="shared" si="41"/>
        <v>143.15203900709221</v>
      </c>
      <c r="P201" s="715">
        <f t="shared" si="41"/>
        <v>143.15203900709221</v>
      </c>
      <c r="Q201" s="715">
        <f t="shared" si="41"/>
        <v>143.15203900709221</v>
      </c>
      <c r="R201" s="715">
        <f t="shared" si="41"/>
        <v>143.15203900709221</v>
      </c>
      <c r="S201" s="715">
        <f t="shared" si="41"/>
        <v>143.15203900709221</v>
      </c>
      <c r="T201" s="715">
        <f t="shared" si="41"/>
        <v>143.15203900709221</v>
      </c>
      <c r="U201" s="715">
        <f t="shared" si="41"/>
        <v>143.15203900709221</v>
      </c>
      <c r="V201" s="715">
        <f t="shared" si="41"/>
        <v>143.15203900709221</v>
      </c>
      <c r="W201" s="715">
        <f t="shared" si="41"/>
        <v>143.15203900709221</v>
      </c>
      <c r="X201" s="715">
        <f t="shared" si="41"/>
        <v>143.15203900709221</v>
      </c>
      <c r="Y201" s="715">
        <f t="shared" si="41"/>
        <v>143.15203900709221</v>
      </c>
      <c r="Z201" s="715">
        <f t="shared" si="41"/>
        <v>143.15203900709221</v>
      </c>
      <c r="AA201" s="715">
        <f t="shared" si="41"/>
        <v>143.15203900709221</v>
      </c>
      <c r="AB201" s="715">
        <f t="shared" si="41"/>
        <v>143.15203900709221</v>
      </c>
      <c r="AC201" s="715">
        <f t="shared" si="41"/>
        <v>143.15203900709221</v>
      </c>
      <c r="AD201" s="715">
        <f t="shared" si="41"/>
        <v>143.15203900709221</v>
      </c>
      <c r="AE201" s="715">
        <f t="shared" si="41"/>
        <v>143.15203900709221</v>
      </c>
      <c r="AF201" s="715">
        <f t="shared" si="41"/>
        <v>143.15203900709221</v>
      </c>
      <c r="AG201" s="715">
        <f t="shared" si="41"/>
        <v>143.15203900709221</v>
      </c>
      <c r="AH201" s="715">
        <f t="shared" si="41"/>
        <v>143.15203900709221</v>
      </c>
      <c r="AI201" s="715">
        <f t="shared" si="41"/>
        <v>143.15203900709221</v>
      </c>
      <c r="AJ201" s="715">
        <f t="shared" si="41"/>
        <v>143.15203900709221</v>
      </c>
      <c r="AK201" s="715">
        <f t="shared" si="41"/>
        <v>143.15203900709221</v>
      </c>
      <c r="AL201" s="715">
        <f t="shared" si="41"/>
        <v>143.15203900709221</v>
      </c>
      <c r="AM201" s="715">
        <f t="shared" si="41"/>
        <v>143.15203900709221</v>
      </c>
      <c r="AN201" s="715">
        <f t="shared" si="41"/>
        <v>143.15203900709221</v>
      </c>
      <c r="AO201" s="715">
        <f t="shared" si="41"/>
        <v>143.15203900709221</v>
      </c>
      <c r="AP201" s="715">
        <f t="shared" si="41"/>
        <v>143.15203900709221</v>
      </c>
      <c r="AQ201" s="715">
        <f t="shared" si="41"/>
        <v>143.15203900709221</v>
      </c>
      <c r="AR201" s="715">
        <f t="shared" si="41"/>
        <v>143.15203900709221</v>
      </c>
      <c r="AS201" s="715">
        <f t="shared" si="41"/>
        <v>143.15203900709221</v>
      </c>
      <c r="AT201" s="715">
        <f t="shared" si="41"/>
        <v>143.15203900709221</v>
      </c>
      <c r="AU201" s="715">
        <f t="shared" si="41"/>
        <v>143.15203900709221</v>
      </c>
      <c r="AV201" s="715">
        <f t="shared" si="41"/>
        <v>143.15203900709221</v>
      </c>
      <c r="AW201" s="715">
        <f t="shared" si="41"/>
        <v>143.15203900709221</v>
      </c>
    </row>
    <row r="202" spans="1:49" s="683" customFormat="1" x14ac:dyDescent="0.2">
      <c r="A202" s="702" t="s">
        <v>499</v>
      </c>
      <c r="B202" s="715">
        <f t="shared" ref="B202:AW202" si="42">$B$198-(3*$B$200)</f>
        <v>54.05629432624113</v>
      </c>
      <c r="C202" s="715">
        <f t="shared" si="42"/>
        <v>54.05629432624113</v>
      </c>
      <c r="D202" s="715">
        <f t="shared" si="42"/>
        <v>54.05629432624113</v>
      </c>
      <c r="E202" s="715">
        <f t="shared" si="42"/>
        <v>54.05629432624113</v>
      </c>
      <c r="F202" s="715">
        <f t="shared" si="42"/>
        <v>54.05629432624113</v>
      </c>
      <c r="G202" s="715">
        <f t="shared" si="42"/>
        <v>54.05629432624113</v>
      </c>
      <c r="H202" s="715">
        <f t="shared" si="42"/>
        <v>54.05629432624113</v>
      </c>
      <c r="I202" s="715">
        <f t="shared" si="42"/>
        <v>54.05629432624113</v>
      </c>
      <c r="J202" s="715">
        <f t="shared" si="42"/>
        <v>54.05629432624113</v>
      </c>
      <c r="K202" s="715">
        <f t="shared" si="42"/>
        <v>54.05629432624113</v>
      </c>
      <c r="L202" s="715">
        <f t="shared" si="42"/>
        <v>54.05629432624113</v>
      </c>
      <c r="M202" s="715">
        <f t="shared" si="42"/>
        <v>54.05629432624113</v>
      </c>
      <c r="N202" s="715">
        <f t="shared" si="42"/>
        <v>54.05629432624113</v>
      </c>
      <c r="O202" s="715">
        <f t="shared" si="42"/>
        <v>54.05629432624113</v>
      </c>
      <c r="P202" s="715">
        <f t="shared" si="42"/>
        <v>54.05629432624113</v>
      </c>
      <c r="Q202" s="715">
        <f t="shared" si="42"/>
        <v>54.05629432624113</v>
      </c>
      <c r="R202" s="715">
        <f t="shared" si="42"/>
        <v>54.05629432624113</v>
      </c>
      <c r="S202" s="715">
        <f t="shared" si="42"/>
        <v>54.05629432624113</v>
      </c>
      <c r="T202" s="715">
        <f t="shared" si="42"/>
        <v>54.05629432624113</v>
      </c>
      <c r="U202" s="715">
        <f t="shared" si="42"/>
        <v>54.05629432624113</v>
      </c>
      <c r="V202" s="715">
        <f t="shared" si="42"/>
        <v>54.05629432624113</v>
      </c>
      <c r="W202" s="715">
        <f t="shared" si="42"/>
        <v>54.05629432624113</v>
      </c>
      <c r="X202" s="715">
        <f t="shared" si="42"/>
        <v>54.05629432624113</v>
      </c>
      <c r="Y202" s="715">
        <f t="shared" si="42"/>
        <v>54.05629432624113</v>
      </c>
      <c r="Z202" s="715">
        <f t="shared" si="42"/>
        <v>54.05629432624113</v>
      </c>
      <c r="AA202" s="715">
        <f t="shared" si="42"/>
        <v>54.05629432624113</v>
      </c>
      <c r="AB202" s="715">
        <f t="shared" si="42"/>
        <v>54.05629432624113</v>
      </c>
      <c r="AC202" s="715">
        <f t="shared" si="42"/>
        <v>54.05629432624113</v>
      </c>
      <c r="AD202" s="715">
        <f t="shared" si="42"/>
        <v>54.05629432624113</v>
      </c>
      <c r="AE202" s="715">
        <f t="shared" si="42"/>
        <v>54.05629432624113</v>
      </c>
      <c r="AF202" s="715">
        <f t="shared" si="42"/>
        <v>54.05629432624113</v>
      </c>
      <c r="AG202" s="715">
        <f t="shared" si="42"/>
        <v>54.05629432624113</v>
      </c>
      <c r="AH202" s="715">
        <f t="shared" si="42"/>
        <v>54.05629432624113</v>
      </c>
      <c r="AI202" s="715">
        <f t="shared" si="42"/>
        <v>54.05629432624113</v>
      </c>
      <c r="AJ202" s="715">
        <f t="shared" si="42"/>
        <v>54.05629432624113</v>
      </c>
      <c r="AK202" s="715">
        <f t="shared" si="42"/>
        <v>54.05629432624113</v>
      </c>
      <c r="AL202" s="715">
        <f t="shared" si="42"/>
        <v>54.05629432624113</v>
      </c>
      <c r="AM202" s="715">
        <f t="shared" si="42"/>
        <v>54.05629432624113</v>
      </c>
      <c r="AN202" s="715">
        <f t="shared" si="42"/>
        <v>54.05629432624113</v>
      </c>
      <c r="AO202" s="715">
        <f t="shared" si="42"/>
        <v>54.05629432624113</v>
      </c>
      <c r="AP202" s="715">
        <f t="shared" si="42"/>
        <v>54.05629432624113</v>
      </c>
      <c r="AQ202" s="715">
        <f t="shared" si="42"/>
        <v>54.05629432624113</v>
      </c>
      <c r="AR202" s="715">
        <f t="shared" si="42"/>
        <v>54.05629432624113</v>
      </c>
      <c r="AS202" s="715">
        <f t="shared" si="42"/>
        <v>54.05629432624113</v>
      </c>
      <c r="AT202" s="715">
        <f t="shared" si="42"/>
        <v>54.05629432624113</v>
      </c>
      <c r="AU202" s="715">
        <f t="shared" si="42"/>
        <v>54.05629432624113</v>
      </c>
      <c r="AV202" s="715">
        <f t="shared" si="42"/>
        <v>54.05629432624113</v>
      </c>
      <c r="AW202" s="715">
        <f t="shared" si="42"/>
        <v>54.05629432624113</v>
      </c>
    </row>
    <row r="203" spans="1:49" s="683" customFormat="1" ht="25.5" x14ac:dyDescent="0.2">
      <c r="A203" s="693" t="s">
        <v>513</v>
      </c>
      <c r="B203" s="715"/>
      <c r="C203" s="715"/>
      <c r="D203" s="715"/>
      <c r="E203" s="715"/>
      <c r="F203" s="715"/>
      <c r="G203" s="715"/>
      <c r="H203" s="715"/>
      <c r="I203" s="715"/>
      <c r="J203" s="715"/>
      <c r="K203" s="720"/>
      <c r="L203" s="720"/>
      <c r="M203" s="715"/>
      <c r="N203" s="715"/>
      <c r="O203" s="715"/>
      <c r="P203" s="715"/>
      <c r="Q203" s="715"/>
      <c r="R203" s="715"/>
      <c r="S203" s="715"/>
      <c r="T203" s="715"/>
      <c r="U203" s="715"/>
      <c r="V203" s="715"/>
      <c r="W203" s="715"/>
      <c r="X203" s="715"/>
      <c r="Y203" s="715"/>
      <c r="Z203" s="715"/>
      <c r="AA203" s="715"/>
      <c r="AB203" s="715"/>
      <c r="AC203" s="715"/>
      <c r="AD203" s="715"/>
      <c r="AE203" s="715"/>
      <c r="AF203" s="715"/>
      <c r="AG203" s="715"/>
      <c r="AH203" s="715"/>
      <c r="AI203" s="715"/>
      <c r="AJ203" s="715"/>
      <c r="AK203" s="715"/>
      <c r="AL203" s="715"/>
      <c r="AM203" s="715"/>
      <c r="AN203" s="715"/>
      <c r="AO203" s="715"/>
      <c r="AP203" s="715"/>
      <c r="AQ203" s="715"/>
      <c r="AR203" s="715"/>
      <c r="AS203" s="715"/>
      <c r="AT203" s="715"/>
      <c r="AU203" s="715"/>
      <c r="AV203" s="715"/>
      <c r="AW203" s="715"/>
    </row>
    <row r="204" spans="1:49" s="683" customFormat="1" x14ac:dyDescent="0.2">
      <c r="A204" s="719" t="s">
        <v>542</v>
      </c>
      <c r="B204" s="715">
        <f t="shared" ref="B204:AW204" si="43">B73</f>
        <v>172</v>
      </c>
      <c r="C204" s="715">
        <f t="shared" si="43"/>
        <v>178</v>
      </c>
      <c r="D204" s="715">
        <f t="shared" si="43"/>
        <v>183</v>
      </c>
      <c r="E204" s="715">
        <f t="shared" si="43"/>
        <v>220</v>
      </c>
      <c r="F204" s="715">
        <f t="shared" si="43"/>
        <v>250</v>
      </c>
      <c r="G204" s="715">
        <f t="shared" si="43"/>
        <v>284</v>
      </c>
      <c r="H204" s="715">
        <f t="shared" si="43"/>
        <v>308</v>
      </c>
      <c r="I204" s="715">
        <f t="shared" si="43"/>
        <v>365</v>
      </c>
      <c r="J204" s="715">
        <f t="shared" si="43"/>
        <v>417</v>
      </c>
      <c r="K204" s="715">
        <f t="shared" si="43"/>
        <v>469</v>
      </c>
      <c r="L204" s="715">
        <f t="shared" si="43"/>
        <v>499</v>
      </c>
      <c r="M204" s="715">
        <f t="shared" si="43"/>
        <v>492</v>
      </c>
      <c r="N204" s="715">
        <f t="shared" si="43"/>
        <v>528</v>
      </c>
      <c r="O204" s="715">
        <f t="shared" si="43"/>
        <v>533</v>
      </c>
      <c r="P204" s="715">
        <f t="shared" si="43"/>
        <v>586</v>
      </c>
      <c r="Q204" s="715">
        <f t="shared" si="43"/>
        <v>605</v>
      </c>
      <c r="R204" s="715">
        <f t="shared" si="43"/>
        <v>637</v>
      </c>
      <c r="S204" s="715">
        <f t="shared" si="43"/>
        <v>675</v>
      </c>
      <c r="T204" s="715">
        <f t="shared" si="43"/>
        <v>700</v>
      </c>
      <c r="U204" s="715">
        <f t="shared" si="43"/>
        <v>706</v>
      </c>
      <c r="V204" s="715">
        <f t="shared" si="43"/>
        <v>674</v>
      </c>
      <c r="W204" s="715">
        <f t="shared" si="43"/>
        <v>721</v>
      </c>
      <c r="X204" s="715">
        <f t="shared" si="43"/>
        <v>714</v>
      </c>
      <c r="Y204" s="715">
        <f t="shared" si="43"/>
        <v>643</v>
      </c>
      <c r="Z204" s="715">
        <f t="shared" si="43"/>
        <v>649</v>
      </c>
      <c r="AA204" s="715">
        <f t="shared" si="43"/>
        <v>679</v>
      </c>
      <c r="AB204" s="715">
        <f t="shared" si="43"/>
        <v>372</v>
      </c>
      <c r="AC204" s="715">
        <f t="shared" si="43"/>
        <v>762</v>
      </c>
      <c r="AD204" s="715">
        <f t="shared" si="43"/>
        <v>794</v>
      </c>
      <c r="AE204" s="715">
        <f t="shared" si="43"/>
        <v>0</v>
      </c>
      <c r="AF204" s="715">
        <f t="shared" si="43"/>
        <v>0</v>
      </c>
      <c r="AG204" s="715">
        <f t="shared" si="43"/>
        <v>0</v>
      </c>
      <c r="AH204" s="715">
        <f t="shared" si="43"/>
        <v>0</v>
      </c>
      <c r="AI204" s="715">
        <f t="shared" si="43"/>
        <v>0</v>
      </c>
      <c r="AJ204" s="715">
        <f t="shared" si="43"/>
        <v>0</v>
      </c>
      <c r="AK204" s="715">
        <f t="shared" si="43"/>
        <v>0</v>
      </c>
      <c r="AL204" s="715">
        <f t="shared" si="43"/>
        <v>0</v>
      </c>
      <c r="AM204" s="715">
        <f t="shared" si="43"/>
        <v>0</v>
      </c>
      <c r="AN204" s="715">
        <f t="shared" si="43"/>
        <v>0</v>
      </c>
      <c r="AO204" s="715">
        <f t="shared" si="43"/>
        <v>0</v>
      </c>
      <c r="AP204" s="715">
        <f t="shared" si="43"/>
        <v>0</v>
      </c>
      <c r="AQ204" s="715">
        <f t="shared" si="43"/>
        <v>0</v>
      </c>
      <c r="AR204" s="715">
        <f t="shared" si="43"/>
        <v>0</v>
      </c>
      <c r="AS204" s="715">
        <f t="shared" si="43"/>
        <v>0</v>
      </c>
      <c r="AT204" s="715">
        <f t="shared" si="43"/>
        <v>0</v>
      </c>
      <c r="AU204" s="715">
        <f t="shared" si="43"/>
        <v>0</v>
      </c>
      <c r="AV204" s="715">
        <f t="shared" si="43"/>
        <v>0</v>
      </c>
      <c r="AW204" s="715">
        <f t="shared" si="43"/>
        <v>0</v>
      </c>
    </row>
    <row r="205" spans="1:49" s="683" customFormat="1" x14ac:dyDescent="0.2">
      <c r="A205" s="683" t="s">
        <v>131</v>
      </c>
      <c r="B205" s="715">
        <f t="shared" ref="B205:M205" si="44">MEDIAN($B$204:$M$204)</f>
        <v>296</v>
      </c>
      <c r="C205" s="715">
        <f t="shared" si="44"/>
        <v>296</v>
      </c>
      <c r="D205" s="715">
        <f t="shared" si="44"/>
        <v>296</v>
      </c>
      <c r="E205" s="715">
        <f t="shared" si="44"/>
        <v>296</v>
      </c>
      <c r="F205" s="715">
        <f t="shared" si="44"/>
        <v>296</v>
      </c>
      <c r="G205" s="715">
        <f t="shared" si="44"/>
        <v>296</v>
      </c>
      <c r="H205" s="715">
        <f t="shared" si="44"/>
        <v>296</v>
      </c>
      <c r="I205" s="715">
        <f t="shared" si="44"/>
        <v>296</v>
      </c>
      <c r="J205" s="715">
        <f t="shared" si="44"/>
        <v>296</v>
      </c>
      <c r="K205" s="715">
        <f t="shared" si="44"/>
        <v>296</v>
      </c>
      <c r="L205" s="715">
        <f t="shared" si="44"/>
        <v>296</v>
      </c>
      <c r="M205" s="715">
        <f t="shared" si="44"/>
        <v>296</v>
      </c>
      <c r="N205" s="715"/>
      <c r="O205" s="715"/>
      <c r="P205" s="715"/>
      <c r="Q205" s="715"/>
      <c r="R205" s="715"/>
      <c r="S205" s="715"/>
      <c r="T205" s="715"/>
      <c r="U205" s="715"/>
      <c r="V205" s="715"/>
      <c r="W205" s="715"/>
      <c r="X205" s="715"/>
      <c r="Y205" s="715"/>
      <c r="Z205" s="715"/>
      <c r="AA205" s="715"/>
      <c r="AB205" s="715"/>
      <c r="AC205" s="715"/>
      <c r="AD205" s="715"/>
      <c r="AE205" s="715"/>
      <c r="AF205" s="715"/>
      <c r="AG205" s="715"/>
      <c r="AH205" s="715"/>
      <c r="AI205" s="715"/>
      <c r="AJ205" s="715"/>
      <c r="AK205" s="715"/>
      <c r="AL205" s="715"/>
      <c r="AM205" s="715"/>
      <c r="AN205" s="715"/>
      <c r="AO205" s="715"/>
      <c r="AP205" s="715"/>
      <c r="AQ205" s="715"/>
      <c r="AR205" s="715"/>
      <c r="AS205" s="715"/>
      <c r="AT205" s="715"/>
      <c r="AU205" s="715"/>
      <c r="AV205" s="715"/>
      <c r="AW205" s="715"/>
    </row>
    <row r="206" spans="1:49" s="683" customFormat="1" x14ac:dyDescent="0.2">
      <c r="A206" s="683" t="s">
        <v>184</v>
      </c>
      <c r="B206" s="715"/>
      <c r="C206" s="715"/>
      <c r="D206" s="715"/>
      <c r="E206" s="715"/>
      <c r="F206" s="715"/>
      <c r="G206" s="715"/>
      <c r="H206" s="715"/>
      <c r="I206" s="715"/>
      <c r="J206" s="715"/>
      <c r="K206" s="715"/>
      <c r="L206" s="715"/>
      <c r="M206" s="715">
        <f>MEDIAN($B$204:$M$204)</f>
        <v>296</v>
      </c>
      <c r="N206" s="715">
        <f>MEDIAN($B$204:$M$204)</f>
        <v>296</v>
      </c>
      <c r="O206" s="715" t="s">
        <v>385</v>
      </c>
      <c r="P206" s="715" t="s">
        <v>385</v>
      </c>
      <c r="Q206" s="715" t="s">
        <v>385</v>
      </c>
      <c r="R206" s="715" t="s">
        <v>385</v>
      </c>
      <c r="S206" s="715" t="s">
        <v>385</v>
      </c>
      <c r="T206" s="715" t="s">
        <v>385</v>
      </c>
      <c r="U206" s="715" t="s">
        <v>385</v>
      </c>
      <c r="V206" s="715" t="s">
        <v>385</v>
      </c>
      <c r="W206" s="715" t="s">
        <v>385</v>
      </c>
      <c r="X206" s="715" t="s">
        <v>385</v>
      </c>
      <c r="Y206" s="715" t="s">
        <v>385</v>
      </c>
      <c r="Z206" s="715" t="s">
        <v>385</v>
      </c>
      <c r="AA206" s="715"/>
      <c r="AB206" s="715"/>
      <c r="AC206" s="715"/>
      <c r="AD206" s="715"/>
      <c r="AE206" s="715"/>
      <c r="AF206" s="715"/>
      <c r="AG206" s="715"/>
      <c r="AH206" s="715"/>
      <c r="AI206" s="715"/>
      <c r="AJ206" s="715"/>
      <c r="AK206" s="715"/>
      <c r="AL206" s="715"/>
      <c r="AM206" s="715"/>
      <c r="AN206" s="715"/>
      <c r="AO206" s="715"/>
      <c r="AP206" s="715"/>
      <c r="AQ206" s="715"/>
      <c r="AR206" s="715"/>
      <c r="AS206" s="715"/>
      <c r="AT206" s="715"/>
      <c r="AU206" s="715"/>
      <c r="AV206" s="715"/>
      <c r="AW206" s="715"/>
    </row>
    <row r="207" spans="1:49" s="683" customFormat="1" x14ac:dyDescent="0.2">
      <c r="A207" s="683" t="s">
        <v>318</v>
      </c>
      <c r="B207" s="715"/>
      <c r="C207" s="715"/>
      <c r="D207" s="715"/>
      <c r="E207" s="715"/>
      <c r="F207" s="715"/>
      <c r="G207" s="715"/>
      <c r="H207" s="715"/>
      <c r="I207" s="715"/>
      <c r="J207" s="715"/>
      <c r="K207" s="715"/>
      <c r="L207" s="715"/>
      <c r="M207" s="715"/>
      <c r="N207" s="715">
        <f t="shared" ref="N207:Y207" si="45">MEDIAN($N$204:$Y$204)</f>
        <v>658.5</v>
      </c>
      <c r="O207" s="715">
        <f t="shared" si="45"/>
        <v>658.5</v>
      </c>
      <c r="P207" s="715">
        <f t="shared" si="45"/>
        <v>658.5</v>
      </c>
      <c r="Q207" s="715">
        <f t="shared" si="45"/>
        <v>658.5</v>
      </c>
      <c r="R207" s="715">
        <f t="shared" si="45"/>
        <v>658.5</v>
      </c>
      <c r="S207" s="715">
        <f t="shared" si="45"/>
        <v>658.5</v>
      </c>
      <c r="T207" s="715">
        <f t="shared" si="45"/>
        <v>658.5</v>
      </c>
      <c r="U207" s="715">
        <f t="shared" si="45"/>
        <v>658.5</v>
      </c>
      <c r="V207" s="715">
        <f t="shared" si="45"/>
        <v>658.5</v>
      </c>
      <c r="W207" s="715">
        <f t="shared" si="45"/>
        <v>658.5</v>
      </c>
      <c r="X207" s="715">
        <f t="shared" si="45"/>
        <v>658.5</v>
      </c>
      <c r="Y207" s="715">
        <f t="shared" si="45"/>
        <v>658.5</v>
      </c>
      <c r="Z207" s="715" t="s">
        <v>385</v>
      </c>
      <c r="AA207" s="715"/>
      <c r="AB207" s="715"/>
      <c r="AC207" s="715"/>
      <c r="AD207" s="715"/>
      <c r="AE207" s="715"/>
      <c r="AF207" s="715"/>
      <c r="AG207" s="715"/>
      <c r="AH207" s="715"/>
      <c r="AI207" s="715"/>
      <c r="AJ207" s="715"/>
      <c r="AK207" s="715"/>
      <c r="AL207" s="715"/>
      <c r="AM207" s="715"/>
      <c r="AN207" s="715"/>
      <c r="AO207" s="715"/>
      <c r="AP207" s="715"/>
      <c r="AQ207" s="715"/>
      <c r="AR207" s="715"/>
      <c r="AS207" s="715"/>
      <c r="AT207" s="715"/>
      <c r="AU207" s="715"/>
      <c r="AV207" s="715"/>
      <c r="AW207" s="715"/>
    </row>
    <row r="208" spans="1:49" s="683" customFormat="1" ht="15" x14ac:dyDescent="0.25">
      <c r="A208" s="683" t="s">
        <v>319</v>
      </c>
      <c r="B208" s="722"/>
      <c r="C208" s="722"/>
      <c r="D208" s="722"/>
      <c r="E208" s="722"/>
      <c r="F208" s="722"/>
      <c r="G208" s="722"/>
      <c r="H208" s="722"/>
      <c r="I208" s="722"/>
      <c r="J208" s="722"/>
      <c r="K208" s="722"/>
      <c r="L208" s="722"/>
      <c r="M208" s="722"/>
      <c r="N208" s="722"/>
      <c r="O208" s="722"/>
      <c r="P208" s="722"/>
      <c r="Q208" s="722"/>
      <c r="R208" s="722"/>
      <c r="S208" s="722"/>
      <c r="T208" s="722"/>
      <c r="U208" s="722"/>
      <c r="V208" s="722"/>
      <c r="W208" s="722"/>
      <c r="X208" s="722"/>
      <c r="Y208" s="715">
        <f t="shared" ref="Y208:AW208" si="46">MEDIAN($N$204:$Y$204)</f>
        <v>658.5</v>
      </c>
      <c r="Z208" s="715">
        <f t="shared" si="46"/>
        <v>658.5</v>
      </c>
      <c r="AA208" s="715">
        <f t="shared" si="46"/>
        <v>658.5</v>
      </c>
      <c r="AB208" s="715">
        <f t="shared" si="46"/>
        <v>658.5</v>
      </c>
      <c r="AC208" s="715">
        <f t="shared" si="46"/>
        <v>658.5</v>
      </c>
      <c r="AD208" s="715">
        <f t="shared" si="46"/>
        <v>658.5</v>
      </c>
      <c r="AE208" s="715">
        <f t="shared" si="46"/>
        <v>658.5</v>
      </c>
      <c r="AF208" s="715">
        <f t="shared" si="46"/>
        <v>658.5</v>
      </c>
      <c r="AG208" s="715">
        <f t="shared" si="46"/>
        <v>658.5</v>
      </c>
      <c r="AH208" s="715">
        <f t="shared" si="46"/>
        <v>658.5</v>
      </c>
      <c r="AI208" s="715">
        <f t="shared" si="46"/>
        <v>658.5</v>
      </c>
      <c r="AJ208" s="715">
        <f t="shared" si="46"/>
        <v>658.5</v>
      </c>
      <c r="AK208" s="715">
        <f t="shared" si="46"/>
        <v>658.5</v>
      </c>
      <c r="AL208" s="715">
        <f t="shared" si="46"/>
        <v>658.5</v>
      </c>
      <c r="AM208" s="715">
        <f t="shared" si="46"/>
        <v>658.5</v>
      </c>
      <c r="AN208" s="715">
        <f t="shared" si="46"/>
        <v>658.5</v>
      </c>
      <c r="AO208" s="715">
        <f t="shared" si="46"/>
        <v>658.5</v>
      </c>
      <c r="AP208" s="715">
        <f t="shared" si="46"/>
        <v>658.5</v>
      </c>
      <c r="AQ208" s="715">
        <f t="shared" si="46"/>
        <v>658.5</v>
      </c>
      <c r="AR208" s="715">
        <f t="shared" si="46"/>
        <v>658.5</v>
      </c>
      <c r="AS208" s="715">
        <f t="shared" si="46"/>
        <v>658.5</v>
      </c>
      <c r="AT208" s="715">
        <f t="shared" si="46"/>
        <v>658.5</v>
      </c>
      <c r="AU208" s="715">
        <f t="shared" si="46"/>
        <v>658.5</v>
      </c>
      <c r="AV208" s="715">
        <f t="shared" si="46"/>
        <v>658.5</v>
      </c>
      <c r="AW208" s="715">
        <f t="shared" si="46"/>
        <v>658.5</v>
      </c>
    </row>
    <row r="209" spans="1:49" s="683" customFormat="1" ht="15" x14ac:dyDescent="0.25">
      <c r="A209" s="702" t="s">
        <v>490</v>
      </c>
      <c r="B209" s="722" t="s">
        <v>385</v>
      </c>
      <c r="C209" s="722">
        <f>SUM(C204-B204)</f>
        <v>6</v>
      </c>
      <c r="D209" s="722">
        <f t="shared" ref="D209:AA209" si="47">SUM(D204-C204)</f>
        <v>5</v>
      </c>
      <c r="E209" s="722">
        <f t="shared" si="47"/>
        <v>37</v>
      </c>
      <c r="F209" s="722">
        <f t="shared" si="47"/>
        <v>30</v>
      </c>
      <c r="G209" s="722">
        <f t="shared" si="47"/>
        <v>34</v>
      </c>
      <c r="H209" s="722">
        <f t="shared" si="47"/>
        <v>24</v>
      </c>
      <c r="I209" s="722">
        <f t="shared" si="47"/>
        <v>57</v>
      </c>
      <c r="J209" s="722">
        <f t="shared" si="47"/>
        <v>52</v>
      </c>
      <c r="K209" s="722">
        <f t="shared" si="47"/>
        <v>52</v>
      </c>
      <c r="L209" s="722">
        <f t="shared" si="47"/>
        <v>30</v>
      </c>
      <c r="M209" s="722">
        <f>SUM(M204-L204)*-1</f>
        <v>7</v>
      </c>
      <c r="N209" s="722">
        <f t="shared" si="47"/>
        <v>36</v>
      </c>
      <c r="O209" s="722">
        <f t="shared" si="47"/>
        <v>5</v>
      </c>
      <c r="P209" s="722">
        <f t="shared" si="47"/>
        <v>53</v>
      </c>
      <c r="Q209" s="722">
        <f t="shared" si="47"/>
        <v>19</v>
      </c>
      <c r="R209" s="722">
        <f t="shared" si="47"/>
        <v>32</v>
      </c>
      <c r="S209" s="722">
        <f t="shared" si="47"/>
        <v>38</v>
      </c>
      <c r="T209" s="722">
        <f t="shared" si="47"/>
        <v>25</v>
      </c>
      <c r="U209" s="722">
        <f t="shared" si="47"/>
        <v>6</v>
      </c>
      <c r="V209" s="722">
        <f>SUM(V204-U204)*-1</f>
        <v>32</v>
      </c>
      <c r="W209" s="722">
        <f t="shared" si="47"/>
        <v>47</v>
      </c>
      <c r="X209" s="722">
        <f>SUM(X204-W204)*-1</f>
        <v>7</v>
      </c>
      <c r="Y209" s="722">
        <f>SUM(Y204-X204)*-1</f>
        <v>71</v>
      </c>
      <c r="Z209" s="722">
        <f t="shared" si="47"/>
        <v>6</v>
      </c>
      <c r="AA209" s="722">
        <f t="shared" si="47"/>
        <v>30</v>
      </c>
      <c r="AB209" s="722">
        <f>SUM(AB204-AA204)*-1</f>
        <v>307</v>
      </c>
      <c r="AC209" s="722">
        <f>SUM(AC204-AB204)</f>
        <v>390</v>
      </c>
      <c r="AD209" s="722">
        <f>SUM(AD204-AC204)</f>
        <v>32</v>
      </c>
      <c r="AE209" s="715"/>
      <c r="AF209" s="715"/>
      <c r="AG209" s="715"/>
      <c r="AH209" s="715"/>
      <c r="AI209" s="715"/>
      <c r="AJ209" s="715"/>
      <c r="AK209" s="715"/>
      <c r="AL209" s="715"/>
      <c r="AM209" s="715"/>
      <c r="AN209" s="715"/>
      <c r="AO209" s="715"/>
      <c r="AP209" s="715"/>
      <c r="AQ209" s="715"/>
      <c r="AR209" s="715"/>
      <c r="AS209" s="715"/>
      <c r="AT209" s="715"/>
      <c r="AU209" s="715"/>
      <c r="AV209" s="715"/>
      <c r="AW209" s="715"/>
    </row>
    <row r="210" spans="1:49" s="683" customFormat="1" ht="43.5" x14ac:dyDescent="0.25">
      <c r="A210" s="703" t="s">
        <v>521</v>
      </c>
      <c r="B210" s="722"/>
      <c r="C210" s="722"/>
      <c r="D210" s="722"/>
      <c r="E210" s="722"/>
      <c r="F210" s="722"/>
      <c r="G210" s="722"/>
      <c r="H210" s="722"/>
      <c r="I210" s="722"/>
      <c r="J210" s="722"/>
      <c r="K210" s="722"/>
      <c r="L210" s="722"/>
      <c r="M210" s="722"/>
      <c r="N210" s="722"/>
      <c r="O210" s="722"/>
      <c r="P210" s="722"/>
      <c r="Q210" s="722"/>
      <c r="R210" s="722"/>
      <c r="S210" s="722"/>
      <c r="T210" s="722"/>
      <c r="U210" s="722"/>
      <c r="V210" s="722"/>
      <c r="W210" s="722"/>
      <c r="X210" s="722"/>
      <c r="Y210" s="715"/>
      <c r="Z210" s="715"/>
      <c r="AA210" s="715"/>
      <c r="AB210" s="715"/>
      <c r="AC210" s="715"/>
      <c r="AD210" s="715"/>
      <c r="AE210" s="715"/>
      <c r="AF210" s="715"/>
      <c r="AG210" s="715"/>
      <c r="AH210" s="715"/>
      <c r="AI210" s="715"/>
      <c r="AJ210" s="715"/>
      <c r="AK210" s="715"/>
      <c r="AL210" s="715"/>
      <c r="AM210" s="715"/>
      <c r="AN210" s="715"/>
      <c r="AO210" s="715"/>
      <c r="AP210" s="715"/>
      <c r="AQ210" s="715"/>
      <c r="AR210" s="715"/>
      <c r="AS210" s="715"/>
      <c r="AT210" s="715"/>
      <c r="AU210" s="715"/>
      <c r="AV210" s="715"/>
      <c r="AW210" s="715"/>
    </row>
    <row r="211" spans="1:49" s="683" customFormat="1" ht="15" x14ac:dyDescent="0.25">
      <c r="A211" s="674" t="s">
        <v>492</v>
      </c>
      <c r="B211" s="722">
        <f t="shared" ref="B211:AW211" si="48">AVERAGE($B$204:$AW$204)</f>
        <v>308.64583333333331</v>
      </c>
      <c r="C211" s="722">
        <f t="shared" si="48"/>
        <v>308.64583333333331</v>
      </c>
      <c r="D211" s="722">
        <f t="shared" si="48"/>
        <v>308.64583333333331</v>
      </c>
      <c r="E211" s="722">
        <f t="shared" si="48"/>
        <v>308.64583333333331</v>
      </c>
      <c r="F211" s="722">
        <f t="shared" si="48"/>
        <v>308.64583333333331</v>
      </c>
      <c r="G211" s="722">
        <f t="shared" si="48"/>
        <v>308.64583333333331</v>
      </c>
      <c r="H211" s="722">
        <f t="shared" si="48"/>
        <v>308.64583333333331</v>
      </c>
      <c r="I211" s="722">
        <f t="shared" si="48"/>
        <v>308.64583333333331</v>
      </c>
      <c r="J211" s="722">
        <f t="shared" si="48"/>
        <v>308.64583333333331</v>
      </c>
      <c r="K211" s="722">
        <f t="shared" si="48"/>
        <v>308.64583333333331</v>
      </c>
      <c r="L211" s="722">
        <f t="shared" si="48"/>
        <v>308.64583333333331</v>
      </c>
      <c r="M211" s="722">
        <f t="shared" si="48"/>
        <v>308.64583333333331</v>
      </c>
      <c r="N211" s="722">
        <f t="shared" si="48"/>
        <v>308.64583333333331</v>
      </c>
      <c r="O211" s="722">
        <f t="shared" si="48"/>
        <v>308.64583333333331</v>
      </c>
      <c r="P211" s="722">
        <f t="shared" si="48"/>
        <v>308.64583333333331</v>
      </c>
      <c r="Q211" s="722">
        <f t="shared" si="48"/>
        <v>308.64583333333331</v>
      </c>
      <c r="R211" s="722">
        <f t="shared" si="48"/>
        <v>308.64583333333331</v>
      </c>
      <c r="S211" s="722">
        <f t="shared" si="48"/>
        <v>308.64583333333331</v>
      </c>
      <c r="T211" s="722">
        <f t="shared" si="48"/>
        <v>308.64583333333331</v>
      </c>
      <c r="U211" s="722">
        <f t="shared" si="48"/>
        <v>308.64583333333331</v>
      </c>
      <c r="V211" s="722">
        <f t="shared" si="48"/>
        <v>308.64583333333331</v>
      </c>
      <c r="W211" s="722">
        <f t="shared" si="48"/>
        <v>308.64583333333331</v>
      </c>
      <c r="X211" s="722">
        <f t="shared" si="48"/>
        <v>308.64583333333331</v>
      </c>
      <c r="Y211" s="722">
        <f t="shared" si="48"/>
        <v>308.64583333333331</v>
      </c>
      <c r="Z211" s="722">
        <f t="shared" si="48"/>
        <v>308.64583333333331</v>
      </c>
      <c r="AA211" s="722">
        <f t="shared" si="48"/>
        <v>308.64583333333331</v>
      </c>
      <c r="AB211" s="722">
        <f t="shared" si="48"/>
        <v>308.64583333333331</v>
      </c>
      <c r="AC211" s="722">
        <f t="shared" si="48"/>
        <v>308.64583333333331</v>
      </c>
      <c r="AD211" s="722">
        <f t="shared" si="48"/>
        <v>308.64583333333331</v>
      </c>
      <c r="AE211" s="722">
        <f t="shared" si="48"/>
        <v>308.64583333333331</v>
      </c>
      <c r="AF211" s="722">
        <f t="shared" si="48"/>
        <v>308.64583333333331</v>
      </c>
      <c r="AG211" s="722">
        <f t="shared" si="48"/>
        <v>308.64583333333331</v>
      </c>
      <c r="AH211" s="722">
        <f t="shared" si="48"/>
        <v>308.64583333333331</v>
      </c>
      <c r="AI211" s="722">
        <f t="shared" si="48"/>
        <v>308.64583333333331</v>
      </c>
      <c r="AJ211" s="722">
        <f t="shared" si="48"/>
        <v>308.64583333333331</v>
      </c>
      <c r="AK211" s="722">
        <f t="shared" si="48"/>
        <v>308.64583333333331</v>
      </c>
      <c r="AL211" s="722">
        <f t="shared" si="48"/>
        <v>308.64583333333331</v>
      </c>
      <c r="AM211" s="722">
        <f t="shared" si="48"/>
        <v>308.64583333333331</v>
      </c>
      <c r="AN211" s="722">
        <f t="shared" si="48"/>
        <v>308.64583333333331</v>
      </c>
      <c r="AO211" s="722">
        <f t="shared" si="48"/>
        <v>308.64583333333331</v>
      </c>
      <c r="AP211" s="722">
        <f t="shared" si="48"/>
        <v>308.64583333333331</v>
      </c>
      <c r="AQ211" s="722">
        <f t="shared" si="48"/>
        <v>308.64583333333331</v>
      </c>
      <c r="AR211" s="722">
        <f t="shared" si="48"/>
        <v>308.64583333333331</v>
      </c>
      <c r="AS211" s="722">
        <f t="shared" si="48"/>
        <v>308.64583333333331</v>
      </c>
      <c r="AT211" s="722">
        <f t="shared" si="48"/>
        <v>308.64583333333331</v>
      </c>
      <c r="AU211" s="722">
        <f t="shared" si="48"/>
        <v>308.64583333333331</v>
      </c>
      <c r="AV211" s="722">
        <f t="shared" si="48"/>
        <v>308.64583333333331</v>
      </c>
      <c r="AW211" s="722">
        <f t="shared" si="48"/>
        <v>308.64583333333331</v>
      </c>
    </row>
    <row r="212" spans="1:49" s="683" customFormat="1" ht="15" x14ac:dyDescent="0.25">
      <c r="A212" s="702" t="s">
        <v>491</v>
      </c>
      <c r="B212" s="722">
        <f>SUM(C209:AW209)/COUNT(C209:AW209)</f>
        <v>52.5</v>
      </c>
      <c r="C212" s="722"/>
      <c r="D212" s="722"/>
      <c r="E212" s="722"/>
      <c r="F212" s="722"/>
      <c r="G212" s="722"/>
      <c r="H212" s="722"/>
      <c r="I212" s="722"/>
      <c r="J212" s="722"/>
      <c r="K212" s="722"/>
      <c r="L212" s="722"/>
      <c r="M212" s="722"/>
      <c r="N212" s="722"/>
      <c r="O212" s="722"/>
      <c r="P212" s="722"/>
      <c r="Q212" s="722"/>
      <c r="R212" s="722"/>
      <c r="S212" s="722"/>
      <c r="T212" s="722"/>
      <c r="U212" s="722"/>
      <c r="V212" s="722"/>
      <c r="W212" s="722"/>
      <c r="X212" s="722"/>
      <c r="Y212" s="715"/>
      <c r="Z212" s="715"/>
      <c r="AA212" s="715"/>
      <c r="AB212" s="715"/>
      <c r="AC212" s="715"/>
      <c r="AD212" s="715"/>
      <c r="AE212" s="715"/>
      <c r="AF212" s="715"/>
      <c r="AG212" s="715"/>
      <c r="AH212" s="715"/>
      <c r="AI212" s="715"/>
      <c r="AJ212" s="715"/>
      <c r="AK212" s="715"/>
      <c r="AL212" s="715"/>
      <c r="AM212" s="715"/>
      <c r="AN212" s="715"/>
      <c r="AO212" s="715"/>
      <c r="AP212" s="715"/>
      <c r="AQ212" s="715"/>
      <c r="AR212" s="715"/>
      <c r="AS212" s="715"/>
      <c r="AT212" s="715"/>
      <c r="AU212" s="715"/>
      <c r="AV212" s="715"/>
      <c r="AW212" s="715"/>
    </row>
    <row r="213" spans="1:49" s="683" customFormat="1" ht="26.25" x14ac:dyDescent="0.25">
      <c r="A213" s="702" t="s">
        <v>494</v>
      </c>
      <c r="B213" s="722">
        <f>SUM(B212/1.128)</f>
        <v>46.542553191489368</v>
      </c>
      <c r="C213" s="722"/>
      <c r="D213" s="722"/>
      <c r="E213" s="722"/>
      <c r="F213" s="722"/>
      <c r="G213" s="722"/>
      <c r="H213" s="722"/>
      <c r="I213" s="722"/>
      <c r="J213" s="722"/>
      <c r="K213" s="722"/>
      <c r="L213" s="722"/>
      <c r="M213" s="722"/>
      <c r="N213" s="722"/>
      <c r="O213" s="722"/>
      <c r="P213" s="722"/>
      <c r="Q213" s="722"/>
      <c r="R213" s="722"/>
      <c r="S213" s="722"/>
      <c r="T213" s="722"/>
      <c r="U213" s="722"/>
      <c r="V213" s="722"/>
      <c r="W213" s="722"/>
      <c r="X213" s="722"/>
      <c r="Y213" s="715"/>
      <c r="Z213" s="715"/>
      <c r="AA213" s="715"/>
      <c r="AB213" s="715"/>
      <c r="AC213" s="715"/>
      <c r="AD213" s="715"/>
      <c r="AE213" s="715"/>
      <c r="AF213" s="715"/>
      <c r="AG213" s="715"/>
      <c r="AH213" s="715"/>
      <c r="AI213" s="715"/>
      <c r="AJ213" s="715"/>
      <c r="AK213" s="715"/>
      <c r="AL213" s="715"/>
      <c r="AM213" s="715"/>
      <c r="AN213" s="715"/>
      <c r="AO213" s="715"/>
      <c r="AP213" s="715"/>
      <c r="AQ213" s="715"/>
      <c r="AR213" s="715"/>
      <c r="AS213" s="715"/>
      <c r="AT213" s="715"/>
      <c r="AU213" s="715"/>
      <c r="AV213" s="715"/>
      <c r="AW213" s="715"/>
    </row>
    <row r="214" spans="1:49" s="683" customFormat="1" ht="15" x14ac:dyDescent="0.25">
      <c r="A214" s="702" t="s">
        <v>497</v>
      </c>
      <c r="B214" s="722">
        <f t="shared" ref="B214:AW214" si="49">$B$211+(3*$B$213)</f>
        <v>448.27349290780143</v>
      </c>
      <c r="C214" s="722">
        <f t="shared" si="49"/>
        <v>448.27349290780143</v>
      </c>
      <c r="D214" s="722">
        <f t="shared" si="49"/>
        <v>448.27349290780143</v>
      </c>
      <c r="E214" s="722">
        <f t="shared" si="49"/>
        <v>448.27349290780143</v>
      </c>
      <c r="F214" s="722">
        <f t="shared" si="49"/>
        <v>448.27349290780143</v>
      </c>
      <c r="G214" s="722">
        <f t="shared" si="49"/>
        <v>448.27349290780143</v>
      </c>
      <c r="H214" s="722">
        <f t="shared" si="49"/>
        <v>448.27349290780143</v>
      </c>
      <c r="I214" s="722">
        <f t="shared" si="49"/>
        <v>448.27349290780143</v>
      </c>
      <c r="J214" s="722">
        <f t="shared" si="49"/>
        <v>448.27349290780143</v>
      </c>
      <c r="K214" s="722">
        <f t="shared" si="49"/>
        <v>448.27349290780143</v>
      </c>
      <c r="L214" s="722">
        <f t="shared" si="49"/>
        <v>448.27349290780143</v>
      </c>
      <c r="M214" s="722">
        <f t="shared" si="49"/>
        <v>448.27349290780143</v>
      </c>
      <c r="N214" s="722">
        <f t="shared" si="49"/>
        <v>448.27349290780143</v>
      </c>
      <c r="O214" s="722">
        <f t="shared" si="49"/>
        <v>448.27349290780143</v>
      </c>
      <c r="P214" s="722">
        <f t="shared" si="49"/>
        <v>448.27349290780143</v>
      </c>
      <c r="Q214" s="722">
        <f t="shared" si="49"/>
        <v>448.27349290780143</v>
      </c>
      <c r="R214" s="722">
        <f t="shared" si="49"/>
        <v>448.27349290780143</v>
      </c>
      <c r="S214" s="722">
        <f t="shared" si="49"/>
        <v>448.27349290780143</v>
      </c>
      <c r="T214" s="722">
        <f t="shared" si="49"/>
        <v>448.27349290780143</v>
      </c>
      <c r="U214" s="722">
        <f t="shared" si="49"/>
        <v>448.27349290780143</v>
      </c>
      <c r="V214" s="722">
        <f t="shared" si="49"/>
        <v>448.27349290780143</v>
      </c>
      <c r="W214" s="722">
        <f t="shared" si="49"/>
        <v>448.27349290780143</v>
      </c>
      <c r="X214" s="722">
        <f t="shared" si="49"/>
        <v>448.27349290780143</v>
      </c>
      <c r="Y214" s="722">
        <f t="shared" si="49"/>
        <v>448.27349290780143</v>
      </c>
      <c r="Z214" s="722">
        <f t="shared" si="49"/>
        <v>448.27349290780143</v>
      </c>
      <c r="AA214" s="722">
        <f t="shared" si="49"/>
        <v>448.27349290780143</v>
      </c>
      <c r="AB214" s="722">
        <f t="shared" si="49"/>
        <v>448.27349290780143</v>
      </c>
      <c r="AC214" s="722">
        <f t="shared" si="49"/>
        <v>448.27349290780143</v>
      </c>
      <c r="AD214" s="722">
        <f t="shared" si="49"/>
        <v>448.27349290780143</v>
      </c>
      <c r="AE214" s="722">
        <f t="shared" si="49"/>
        <v>448.27349290780143</v>
      </c>
      <c r="AF214" s="722">
        <f t="shared" si="49"/>
        <v>448.27349290780143</v>
      </c>
      <c r="AG214" s="722">
        <f t="shared" si="49"/>
        <v>448.27349290780143</v>
      </c>
      <c r="AH214" s="722">
        <f t="shared" si="49"/>
        <v>448.27349290780143</v>
      </c>
      <c r="AI214" s="722">
        <f t="shared" si="49"/>
        <v>448.27349290780143</v>
      </c>
      <c r="AJ214" s="722">
        <f t="shared" si="49"/>
        <v>448.27349290780143</v>
      </c>
      <c r="AK214" s="722">
        <f t="shared" si="49"/>
        <v>448.27349290780143</v>
      </c>
      <c r="AL214" s="722">
        <f t="shared" si="49"/>
        <v>448.27349290780143</v>
      </c>
      <c r="AM214" s="722">
        <f t="shared" si="49"/>
        <v>448.27349290780143</v>
      </c>
      <c r="AN214" s="722">
        <f t="shared" si="49"/>
        <v>448.27349290780143</v>
      </c>
      <c r="AO214" s="722">
        <f t="shared" si="49"/>
        <v>448.27349290780143</v>
      </c>
      <c r="AP214" s="722">
        <f t="shared" si="49"/>
        <v>448.27349290780143</v>
      </c>
      <c r="AQ214" s="722">
        <f t="shared" si="49"/>
        <v>448.27349290780143</v>
      </c>
      <c r="AR214" s="722">
        <f t="shared" si="49"/>
        <v>448.27349290780143</v>
      </c>
      <c r="AS214" s="722">
        <f t="shared" si="49"/>
        <v>448.27349290780143</v>
      </c>
      <c r="AT214" s="722">
        <f t="shared" si="49"/>
        <v>448.27349290780143</v>
      </c>
      <c r="AU214" s="722">
        <f t="shared" si="49"/>
        <v>448.27349290780143</v>
      </c>
      <c r="AV214" s="722">
        <f t="shared" si="49"/>
        <v>448.27349290780143</v>
      </c>
      <c r="AW214" s="722">
        <f t="shared" si="49"/>
        <v>448.27349290780143</v>
      </c>
    </row>
    <row r="215" spans="1:49" s="683" customFormat="1" ht="15" x14ac:dyDescent="0.25">
      <c r="A215" s="702" t="s">
        <v>499</v>
      </c>
      <c r="B215" s="722">
        <f t="shared" ref="B215:AW215" si="50">$B$211-(3*$B$213)</f>
        <v>169.0181737588652</v>
      </c>
      <c r="C215" s="722">
        <f t="shared" si="50"/>
        <v>169.0181737588652</v>
      </c>
      <c r="D215" s="722">
        <f t="shared" si="50"/>
        <v>169.0181737588652</v>
      </c>
      <c r="E215" s="722">
        <f t="shared" si="50"/>
        <v>169.0181737588652</v>
      </c>
      <c r="F215" s="722">
        <f t="shared" si="50"/>
        <v>169.0181737588652</v>
      </c>
      <c r="G215" s="722">
        <f t="shared" si="50"/>
        <v>169.0181737588652</v>
      </c>
      <c r="H215" s="722">
        <f t="shared" si="50"/>
        <v>169.0181737588652</v>
      </c>
      <c r="I215" s="722">
        <f t="shared" si="50"/>
        <v>169.0181737588652</v>
      </c>
      <c r="J215" s="722">
        <f t="shared" si="50"/>
        <v>169.0181737588652</v>
      </c>
      <c r="K215" s="722">
        <f t="shared" si="50"/>
        <v>169.0181737588652</v>
      </c>
      <c r="L215" s="722">
        <f t="shared" si="50"/>
        <v>169.0181737588652</v>
      </c>
      <c r="M215" s="722">
        <f t="shared" si="50"/>
        <v>169.0181737588652</v>
      </c>
      <c r="N215" s="722">
        <f t="shared" si="50"/>
        <v>169.0181737588652</v>
      </c>
      <c r="O215" s="722">
        <f t="shared" si="50"/>
        <v>169.0181737588652</v>
      </c>
      <c r="P215" s="722">
        <f t="shared" si="50"/>
        <v>169.0181737588652</v>
      </c>
      <c r="Q215" s="722">
        <f t="shared" si="50"/>
        <v>169.0181737588652</v>
      </c>
      <c r="R215" s="722">
        <f t="shared" si="50"/>
        <v>169.0181737588652</v>
      </c>
      <c r="S215" s="722">
        <f t="shared" si="50"/>
        <v>169.0181737588652</v>
      </c>
      <c r="T215" s="722">
        <f t="shared" si="50"/>
        <v>169.0181737588652</v>
      </c>
      <c r="U215" s="722">
        <f t="shared" si="50"/>
        <v>169.0181737588652</v>
      </c>
      <c r="V215" s="722">
        <f t="shared" si="50"/>
        <v>169.0181737588652</v>
      </c>
      <c r="W215" s="722">
        <f t="shared" si="50"/>
        <v>169.0181737588652</v>
      </c>
      <c r="X215" s="722">
        <f t="shared" si="50"/>
        <v>169.0181737588652</v>
      </c>
      <c r="Y215" s="722">
        <f t="shared" si="50"/>
        <v>169.0181737588652</v>
      </c>
      <c r="Z215" s="722">
        <f t="shared" si="50"/>
        <v>169.0181737588652</v>
      </c>
      <c r="AA215" s="722">
        <f t="shared" si="50"/>
        <v>169.0181737588652</v>
      </c>
      <c r="AB215" s="722">
        <f t="shared" si="50"/>
        <v>169.0181737588652</v>
      </c>
      <c r="AC215" s="722">
        <f t="shared" si="50"/>
        <v>169.0181737588652</v>
      </c>
      <c r="AD215" s="722">
        <f t="shared" si="50"/>
        <v>169.0181737588652</v>
      </c>
      <c r="AE215" s="722">
        <f t="shared" si="50"/>
        <v>169.0181737588652</v>
      </c>
      <c r="AF215" s="722">
        <f t="shared" si="50"/>
        <v>169.0181737588652</v>
      </c>
      <c r="AG215" s="722">
        <f t="shared" si="50"/>
        <v>169.0181737588652</v>
      </c>
      <c r="AH215" s="722">
        <f t="shared" si="50"/>
        <v>169.0181737588652</v>
      </c>
      <c r="AI215" s="722">
        <f t="shared" si="50"/>
        <v>169.0181737588652</v>
      </c>
      <c r="AJ215" s="722">
        <f t="shared" si="50"/>
        <v>169.0181737588652</v>
      </c>
      <c r="AK215" s="722">
        <f t="shared" si="50"/>
        <v>169.0181737588652</v>
      </c>
      <c r="AL215" s="722">
        <f t="shared" si="50"/>
        <v>169.0181737588652</v>
      </c>
      <c r="AM215" s="722">
        <f t="shared" si="50"/>
        <v>169.0181737588652</v>
      </c>
      <c r="AN215" s="722">
        <f t="shared" si="50"/>
        <v>169.0181737588652</v>
      </c>
      <c r="AO215" s="722">
        <f t="shared" si="50"/>
        <v>169.0181737588652</v>
      </c>
      <c r="AP215" s="722">
        <f t="shared" si="50"/>
        <v>169.0181737588652</v>
      </c>
      <c r="AQ215" s="722">
        <f t="shared" si="50"/>
        <v>169.0181737588652</v>
      </c>
      <c r="AR215" s="722">
        <f t="shared" si="50"/>
        <v>169.0181737588652</v>
      </c>
      <c r="AS215" s="722">
        <f t="shared" si="50"/>
        <v>169.0181737588652</v>
      </c>
      <c r="AT215" s="722">
        <f t="shared" si="50"/>
        <v>169.0181737588652</v>
      </c>
      <c r="AU215" s="722">
        <f t="shared" si="50"/>
        <v>169.0181737588652</v>
      </c>
      <c r="AV215" s="722">
        <f t="shared" si="50"/>
        <v>169.0181737588652</v>
      </c>
      <c r="AW215" s="722">
        <f t="shared" si="50"/>
        <v>169.0181737588652</v>
      </c>
    </row>
    <row r="216" spans="1:49" s="683" customFormat="1" ht="25.5" x14ac:dyDescent="0.2">
      <c r="A216" s="693" t="s">
        <v>513</v>
      </c>
    </row>
    <row r="217" spans="1:49" s="683" customFormat="1" x14ac:dyDescent="0.2"/>
  </sheetData>
  <phoneticPr fontId="0" type="noConversion"/>
  <hyperlinks>
    <hyperlink ref="A1" location="Content!A1" display="Return to Contents"/>
  </hyperlinks>
  <pageMargins left="0.7" right="0.7" top="0.75" bottom="0.75" header="0.3" footer="0.3"/>
  <pageSetup paperSize="9" orientation="portrait" r:id="rId1"/>
  <ignoredErrors>
    <ignoredError sqref="L33 Y33 V33"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sheetPr>
  <dimension ref="A1:AW9"/>
  <sheetViews>
    <sheetView workbookViewId="0">
      <pane xSplit="1" topLeftCell="B1" activePane="topRight" state="frozen"/>
      <selection pane="topRight"/>
    </sheetView>
  </sheetViews>
  <sheetFormatPr defaultColWidth="9.140625" defaultRowHeight="12.75" x14ac:dyDescent="0.2"/>
  <cols>
    <col min="1" max="1" width="18.85546875" style="117" bestFit="1" customWidth="1"/>
    <col min="2" max="16384" width="9.140625" style="117"/>
  </cols>
  <sheetData>
    <row r="1" spans="1:49" x14ac:dyDescent="0.2">
      <c r="A1" s="116" t="s">
        <v>360</v>
      </c>
    </row>
    <row r="2" spans="1:49" x14ac:dyDescent="0.2">
      <c r="A2" s="116"/>
    </row>
    <row r="3" spans="1:49" x14ac:dyDescent="0.2">
      <c r="A3" s="137" t="s">
        <v>151</v>
      </c>
      <c r="B3" s="139" t="str">
        <f>IF(HLOOKUP(MAX(B7:AW7),A7:AW9,3,0)&gt;HLOOKUP(MAX(B7:AW7),A7:AW9,2,0),"Better", "Worse")</f>
        <v>Better</v>
      </c>
      <c r="C3" s="122" t="b">
        <f>IF(HLOOKUP(MAX(B7:Y7),A7:Y9,3,0)=HLOOKUP(MAX(B7:Y7),A7:Y9,2,0),"Equal")</f>
        <v>0</v>
      </c>
    </row>
    <row r="4" spans="1:49" x14ac:dyDescent="0.2">
      <c r="A4" s="137" t="s">
        <v>148</v>
      </c>
      <c r="B4" s="138">
        <f>MAX(B7:AW7)</f>
        <v>42917</v>
      </c>
    </row>
    <row r="5" spans="1:49" x14ac:dyDescent="0.2">
      <c r="A5" s="137" t="s">
        <v>215</v>
      </c>
      <c r="B5" s="138" t="s">
        <v>216</v>
      </c>
    </row>
    <row r="6" spans="1:49" x14ac:dyDescent="0.2">
      <c r="A6" s="134"/>
    </row>
    <row r="7" spans="1:49" x14ac:dyDescent="0.2">
      <c r="A7" s="140"/>
      <c r="B7" s="141">
        <v>42095</v>
      </c>
      <c r="C7" s="141">
        <v>42125</v>
      </c>
      <c r="D7" s="141">
        <v>42156</v>
      </c>
      <c r="E7" s="141">
        <v>42186</v>
      </c>
      <c r="F7" s="141">
        <v>42217</v>
      </c>
      <c r="G7" s="141">
        <v>42248</v>
      </c>
      <c r="H7" s="141">
        <v>42278</v>
      </c>
      <c r="I7" s="141">
        <v>42309</v>
      </c>
      <c r="J7" s="141">
        <v>42339</v>
      </c>
      <c r="K7" s="141">
        <v>42370</v>
      </c>
      <c r="L7" s="141">
        <v>42401</v>
      </c>
      <c r="M7" s="142">
        <v>42430</v>
      </c>
      <c r="N7" s="141">
        <v>42461</v>
      </c>
      <c r="O7" s="141">
        <v>42491</v>
      </c>
      <c r="P7" s="141">
        <v>42522</v>
      </c>
      <c r="Q7" s="141">
        <v>42552</v>
      </c>
      <c r="R7" s="141">
        <v>42583</v>
      </c>
      <c r="S7" s="141">
        <v>42614</v>
      </c>
      <c r="T7" s="141">
        <v>42644</v>
      </c>
      <c r="U7" s="141">
        <v>42675</v>
      </c>
      <c r="V7" s="141">
        <v>42705</v>
      </c>
      <c r="W7" s="141">
        <v>42736</v>
      </c>
      <c r="X7" s="141">
        <v>42767</v>
      </c>
      <c r="Y7" s="141">
        <v>42795</v>
      </c>
      <c r="Z7" s="141">
        <v>42826</v>
      </c>
      <c r="AA7" s="548">
        <v>42856</v>
      </c>
      <c r="AB7" s="548">
        <v>42887</v>
      </c>
      <c r="AC7" s="548">
        <v>42917</v>
      </c>
      <c r="AD7" s="141"/>
      <c r="AE7" s="141"/>
      <c r="AF7" s="141"/>
      <c r="AG7" s="141"/>
      <c r="AH7" s="141"/>
      <c r="AI7" s="141"/>
      <c r="AJ7" s="141"/>
      <c r="AK7" s="142"/>
      <c r="AL7" s="141"/>
      <c r="AM7" s="141"/>
      <c r="AN7" s="141"/>
      <c r="AO7" s="141"/>
      <c r="AP7" s="141"/>
      <c r="AQ7" s="141"/>
      <c r="AR7" s="141"/>
      <c r="AS7" s="141"/>
      <c r="AT7" s="141"/>
      <c r="AU7" s="141"/>
      <c r="AV7" s="141"/>
      <c r="AW7" s="143"/>
    </row>
    <row r="8" spans="1:49" x14ac:dyDescent="0.2">
      <c r="A8" s="144" t="s">
        <v>386</v>
      </c>
      <c r="B8" s="145">
        <v>0.92800000000000005</v>
      </c>
      <c r="C8" s="145">
        <v>0.93500000000000005</v>
      </c>
      <c r="D8" s="145">
        <v>0.94299999999999995</v>
      </c>
      <c r="E8" s="145">
        <v>0.95799999999999996</v>
      </c>
      <c r="F8" s="145">
        <v>0.95199999999999996</v>
      </c>
      <c r="G8" s="145">
        <v>0.95399999999999996</v>
      </c>
      <c r="H8" s="145">
        <v>0.94699999999999995</v>
      </c>
      <c r="I8" s="145">
        <v>0.94899999999999995</v>
      </c>
      <c r="J8" s="145">
        <v>0.94899999999999995</v>
      </c>
      <c r="K8" s="145">
        <v>0.91800000000000004</v>
      </c>
      <c r="L8" s="145">
        <v>0.92900000000000005</v>
      </c>
      <c r="M8" s="145">
        <v>0.93100000000000005</v>
      </c>
      <c r="N8" s="145">
        <v>0.95099999999999996</v>
      </c>
      <c r="O8" s="145">
        <v>0.94499999999999995</v>
      </c>
      <c r="P8" s="145">
        <v>0.95699999999999996</v>
      </c>
      <c r="Q8" s="145">
        <v>0.95799999999999996</v>
      </c>
      <c r="R8" s="145">
        <v>0.94799999999999995</v>
      </c>
      <c r="S8" s="145">
        <v>0.94899999999999995</v>
      </c>
      <c r="T8" s="145">
        <v>0.93899999999999995</v>
      </c>
      <c r="U8" s="145">
        <v>0.93600000000000005</v>
      </c>
      <c r="V8" s="145">
        <v>0.92600000000000005</v>
      </c>
      <c r="W8" s="145">
        <v>0.91900000000000004</v>
      </c>
      <c r="X8" s="145">
        <v>0.92500000000000004</v>
      </c>
      <c r="Y8" s="145">
        <v>0.93799999999999994</v>
      </c>
      <c r="Z8" s="145">
        <v>0.93400000000000005</v>
      </c>
      <c r="AA8" s="145">
        <v>0.94</v>
      </c>
      <c r="AB8" s="145">
        <v>0.95499999999999996</v>
      </c>
      <c r="AC8" s="145">
        <v>0.95699999999999996</v>
      </c>
      <c r="AD8" s="145"/>
      <c r="AE8" s="145"/>
      <c r="AF8" s="145"/>
      <c r="AG8" s="145"/>
      <c r="AH8" s="145"/>
      <c r="AI8" s="145"/>
      <c r="AJ8" s="145"/>
      <c r="AK8" s="145"/>
      <c r="AL8" s="145"/>
      <c r="AM8" s="145"/>
      <c r="AN8" s="145"/>
      <c r="AO8" s="145"/>
      <c r="AP8" s="145"/>
      <c r="AQ8" s="145"/>
      <c r="AR8" s="145"/>
      <c r="AS8" s="145"/>
      <c r="AT8" s="145"/>
      <c r="AU8" s="145"/>
      <c r="AV8" s="145"/>
      <c r="AW8" s="145"/>
    </row>
    <row r="9" spans="1:49" x14ac:dyDescent="0.2">
      <c r="A9" s="144" t="s">
        <v>387</v>
      </c>
      <c r="B9" s="145">
        <v>0.93600000000000005</v>
      </c>
      <c r="C9" s="145">
        <v>0.94099999999999995</v>
      </c>
      <c r="D9" s="145">
        <v>0.94699999999999995</v>
      </c>
      <c r="E9" s="145">
        <v>0.93899999999999995</v>
      </c>
      <c r="F9" s="145">
        <v>0.94499999999999995</v>
      </c>
      <c r="G9" s="145">
        <v>0.94</v>
      </c>
      <c r="H9" s="145">
        <v>0.94399999999999995</v>
      </c>
      <c r="I9" s="145">
        <v>0.93500000000000005</v>
      </c>
      <c r="J9" s="145">
        <v>0.92200000000000004</v>
      </c>
      <c r="K9" s="145">
        <v>0.88500000000000001</v>
      </c>
      <c r="L9" s="145">
        <v>0.88</v>
      </c>
      <c r="M9" s="145">
        <v>0.92100000000000004</v>
      </c>
      <c r="N9" s="145">
        <v>0.93500000000000005</v>
      </c>
      <c r="O9" s="145">
        <v>0.93400000000000005</v>
      </c>
      <c r="P9" s="145">
        <v>0.95499999999999996</v>
      </c>
      <c r="Q9" s="145">
        <v>0.97099999999999997</v>
      </c>
      <c r="R9" s="145">
        <v>0.94499999999999995</v>
      </c>
      <c r="S9" s="145">
        <v>0.93300000000000005</v>
      </c>
      <c r="T9" s="145">
        <v>0.93200000000000005</v>
      </c>
      <c r="U9" s="145">
        <v>0.94499999999999995</v>
      </c>
      <c r="V9" s="145">
        <v>0.92500000000000004</v>
      </c>
      <c r="W9" s="145">
        <v>0.92800000000000005</v>
      </c>
      <c r="X9" s="145">
        <v>0.93200000000000005</v>
      </c>
      <c r="Y9" s="145">
        <v>0.95699999999999996</v>
      </c>
      <c r="Z9" s="145">
        <v>0.95299999999999996</v>
      </c>
      <c r="AA9" s="145">
        <v>0.95099999999999996</v>
      </c>
      <c r="AB9" s="145">
        <v>0.95699999999999996</v>
      </c>
      <c r="AC9" s="145">
        <v>0.96099999999999997</v>
      </c>
      <c r="AD9" s="145"/>
      <c r="AE9" s="145"/>
      <c r="AF9" s="145"/>
      <c r="AG9" s="145"/>
      <c r="AH9" s="145"/>
      <c r="AI9" s="145"/>
      <c r="AJ9" s="145"/>
      <c r="AK9" s="145"/>
      <c r="AL9" s="145"/>
      <c r="AM9" s="145"/>
      <c r="AN9" s="145"/>
      <c r="AO9" s="145"/>
      <c r="AP9" s="145"/>
      <c r="AQ9" s="145"/>
      <c r="AR9" s="145"/>
      <c r="AS9" s="145"/>
      <c r="AT9" s="145"/>
      <c r="AU9" s="145"/>
      <c r="AV9" s="145"/>
      <c r="AW9" s="14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W187"/>
  <sheetViews>
    <sheetView workbookViewId="0">
      <pane xSplit="1" topLeftCell="B1" activePane="topRight" state="frozen"/>
      <selection pane="topRight"/>
    </sheetView>
  </sheetViews>
  <sheetFormatPr defaultColWidth="9.140625" defaultRowHeight="12.75" x14ac:dyDescent="0.2"/>
  <cols>
    <col min="1" max="1" width="23.7109375" style="117" customWidth="1"/>
    <col min="2" max="2" width="9.140625" style="117" customWidth="1"/>
    <col min="3" max="16384" width="9.140625" style="117"/>
  </cols>
  <sheetData>
    <row r="1" spans="1:49" x14ac:dyDescent="0.2">
      <c r="A1" s="116" t="s">
        <v>360</v>
      </c>
      <c r="B1" s="199"/>
    </row>
    <row r="2" spans="1:49" x14ac:dyDescent="0.2">
      <c r="A2" s="116"/>
      <c r="B2" s="668"/>
    </row>
    <row r="3" spans="1:49" x14ac:dyDescent="0.2">
      <c r="A3" s="118" t="s">
        <v>454</v>
      </c>
      <c r="B3" s="117" t="s">
        <v>57</v>
      </c>
    </row>
    <row r="4" spans="1:49" x14ac:dyDescent="0.2">
      <c r="A4" s="118" t="s">
        <v>147</v>
      </c>
      <c r="B4" s="136">
        <f>HLOOKUP(MAX(B10:AW10),B10:AW15,2,0)</f>
        <v>0.60949464012251153</v>
      </c>
    </row>
    <row r="5" spans="1:49" x14ac:dyDescent="0.2">
      <c r="A5" s="118" t="s">
        <v>119</v>
      </c>
      <c r="B5" s="138">
        <f>MAX(B10:AW10)</f>
        <v>42948</v>
      </c>
    </row>
    <row r="6" spans="1:49" x14ac:dyDescent="0.2">
      <c r="A6" s="118" t="s">
        <v>201</v>
      </c>
      <c r="B6" s="419" t="s">
        <v>182</v>
      </c>
    </row>
    <row r="7" spans="1:49" x14ac:dyDescent="0.2">
      <c r="A7" s="118" t="s">
        <v>456</v>
      </c>
      <c r="B7" s="122" t="s">
        <v>135</v>
      </c>
    </row>
    <row r="8" spans="1:49" x14ac:dyDescent="0.2">
      <c r="A8" s="118"/>
      <c r="B8" s="122"/>
    </row>
    <row r="9" spans="1:49" x14ac:dyDescent="0.2">
      <c r="A9" s="312"/>
    </row>
    <row r="10" spans="1:49" x14ac:dyDescent="0.2">
      <c r="A10" s="123"/>
      <c r="B10" s="124">
        <v>42095</v>
      </c>
      <c r="C10" s="124">
        <v>42125</v>
      </c>
      <c r="D10" s="124">
        <v>42156</v>
      </c>
      <c r="E10" s="124">
        <v>42186</v>
      </c>
      <c r="F10" s="124">
        <v>42217</v>
      </c>
      <c r="G10" s="124">
        <v>42248</v>
      </c>
      <c r="H10" s="124">
        <v>42278</v>
      </c>
      <c r="I10" s="124">
        <v>42309</v>
      </c>
      <c r="J10" s="124">
        <v>42339</v>
      </c>
      <c r="K10" s="124">
        <v>42370</v>
      </c>
      <c r="L10" s="124">
        <v>42401</v>
      </c>
      <c r="M10" s="124">
        <v>42430</v>
      </c>
      <c r="N10" s="124">
        <v>42461</v>
      </c>
      <c r="O10" s="124">
        <v>42491</v>
      </c>
      <c r="P10" s="124">
        <v>42522</v>
      </c>
      <c r="Q10" s="124">
        <v>42552</v>
      </c>
      <c r="R10" s="124">
        <v>42583</v>
      </c>
      <c r="S10" s="124">
        <v>42614</v>
      </c>
      <c r="T10" s="124">
        <v>42644</v>
      </c>
      <c r="U10" s="124">
        <v>42675</v>
      </c>
      <c r="V10" s="124">
        <v>42705</v>
      </c>
      <c r="W10" s="124">
        <v>42736</v>
      </c>
      <c r="X10" s="124">
        <v>42767</v>
      </c>
      <c r="Y10" s="124">
        <v>42795</v>
      </c>
      <c r="Z10" s="124">
        <v>42826</v>
      </c>
      <c r="AA10" s="124">
        <v>42856</v>
      </c>
      <c r="AB10" s="124">
        <v>42887</v>
      </c>
      <c r="AC10" s="124">
        <v>42917</v>
      </c>
      <c r="AD10" s="124">
        <v>42948</v>
      </c>
      <c r="AE10" s="124"/>
      <c r="AF10" s="124"/>
      <c r="AG10" s="124"/>
      <c r="AH10" s="124"/>
      <c r="AI10" s="124"/>
      <c r="AJ10" s="124"/>
      <c r="AK10" s="124"/>
      <c r="AL10" s="124"/>
      <c r="AM10" s="124"/>
      <c r="AN10" s="124"/>
      <c r="AO10" s="124"/>
      <c r="AP10" s="124"/>
      <c r="AQ10" s="124"/>
      <c r="AR10" s="124"/>
      <c r="AS10" s="124"/>
      <c r="AT10" s="124"/>
      <c r="AU10" s="124"/>
      <c r="AV10" s="124"/>
      <c r="AW10" s="124"/>
    </row>
    <row r="11" spans="1:49" s="137" customFormat="1" ht="25.5" x14ac:dyDescent="0.2">
      <c r="A11" s="125" t="s">
        <v>0</v>
      </c>
      <c r="B11" s="126">
        <f>B22</f>
        <v>0.39408866995073893</v>
      </c>
      <c r="C11" s="126">
        <f t="shared" ref="C11:AW11" si="0">C22</f>
        <v>0.43979057591623039</v>
      </c>
      <c r="D11" s="126">
        <f t="shared" si="0"/>
        <v>0.3951048951048951</v>
      </c>
      <c r="E11" s="126">
        <f t="shared" si="0"/>
        <v>0.45</v>
      </c>
      <c r="F11" s="126">
        <f t="shared" si="0"/>
        <v>0.45864661654135336</v>
      </c>
      <c r="G11" s="126">
        <f t="shared" si="0"/>
        <v>0.47435897435897434</v>
      </c>
      <c r="H11" s="126">
        <f t="shared" si="0"/>
        <v>0.67622259696458686</v>
      </c>
      <c r="I11" s="126">
        <f t="shared" si="0"/>
        <v>0.69260700389105057</v>
      </c>
      <c r="J11" s="126">
        <f t="shared" si="0"/>
        <v>0.7303370786516854</v>
      </c>
      <c r="K11" s="126">
        <f t="shared" si="0"/>
        <v>0.66223908918406071</v>
      </c>
      <c r="L11" s="126">
        <f t="shared" si="0"/>
        <v>0.70485436893203879</v>
      </c>
      <c r="M11" s="126">
        <f t="shared" si="0"/>
        <v>0.72025052192066807</v>
      </c>
      <c r="N11" s="126">
        <f t="shared" si="0"/>
        <v>0.71824480369515009</v>
      </c>
      <c r="O11" s="126">
        <f t="shared" si="0"/>
        <v>0.69021739130434778</v>
      </c>
      <c r="P11" s="126">
        <f t="shared" si="0"/>
        <v>0.68080808080808086</v>
      </c>
      <c r="Q11" s="126">
        <f t="shared" si="0"/>
        <v>0.71855010660980811</v>
      </c>
      <c r="R11" s="126">
        <f t="shared" si="0"/>
        <v>0.72310405643738973</v>
      </c>
      <c r="S11" s="126">
        <f t="shared" si="0"/>
        <v>0.7551789077212806</v>
      </c>
      <c r="T11" s="126">
        <f t="shared" si="0"/>
        <v>0.60258780036968573</v>
      </c>
      <c r="U11" s="126">
        <f t="shared" si="0"/>
        <v>0.61049284578696339</v>
      </c>
      <c r="V11" s="126">
        <f t="shared" si="0"/>
        <v>0.73130841121495327</v>
      </c>
      <c r="W11" s="126">
        <f t="shared" si="0"/>
        <v>0.65232358003442337</v>
      </c>
      <c r="X11" s="126">
        <f t="shared" si="0"/>
        <v>0.66085271317829453</v>
      </c>
      <c r="Y11" s="126">
        <f t="shared" si="0"/>
        <v>0.68561278863232678</v>
      </c>
      <c r="Z11" s="126">
        <f t="shared" si="0"/>
        <v>0.59958932238193019</v>
      </c>
      <c r="AA11" s="126">
        <f t="shared" si="0"/>
        <v>0.64516129032258063</v>
      </c>
      <c r="AB11" s="126">
        <f t="shared" si="0"/>
        <v>0.67519181585677746</v>
      </c>
      <c r="AC11" s="126">
        <f t="shared" si="0"/>
        <v>0.66825396825396821</v>
      </c>
      <c r="AD11" s="126">
        <f t="shared" si="0"/>
        <v>0.60949464012251153</v>
      </c>
      <c r="AE11" s="126" t="e">
        <f t="shared" si="0"/>
        <v>#DIV/0!</v>
      </c>
      <c r="AF11" s="126" t="e">
        <f t="shared" si="0"/>
        <v>#DIV/0!</v>
      </c>
      <c r="AG11" s="126" t="e">
        <f t="shared" si="0"/>
        <v>#DIV/0!</v>
      </c>
      <c r="AH11" s="126" t="e">
        <f t="shared" si="0"/>
        <v>#DIV/0!</v>
      </c>
      <c r="AI11" s="126" t="e">
        <f t="shared" si="0"/>
        <v>#DIV/0!</v>
      </c>
      <c r="AJ11" s="126" t="e">
        <f t="shared" si="0"/>
        <v>#DIV/0!</v>
      </c>
      <c r="AK11" s="126" t="e">
        <f t="shared" si="0"/>
        <v>#DIV/0!</v>
      </c>
      <c r="AL11" s="126" t="e">
        <f t="shared" si="0"/>
        <v>#DIV/0!</v>
      </c>
      <c r="AM11" s="126" t="e">
        <f t="shared" si="0"/>
        <v>#DIV/0!</v>
      </c>
      <c r="AN11" s="126" t="e">
        <f t="shared" si="0"/>
        <v>#DIV/0!</v>
      </c>
      <c r="AO11" s="126" t="e">
        <f t="shared" si="0"/>
        <v>#DIV/0!</v>
      </c>
      <c r="AP11" s="126" t="e">
        <f t="shared" si="0"/>
        <v>#DIV/0!</v>
      </c>
      <c r="AQ11" s="126" t="e">
        <f t="shared" si="0"/>
        <v>#DIV/0!</v>
      </c>
      <c r="AR11" s="126" t="e">
        <f t="shared" si="0"/>
        <v>#DIV/0!</v>
      </c>
      <c r="AS11" s="126" t="e">
        <f t="shared" si="0"/>
        <v>#DIV/0!</v>
      </c>
      <c r="AT11" s="126" t="e">
        <f t="shared" si="0"/>
        <v>#DIV/0!</v>
      </c>
      <c r="AU11" s="126" t="e">
        <f t="shared" si="0"/>
        <v>#DIV/0!</v>
      </c>
      <c r="AV11" s="126" t="e">
        <f t="shared" si="0"/>
        <v>#DIV/0!</v>
      </c>
      <c r="AW11" s="126" t="e">
        <f t="shared" si="0"/>
        <v>#DIV/0!</v>
      </c>
    </row>
    <row r="12" spans="1:49" x14ac:dyDescent="0.2">
      <c r="A12" s="127" t="s">
        <v>131</v>
      </c>
      <c r="B12" s="128"/>
      <c r="C12" s="128"/>
      <c r="D12" s="128"/>
      <c r="E12" s="128"/>
      <c r="F12" s="128"/>
      <c r="G12" s="128"/>
      <c r="H12" s="128">
        <f>MEDIAN($H$11:$M$11)</f>
        <v>0.69873068641154468</v>
      </c>
      <c r="I12" s="128">
        <f t="shared" ref="I12:X13" si="1">MEDIAN($H$11:$M$11)</f>
        <v>0.69873068641154468</v>
      </c>
      <c r="J12" s="128">
        <f t="shared" si="1"/>
        <v>0.69873068641154468</v>
      </c>
      <c r="K12" s="128">
        <f t="shared" si="1"/>
        <v>0.69873068641154468</v>
      </c>
      <c r="L12" s="128">
        <f t="shared" si="1"/>
        <v>0.69873068641154468</v>
      </c>
      <c r="M12" s="128">
        <f t="shared" si="1"/>
        <v>0.69873068641154468</v>
      </c>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row>
    <row r="13" spans="1:49" x14ac:dyDescent="0.2">
      <c r="A13" s="127" t="s">
        <v>132</v>
      </c>
      <c r="B13" s="128"/>
      <c r="C13" s="128"/>
      <c r="D13" s="128"/>
      <c r="E13" s="128"/>
      <c r="F13" s="128"/>
      <c r="G13" s="128"/>
      <c r="H13" s="128"/>
      <c r="I13" s="128"/>
      <c r="J13" s="128"/>
      <c r="K13" s="128"/>
      <c r="L13" s="128"/>
      <c r="M13" s="128">
        <f t="shared" si="1"/>
        <v>0.69873068641154468</v>
      </c>
      <c r="N13" s="128">
        <f t="shared" si="1"/>
        <v>0.69873068641154468</v>
      </c>
      <c r="O13" s="128">
        <f t="shared" si="1"/>
        <v>0.69873068641154468</v>
      </c>
      <c r="P13" s="128">
        <f t="shared" si="1"/>
        <v>0.69873068641154468</v>
      </c>
      <c r="Q13" s="128">
        <f t="shared" si="1"/>
        <v>0.69873068641154468</v>
      </c>
      <c r="R13" s="128">
        <f t="shared" si="1"/>
        <v>0.69873068641154468</v>
      </c>
      <c r="S13" s="128">
        <f t="shared" si="1"/>
        <v>0.69873068641154468</v>
      </c>
      <c r="T13" s="128">
        <f t="shared" si="1"/>
        <v>0.69873068641154468</v>
      </c>
      <c r="U13" s="128">
        <f t="shared" si="1"/>
        <v>0.69873068641154468</v>
      </c>
      <c r="V13" s="128">
        <f t="shared" si="1"/>
        <v>0.69873068641154468</v>
      </c>
      <c r="W13" s="128">
        <f t="shared" si="1"/>
        <v>0.69873068641154468</v>
      </c>
      <c r="X13" s="128">
        <f t="shared" si="1"/>
        <v>0.69873068641154468</v>
      </c>
      <c r="Y13" s="128">
        <f>MEDIAN($H$11:$M$11)</f>
        <v>0.69873068641154468</v>
      </c>
      <c r="Z13" s="128">
        <f>MEDIAN($H$11:$M$11)</f>
        <v>0.69873068641154468</v>
      </c>
      <c r="AA13" s="128">
        <f t="shared" ref="AA13:AW13" si="2">MEDIAN($H$11:$M$11)</f>
        <v>0.69873068641154468</v>
      </c>
      <c r="AB13" s="128">
        <f t="shared" si="2"/>
        <v>0.69873068641154468</v>
      </c>
      <c r="AC13" s="128">
        <f t="shared" si="2"/>
        <v>0.69873068641154468</v>
      </c>
      <c r="AD13" s="128">
        <f t="shared" si="2"/>
        <v>0.69873068641154468</v>
      </c>
      <c r="AE13" s="128">
        <f t="shared" si="2"/>
        <v>0.69873068641154468</v>
      </c>
      <c r="AF13" s="128">
        <f t="shared" si="2"/>
        <v>0.69873068641154468</v>
      </c>
      <c r="AG13" s="128">
        <f t="shared" si="2"/>
        <v>0.69873068641154468</v>
      </c>
      <c r="AH13" s="128">
        <f t="shared" si="2"/>
        <v>0.69873068641154468</v>
      </c>
      <c r="AI13" s="128">
        <f t="shared" si="2"/>
        <v>0.69873068641154468</v>
      </c>
      <c r="AJ13" s="128">
        <f t="shared" si="2"/>
        <v>0.69873068641154468</v>
      </c>
      <c r="AK13" s="128">
        <f t="shared" si="2"/>
        <v>0.69873068641154468</v>
      </c>
      <c r="AL13" s="128">
        <f t="shared" si="2"/>
        <v>0.69873068641154468</v>
      </c>
      <c r="AM13" s="128">
        <f t="shared" si="2"/>
        <v>0.69873068641154468</v>
      </c>
      <c r="AN13" s="128">
        <f t="shared" si="2"/>
        <v>0.69873068641154468</v>
      </c>
      <c r="AO13" s="128">
        <f t="shared" si="2"/>
        <v>0.69873068641154468</v>
      </c>
      <c r="AP13" s="128">
        <f t="shared" si="2"/>
        <v>0.69873068641154468</v>
      </c>
      <c r="AQ13" s="128">
        <f t="shared" si="2"/>
        <v>0.69873068641154468</v>
      </c>
      <c r="AR13" s="128">
        <f t="shared" si="2"/>
        <v>0.69873068641154468</v>
      </c>
      <c r="AS13" s="128">
        <f t="shared" si="2"/>
        <v>0.69873068641154468</v>
      </c>
      <c r="AT13" s="128">
        <f t="shared" si="2"/>
        <v>0.69873068641154468</v>
      </c>
      <c r="AU13" s="128">
        <f t="shared" si="2"/>
        <v>0.69873068641154468</v>
      </c>
      <c r="AV13" s="128">
        <f t="shared" si="2"/>
        <v>0.69873068641154468</v>
      </c>
      <c r="AW13" s="128">
        <f t="shared" si="2"/>
        <v>0.69873068641154468</v>
      </c>
    </row>
    <row r="14" spans="1:49" ht="25.5" x14ac:dyDescent="0.2">
      <c r="A14" s="127" t="s">
        <v>21</v>
      </c>
      <c r="B14" s="129">
        <f>B26</f>
        <v>3190</v>
      </c>
      <c r="C14" s="129">
        <f t="shared" ref="C14:AW14" si="3">C26</f>
        <v>3341</v>
      </c>
      <c r="D14" s="129">
        <f t="shared" si="3"/>
        <v>3261</v>
      </c>
      <c r="E14" s="129">
        <f t="shared" si="3"/>
        <v>3219</v>
      </c>
      <c r="F14" s="129">
        <f t="shared" si="3"/>
        <v>3150</v>
      </c>
      <c r="G14" s="129">
        <f t="shared" si="3"/>
        <v>3015</v>
      </c>
      <c r="H14" s="129">
        <f t="shared" si="3"/>
        <v>3457</v>
      </c>
      <c r="I14" s="129">
        <f t="shared" si="3"/>
        <v>3540</v>
      </c>
      <c r="J14" s="129">
        <f t="shared" si="3"/>
        <v>3697</v>
      </c>
      <c r="K14" s="129">
        <f t="shared" si="3"/>
        <v>3426</v>
      </c>
      <c r="L14" s="129">
        <f t="shared" si="3"/>
        <v>3480</v>
      </c>
      <c r="M14" s="129">
        <f t="shared" si="3"/>
        <v>3548</v>
      </c>
      <c r="N14" s="129">
        <f t="shared" si="3"/>
        <v>3707</v>
      </c>
      <c r="O14" s="129">
        <f t="shared" si="3"/>
        <v>3700</v>
      </c>
      <c r="P14" s="129">
        <f t="shared" si="3"/>
        <v>3791</v>
      </c>
      <c r="Q14" s="129">
        <f t="shared" si="3"/>
        <v>3878</v>
      </c>
      <c r="R14" s="129">
        <f t="shared" si="3"/>
        <v>3870</v>
      </c>
      <c r="S14" s="129">
        <f t="shared" si="3"/>
        <v>3939</v>
      </c>
      <c r="T14" s="129">
        <f t="shared" si="3"/>
        <v>4063</v>
      </c>
      <c r="U14" s="129">
        <f t="shared" si="3"/>
        <v>4056</v>
      </c>
      <c r="V14" s="129">
        <f t="shared" si="3"/>
        <v>4154</v>
      </c>
      <c r="W14" s="129">
        <f t="shared" si="3"/>
        <v>4137</v>
      </c>
      <c r="X14" s="129">
        <f t="shared" si="3"/>
        <v>4341</v>
      </c>
      <c r="Y14" s="129">
        <f t="shared" si="3"/>
        <v>4455</v>
      </c>
      <c r="Z14" s="129">
        <f t="shared" si="3"/>
        <v>4416</v>
      </c>
      <c r="AA14" s="129">
        <f t="shared" si="3"/>
        <v>4527</v>
      </c>
      <c r="AB14" s="129">
        <f t="shared" si="3"/>
        <v>4653</v>
      </c>
      <c r="AC14" s="129">
        <f t="shared" si="3"/>
        <v>4913</v>
      </c>
      <c r="AD14" s="129">
        <f t="shared" si="3"/>
        <v>5174</v>
      </c>
      <c r="AE14" s="129">
        <f t="shared" si="3"/>
        <v>0</v>
      </c>
      <c r="AF14" s="129">
        <f t="shared" si="3"/>
        <v>0</v>
      </c>
      <c r="AG14" s="129">
        <f t="shared" si="3"/>
        <v>0</v>
      </c>
      <c r="AH14" s="129">
        <f t="shared" si="3"/>
        <v>0</v>
      </c>
      <c r="AI14" s="129">
        <f t="shared" si="3"/>
        <v>0</v>
      </c>
      <c r="AJ14" s="129">
        <f t="shared" si="3"/>
        <v>0</v>
      </c>
      <c r="AK14" s="129">
        <f t="shared" si="3"/>
        <v>0</v>
      </c>
      <c r="AL14" s="129">
        <f t="shared" si="3"/>
        <v>0</v>
      </c>
      <c r="AM14" s="129">
        <f t="shared" si="3"/>
        <v>0</v>
      </c>
      <c r="AN14" s="129">
        <f t="shared" si="3"/>
        <v>0</v>
      </c>
      <c r="AO14" s="129">
        <f t="shared" si="3"/>
        <v>0</v>
      </c>
      <c r="AP14" s="129">
        <f t="shared" si="3"/>
        <v>0</v>
      </c>
      <c r="AQ14" s="129">
        <f t="shared" si="3"/>
        <v>0</v>
      </c>
      <c r="AR14" s="129">
        <f t="shared" si="3"/>
        <v>0</v>
      </c>
      <c r="AS14" s="129">
        <f t="shared" si="3"/>
        <v>0</v>
      </c>
      <c r="AT14" s="129">
        <f t="shared" si="3"/>
        <v>0</v>
      </c>
      <c r="AU14" s="129">
        <f t="shared" si="3"/>
        <v>0</v>
      </c>
      <c r="AV14" s="129">
        <f t="shared" si="3"/>
        <v>0</v>
      </c>
      <c r="AW14" s="129">
        <f t="shared" si="3"/>
        <v>0</v>
      </c>
    </row>
    <row r="15" spans="1:49" ht="25.5" x14ac:dyDescent="0.2">
      <c r="A15" s="127" t="s">
        <v>22</v>
      </c>
      <c r="B15" s="129">
        <f>B28</f>
        <v>1254</v>
      </c>
      <c r="C15" s="129">
        <f t="shared" ref="C15:AW15" si="4">C28</f>
        <v>1257</v>
      </c>
      <c r="D15" s="129">
        <f t="shared" si="4"/>
        <v>1173</v>
      </c>
      <c r="E15" s="129">
        <f t="shared" si="4"/>
        <v>1146</v>
      </c>
      <c r="F15" s="129">
        <f t="shared" si="4"/>
        <v>1108</v>
      </c>
      <c r="G15" s="129">
        <f t="shared" si="4"/>
        <v>1085</v>
      </c>
      <c r="H15" s="129">
        <f t="shared" si="4"/>
        <v>1069</v>
      </c>
      <c r="I15" s="129">
        <f t="shared" si="4"/>
        <v>985</v>
      </c>
      <c r="J15" s="129">
        <f t="shared" si="4"/>
        <v>1041</v>
      </c>
      <c r="K15" s="129">
        <f t="shared" si="4"/>
        <v>902</v>
      </c>
      <c r="L15" s="129">
        <f t="shared" si="4"/>
        <v>892</v>
      </c>
      <c r="M15" s="129">
        <f t="shared" si="4"/>
        <v>1013</v>
      </c>
      <c r="N15" s="129">
        <f t="shared" si="4"/>
        <v>1073</v>
      </c>
      <c r="O15" s="129">
        <f t="shared" si="4"/>
        <v>1075</v>
      </c>
      <c r="P15" s="129">
        <f t="shared" si="4"/>
        <v>1183</v>
      </c>
      <c r="Q15" s="129">
        <f t="shared" si="4"/>
        <v>1292</v>
      </c>
      <c r="R15" s="129">
        <f t="shared" si="4"/>
        <v>1309</v>
      </c>
      <c r="S15" s="129">
        <f t="shared" si="4"/>
        <v>1363</v>
      </c>
      <c r="T15" s="129">
        <f t="shared" si="4"/>
        <v>1337</v>
      </c>
      <c r="U15" s="129">
        <f t="shared" si="4"/>
        <v>1240</v>
      </c>
      <c r="V15" s="129">
        <f t="shared" si="4"/>
        <v>1337</v>
      </c>
      <c r="W15" s="129">
        <f t="shared" si="4"/>
        <v>1338</v>
      </c>
      <c r="X15" s="129">
        <f t="shared" si="4"/>
        <v>1318</v>
      </c>
      <c r="Y15" s="129">
        <f t="shared" si="4"/>
        <v>1354</v>
      </c>
      <c r="Z15" s="129">
        <f t="shared" si="4"/>
        <v>1416</v>
      </c>
      <c r="AA15" s="129">
        <f t="shared" si="4"/>
        <v>1344</v>
      </c>
      <c r="AB15" s="129">
        <f t="shared" si="4"/>
        <v>1418</v>
      </c>
      <c r="AC15" s="129">
        <f t="shared" si="4"/>
        <v>1542</v>
      </c>
      <c r="AD15" s="129">
        <f t="shared" si="4"/>
        <v>1576</v>
      </c>
      <c r="AE15" s="129">
        <f t="shared" si="4"/>
        <v>0</v>
      </c>
      <c r="AF15" s="129">
        <f t="shared" si="4"/>
        <v>0</v>
      </c>
      <c r="AG15" s="129">
        <f t="shared" si="4"/>
        <v>0</v>
      </c>
      <c r="AH15" s="129">
        <f t="shared" si="4"/>
        <v>0</v>
      </c>
      <c r="AI15" s="129">
        <f t="shared" si="4"/>
        <v>0</v>
      </c>
      <c r="AJ15" s="129">
        <f t="shared" si="4"/>
        <v>0</v>
      </c>
      <c r="AK15" s="129">
        <f t="shared" si="4"/>
        <v>0</v>
      </c>
      <c r="AL15" s="129">
        <f t="shared" si="4"/>
        <v>0</v>
      </c>
      <c r="AM15" s="129">
        <f t="shared" si="4"/>
        <v>0</v>
      </c>
      <c r="AN15" s="129">
        <f t="shared" si="4"/>
        <v>0</v>
      </c>
      <c r="AO15" s="129">
        <f t="shared" si="4"/>
        <v>0</v>
      </c>
      <c r="AP15" s="129">
        <f t="shared" si="4"/>
        <v>0</v>
      </c>
      <c r="AQ15" s="129">
        <f t="shared" si="4"/>
        <v>0</v>
      </c>
      <c r="AR15" s="129">
        <f t="shared" si="4"/>
        <v>0</v>
      </c>
      <c r="AS15" s="129">
        <f t="shared" si="4"/>
        <v>0</v>
      </c>
      <c r="AT15" s="129">
        <f t="shared" si="4"/>
        <v>0</v>
      </c>
      <c r="AU15" s="129">
        <f t="shared" si="4"/>
        <v>0</v>
      </c>
      <c r="AV15" s="129">
        <f t="shared" si="4"/>
        <v>0</v>
      </c>
      <c r="AW15" s="129">
        <f t="shared" si="4"/>
        <v>0</v>
      </c>
    </row>
    <row r="16" spans="1:49" x14ac:dyDescent="0.2">
      <c r="A16" s="313" t="s">
        <v>332</v>
      </c>
      <c r="B16" s="257">
        <v>0.9</v>
      </c>
      <c r="C16" s="257">
        <v>0.9</v>
      </c>
      <c r="D16" s="257">
        <v>0.9</v>
      </c>
      <c r="E16" s="257">
        <v>0.9</v>
      </c>
      <c r="F16" s="257">
        <v>0.9</v>
      </c>
      <c r="G16" s="257">
        <v>0.9</v>
      </c>
      <c r="H16" s="257">
        <v>0.9</v>
      </c>
      <c r="I16" s="257">
        <v>0.9</v>
      </c>
      <c r="J16" s="257">
        <v>0.9</v>
      </c>
      <c r="K16" s="257">
        <v>0.9</v>
      </c>
      <c r="L16" s="257">
        <v>0.9</v>
      </c>
      <c r="M16" s="257">
        <v>0.9</v>
      </c>
      <c r="N16" s="257">
        <v>0.9</v>
      </c>
      <c r="O16" s="257">
        <v>0.9</v>
      </c>
      <c r="P16" s="257">
        <v>0.9</v>
      </c>
      <c r="Q16" s="257">
        <v>0.9</v>
      </c>
      <c r="R16" s="257">
        <v>0.9</v>
      </c>
      <c r="S16" s="257">
        <v>0.9</v>
      </c>
      <c r="T16" s="257">
        <v>0.9</v>
      </c>
      <c r="U16" s="257">
        <v>0.9</v>
      </c>
      <c r="V16" s="257">
        <v>0.9</v>
      </c>
      <c r="W16" s="257">
        <v>0.9</v>
      </c>
      <c r="X16" s="257">
        <v>0.9</v>
      </c>
      <c r="Y16" s="257">
        <v>0.9</v>
      </c>
      <c r="Z16" s="257">
        <v>0.9</v>
      </c>
      <c r="AA16" s="257">
        <v>0.9</v>
      </c>
      <c r="AB16" s="257">
        <v>0.9</v>
      </c>
      <c r="AC16" s="257">
        <v>0.9</v>
      </c>
      <c r="AD16" s="257">
        <v>0.9</v>
      </c>
      <c r="AE16" s="257">
        <v>0.9</v>
      </c>
      <c r="AF16" s="257">
        <v>0.9</v>
      </c>
      <c r="AG16" s="257">
        <v>0.9</v>
      </c>
      <c r="AH16" s="257">
        <v>0.9</v>
      </c>
      <c r="AI16" s="257">
        <v>0.9</v>
      </c>
      <c r="AJ16" s="257">
        <v>0.9</v>
      </c>
      <c r="AK16" s="257">
        <v>0.9</v>
      </c>
      <c r="AL16" s="257">
        <v>0.9</v>
      </c>
      <c r="AM16" s="257">
        <v>0.9</v>
      </c>
      <c r="AN16" s="257">
        <v>0.9</v>
      </c>
      <c r="AO16" s="257">
        <v>0.9</v>
      </c>
      <c r="AP16" s="257">
        <v>0.9</v>
      </c>
      <c r="AQ16" s="257">
        <v>0.9</v>
      </c>
      <c r="AR16" s="257">
        <v>0.9</v>
      </c>
      <c r="AS16" s="257">
        <v>0.9</v>
      </c>
      <c r="AT16" s="257">
        <v>0.9</v>
      </c>
      <c r="AU16" s="257">
        <v>0.9</v>
      </c>
      <c r="AV16" s="257">
        <v>0.9</v>
      </c>
      <c r="AW16" s="257">
        <v>0.9</v>
      </c>
    </row>
    <row r="17" spans="1:49" x14ac:dyDescent="0.2">
      <c r="A17" s="308"/>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row>
    <row r="18" spans="1:49" x14ac:dyDescent="0.2">
      <c r="A18" s="112" t="s">
        <v>361</v>
      </c>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row>
    <row r="19" spans="1:49" x14ac:dyDescent="0.2">
      <c r="A19" s="123" t="s">
        <v>460</v>
      </c>
      <c r="B19" s="129">
        <v>203</v>
      </c>
      <c r="C19" s="129">
        <v>191</v>
      </c>
      <c r="D19" s="129">
        <v>286</v>
      </c>
      <c r="E19" s="129">
        <v>280</v>
      </c>
      <c r="F19" s="129">
        <v>266</v>
      </c>
      <c r="G19" s="129">
        <v>312</v>
      </c>
      <c r="H19" s="129">
        <v>593</v>
      </c>
      <c r="I19" s="129">
        <v>514</v>
      </c>
      <c r="J19" s="129">
        <v>356</v>
      </c>
      <c r="K19" s="129">
        <v>527</v>
      </c>
      <c r="L19" s="129">
        <v>515</v>
      </c>
      <c r="M19" s="129">
        <v>479</v>
      </c>
      <c r="N19" s="129">
        <v>433</v>
      </c>
      <c r="O19" s="129">
        <v>552</v>
      </c>
      <c r="P19" s="129">
        <v>495</v>
      </c>
      <c r="Q19" s="129">
        <v>469</v>
      </c>
      <c r="R19" s="129">
        <v>567</v>
      </c>
      <c r="S19" s="129">
        <v>531</v>
      </c>
      <c r="T19" s="129">
        <v>541</v>
      </c>
      <c r="U19" s="129">
        <v>629</v>
      </c>
      <c r="V19" s="129">
        <v>428</v>
      </c>
      <c r="W19" s="129">
        <v>581</v>
      </c>
      <c r="X19" s="129">
        <v>516</v>
      </c>
      <c r="Y19" s="129">
        <v>563</v>
      </c>
      <c r="Z19" s="129">
        <v>487</v>
      </c>
      <c r="AA19" s="129">
        <v>682</v>
      </c>
      <c r="AB19" s="129">
        <v>782</v>
      </c>
      <c r="AC19" s="129">
        <v>630</v>
      </c>
      <c r="AD19" s="129">
        <v>653</v>
      </c>
      <c r="AE19" s="129"/>
      <c r="AF19" s="129"/>
      <c r="AG19" s="129"/>
      <c r="AH19" s="129"/>
      <c r="AI19" s="129"/>
      <c r="AJ19" s="129"/>
      <c r="AK19" s="129"/>
      <c r="AL19" s="129"/>
      <c r="AM19" s="129"/>
      <c r="AN19" s="129"/>
      <c r="AO19" s="129"/>
      <c r="AP19" s="129"/>
      <c r="AQ19" s="129"/>
      <c r="AR19" s="129"/>
      <c r="AS19" s="129"/>
      <c r="AT19" s="129"/>
      <c r="AU19" s="129"/>
      <c r="AV19" s="129"/>
      <c r="AW19" s="129"/>
    </row>
    <row r="20" spans="1:49" ht="25.5" x14ac:dyDescent="0.2">
      <c r="A20" s="123" t="s">
        <v>461</v>
      </c>
      <c r="B20" s="129">
        <f t="shared" ref="B20:AW20" si="5">B19-B21</f>
        <v>80</v>
      </c>
      <c r="C20" s="129">
        <f t="shared" si="5"/>
        <v>84</v>
      </c>
      <c r="D20" s="129">
        <f t="shared" si="5"/>
        <v>113</v>
      </c>
      <c r="E20" s="129">
        <f t="shared" si="5"/>
        <v>126</v>
      </c>
      <c r="F20" s="129">
        <f t="shared" si="5"/>
        <v>122</v>
      </c>
      <c r="G20" s="129">
        <f t="shared" si="5"/>
        <v>148</v>
      </c>
      <c r="H20" s="129">
        <f t="shared" si="5"/>
        <v>401</v>
      </c>
      <c r="I20" s="129">
        <f t="shared" si="5"/>
        <v>356</v>
      </c>
      <c r="J20" s="129">
        <f t="shared" si="5"/>
        <v>260</v>
      </c>
      <c r="K20" s="301">
        <f t="shared" si="5"/>
        <v>349</v>
      </c>
      <c r="L20" s="129">
        <f t="shared" si="5"/>
        <v>363</v>
      </c>
      <c r="M20" s="129">
        <f t="shared" si="5"/>
        <v>345</v>
      </c>
      <c r="N20" s="129">
        <f t="shared" si="5"/>
        <v>311</v>
      </c>
      <c r="O20" s="129">
        <f t="shared" si="5"/>
        <v>381</v>
      </c>
      <c r="P20" s="129">
        <f t="shared" si="5"/>
        <v>337</v>
      </c>
      <c r="Q20" s="129">
        <f t="shared" si="5"/>
        <v>337</v>
      </c>
      <c r="R20" s="129">
        <f t="shared" si="5"/>
        <v>410</v>
      </c>
      <c r="S20" s="129">
        <f t="shared" si="5"/>
        <v>401</v>
      </c>
      <c r="T20" s="129">
        <f t="shared" si="5"/>
        <v>326</v>
      </c>
      <c r="U20" s="129">
        <f t="shared" si="5"/>
        <v>384</v>
      </c>
      <c r="V20" s="129">
        <f t="shared" si="5"/>
        <v>313</v>
      </c>
      <c r="W20" s="129">
        <f t="shared" si="5"/>
        <v>379</v>
      </c>
      <c r="X20" s="129">
        <f t="shared" si="5"/>
        <v>341</v>
      </c>
      <c r="Y20" s="129">
        <f t="shared" si="5"/>
        <v>386</v>
      </c>
      <c r="Z20" s="129">
        <f t="shared" si="5"/>
        <v>292</v>
      </c>
      <c r="AA20" s="129">
        <f t="shared" si="5"/>
        <v>440</v>
      </c>
      <c r="AB20" s="129">
        <f t="shared" si="5"/>
        <v>528</v>
      </c>
      <c r="AC20" s="129">
        <f t="shared" si="5"/>
        <v>421</v>
      </c>
      <c r="AD20" s="129">
        <f t="shared" si="5"/>
        <v>398</v>
      </c>
      <c r="AE20" s="129">
        <f t="shared" si="5"/>
        <v>0</v>
      </c>
      <c r="AF20" s="129">
        <f t="shared" si="5"/>
        <v>0</v>
      </c>
      <c r="AG20" s="129">
        <f t="shared" si="5"/>
        <v>0</v>
      </c>
      <c r="AH20" s="129">
        <f t="shared" si="5"/>
        <v>0</v>
      </c>
      <c r="AI20" s="129">
        <f t="shared" si="5"/>
        <v>0</v>
      </c>
      <c r="AJ20" s="129">
        <f t="shared" si="5"/>
        <v>0</v>
      </c>
      <c r="AK20" s="129">
        <f t="shared" si="5"/>
        <v>0</v>
      </c>
      <c r="AL20" s="129">
        <f t="shared" si="5"/>
        <v>0</v>
      </c>
      <c r="AM20" s="129">
        <f t="shared" si="5"/>
        <v>0</v>
      </c>
      <c r="AN20" s="129">
        <f t="shared" si="5"/>
        <v>0</v>
      </c>
      <c r="AO20" s="129">
        <f t="shared" si="5"/>
        <v>0</v>
      </c>
      <c r="AP20" s="129">
        <f t="shared" si="5"/>
        <v>0</v>
      </c>
      <c r="AQ20" s="129">
        <f t="shared" si="5"/>
        <v>0</v>
      </c>
      <c r="AR20" s="129">
        <f t="shared" si="5"/>
        <v>0</v>
      </c>
      <c r="AS20" s="129">
        <f t="shared" si="5"/>
        <v>0</v>
      </c>
      <c r="AT20" s="129">
        <f t="shared" si="5"/>
        <v>0</v>
      </c>
      <c r="AU20" s="129">
        <f t="shared" si="5"/>
        <v>0</v>
      </c>
      <c r="AV20" s="129">
        <f t="shared" si="5"/>
        <v>0</v>
      </c>
      <c r="AW20" s="129">
        <f t="shared" si="5"/>
        <v>0</v>
      </c>
    </row>
    <row r="21" spans="1:49" ht="25.5" x14ac:dyDescent="0.2">
      <c r="A21" s="123" t="s">
        <v>462</v>
      </c>
      <c r="B21" s="129">
        <v>123</v>
      </c>
      <c r="C21" s="129">
        <v>107</v>
      </c>
      <c r="D21" s="129">
        <v>173</v>
      </c>
      <c r="E21" s="129">
        <v>154</v>
      </c>
      <c r="F21" s="129">
        <v>144</v>
      </c>
      <c r="G21" s="129">
        <v>164</v>
      </c>
      <c r="H21" s="129">
        <v>192</v>
      </c>
      <c r="I21" s="129">
        <v>158</v>
      </c>
      <c r="J21" s="129">
        <v>96</v>
      </c>
      <c r="K21" s="301">
        <v>178</v>
      </c>
      <c r="L21" s="129">
        <v>152</v>
      </c>
      <c r="M21" s="129">
        <v>134</v>
      </c>
      <c r="N21" s="129">
        <v>122</v>
      </c>
      <c r="O21" s="129">
        <v>171</v>
      </c>
      <c r="P21" s="129">
        <v>158</v>
      </c>
      <c r="Q21" s="129">
        <v>132</v>
      </c>
      <c r="R21" s="129">
        <v>157</v>
      </c>
      <c r="S21" s="129">
        <v>130</v>
      </c>
      <c r="T21" s="129">
        <v>215</v>
      </c>
      <c r="U21" s="129">
        <v>245</v>
      </c>
      <c r="V21" s="129">
        <v>115</v>
      </c>
      <c r="W21" s="129">
        <v>202</v>
      </c>
      <c r="X21" s="129">
        <v>175</v>
      </c>
      <c r="Y21" s="129">
        <v>177</v>
      </c>
      <c r="Z21" s="129">
        <v>195</v>
      </c>
      <c r="AA21" s="129">
        <v>242</v>
      </c>
      <c r="AB21" s="129">
        <v>254</v>
      </c>
      <c r="AC21" s="129">
        <v>209</v>
      </c>
      <c r="AD21" s="129">
        <v>255</v>
      </c>
      <c r="AE21" s="129"/>
      <c r="AF21" s="129"/>
      <c r="AG21" s="129"/>
      <c r="AH21" s="129"/>
      <c r="AI21" s="301"/>
      <c r="AJ21" s="129"/>
      <c r="AK21" s="129"/>
      <c r="AL21" s="129"/>
      <c r="AM21" s="129"/>
      <c r="AN21" s="129"/>
      <c r="AO21" s="129"/>
      <c r="AP21" s="129"/>
      <c r="AQ21" s="129"/>
      <c r="AR21" s="129"/>
      <c r="AS21" s="129"/>
      <c r="AT21" s="129"/>
      <c r="AU21" s="129"/>
      <c r="AV21" s="129"/>
      <c r="AW21" s="129"/>
    </row>
    <row r="22" spans="1:49" x14ac:dyDescent="0.2">
      <c r="A22" s="125" t="s">
        <v>362</v>
      </c>
      <c r="B22" s="126">
        <f>B20/B19</f>
        <v>0.39408866995073893</v>
      </c>
      <c r="C22" s="126">
        <f t="shared" ref="C22:Y22" si="6">C20/C19</f>
        <v>0.43979057591623039</v>
      </c>
      <c r="D22" s="126">
        <f t="shared" si="6"/>
        <v>0.3951048951048951</v>
      </c>
      <c r="E22" s="126">
        <f t="shared" si="6"/>
        <v>0.45</v>
      </c>
      <c r="F22" s="126">
        <f t="shared" si="6"/>
        <v>0.45864661654135336</v>
      </c>
      <c r="G22" s="126">
        <f t="shared" si="6"/>
        <v>0.47435897435897434</v>
      </c>
      <c r="H22" s="132">
        <f t="shared" si="6"/>
        <v>0.67622259696458686</v>
      </c>
      <c r="I22" s="126">
        <f t="shared" si="6"/>
        <v>0.69260700389105057</v>
      </c>
      <c r="J22" s="126">
        <f t="shared" si="6"/>
        <v>0.7303370786516854</v>
      </c>
      <c r="K22" s="126">
        <f t="shared" si="6"/>
        <v>0.66223908918406071</v>
      </c>
      <c r="L22" s="126">
        <f t="shared" si="6"/>
        <v>0.70485436893203879</v>
      </c>
      <c r="M22" s="126">
        <f t="shared" si="6"/>
        <v>0.72025052192066807</v>
      </c>
      <c r="N22" s="126">
        <f t="shared" si="6"/>
        <v>0.71824480369515009</v>
      </c>
      <c r="O22" s="126">
        <f t="shared" si="6"/>
        <v>0.69021739130434778</v>
      </c>
      <c r="P22" s="126">
        <f t="shared" si="6"/>
        <v>0.68080808080808086</v>
      </c>
      <c r="Q22" s="126">
        <f t="shared" si="6"/>
        <v>0.71855010660980811</v>
      </c>
      <c r="R22" s="126">
        <f t="shared" si="6"/>
        <v>0.72310405643738973</v>
      </c>
      <c r="S22" s="126">
        <f t="shared" si="6"/>
        <v>0.7551789077212806</v>
      </c>
      <c r="T22" s="126">
        <f t="shared" si="6"/>
        <v>0.60258780036968573</v>
      </c>
      <c r="U22" s="126">
        <f t="shared" si="6"/>
        <v>0.61049284578696339</v>
      </c>
      <c r="V22" s="126">
        <f t="shared" si="6"/>
        <v>0.73130841121495327</v>
      </c>
      <c r="W22" s="126">
        <f t="shared" si="6"/>
        <v>0.65232358003442337</v>
      </c>
      <c r="X22" s="126">
        <f t="shared" si="6"/>
        <v>0.66085271317829453</v>
      </c>
      <c r="Y22" s="126">
        <f t="shared" si="6"/>
        <v>0.68561278863232678</v>
      </c>
      <c r="Z22" s="126">
        <f t="shared" ref="Z22:AW22" si="7">Z20/Z19</f>
        <v>0.59958932238193019</v>
      </c>
      <c r="AA22" s="126">
        <f t="shared" si="7"/>
        <v>0.64516129032258063</v>
      </c>
      <c r="AB22" s="126">
        <f t="shared" si="7"/>
        <v>0.67519181585677746</v>
      </c>
      <c r="AC22" s="126">
        <f t="shared" si="7"/>
        <v>0.66825396825396821</v>
      </c>
      <c r="AD22" s="126">
        <f t="shared" si="7"/>
        <v>0.60949464012251153</v>
      </c>
      <c r="AE22" s="126" t="e">
        <f t="shared" si="7"/>
        <v>#DIV/0!</v>
      </c>
      <c r="AF22" s="126" t="e">
        <f t="shared" si="7"/>
        <v>#DIV/0!</v>
      </c>
      <c r="AG22" s="126" t="e">
        <f t="shared" si="7"/>
        <v>#DIV/0!</v>
      </c>
      <c r="AH22" s="126" t="e">
        <f t="shared" si="7"/>
        <v>#DIV/0!</v>
      </c>
      <c r="AI22" s="126" t="e">
        <f t="shared" si="7"/>
        <v>#DIV/0!</v>
      </c>
      <c r="AJ22" s="126" t="e">
        <f t="shared" si="7"/>
        <v>#DIV/0!</v>
      </c>
      <c r="AK22" s="126" t="e">
        <f t="shared" si="7"/>
        <v>#DIV/0!</v>
      </c>
      <c r="AL22" s="126" t="e">
        <f t="shared" si="7"/>
        <v>#DIV/0!</v>
      </c>
      <c r="AM22" s="126" t="e">
        <f t="shared" si="7"/>
        <v>#DIV/0!</v>
      </c>
      <c r="AN22" s="126" t="e">
        <f t="shared" si="7"/>
        <v>#DIV/0!</v>
      </c>
      <c r="AO22" s="126" t="e">
        <f t="shared" si="7"/>
        <v>#DIV/0!</v>
      </c>
      <c r="AP22" s="126" t="e">
        <f t="shared" si="7"/>
        <v>#DIV/0!</v>
      </c>
      <c r="AQ22" s="126" t="e">
        <f t="shared" si="7"/>
        <v>#DIV/0!</v>
      </c>
      <c r="AR22" s="126" t="e">
        <f t="shared" si="7"/>
        <v>#DIV/0!</v>
      </c>
      <c r="AS22" s="126" t="e">
        <f t="shared" si="7"/>
        <v>#DIV/0!</v>
      </c>
      <c r="AT22" s="126" t="e">
        <f t="shared" si="7"/>
        <v>#DIV/0!</v>
      </c>
      <c r="AU22" s="126" t="e">
        <f t="shared" si="7"/>
        <v>#DIV/0!</v>
      </c>
      <c r="AV22" s="126" t="e">
        <f t="shared" si="7"/>
        <v>#DIV/0!</v>
      </c>
      <c r="AW22" s="126" t="e">
        <f t="shared" si="7"/>
        <v>#DIV/0!</v>
      </c>
    </row>
    <row r="23" spans="1:49" x14ac:dyDescent="0.2">
      <c r="A23" s="123" t="s">
        <v>363</v>
      </c>
      <c r="B23" s="130">
        <f>1-B22</f>
        <v>0.60591133004926112</v>
      </c>
      <c r="C23" s="130">
        <f t="shared" ref="C23:Y23" si="8">1-C22</f>
        <v>0.56020942408376961</v>
      </c>
      <c r="D23" s="130">
        <f t="shared" si="8"/>
        <v>0.6048951048951049</v>
      </c>
      <c r="E23" s="130">
        <f t="shared" si="8"/>
        <v>0.55000000000000004</v>
      </c>
      <c r="F23" s="130">
        <f t="shared" si="8"/>
        <v>0.54135338345864659</v>
      </c>
      <c r="G23" s="130">
        <f t="shared" si="8"/>
        <v>0.52564102564102566</v>
      </c>
      <c r="H23" s="130">
        <f t="shared" si="8"/>
        <v>0.32377740303541314</v>
      </c>
      <c r="I23" s="130">
        <f t="shared" si="8"/>
        <v>0.30739299610894943</v>
      </c>
      <c r="J23" s="130">
        <f t="shared" si="8"/>
        <v>0.2696629213483146</v>
      </c>
      <c r="K23" s="130">
        <f t="shared" si="8"/>
        <v>0.33776091081593929</v>
      </c>
      <c r="L23" s="130">
        <f t="shared" si="8"/>
        <v>0.29514563106796121</v>
      </c>
      <c r="M23" s="130">
        <f t="shared" si="8"/>
        <v>0.27974947807933193</v>
      </c>
      <c r="N23" s="130">
        <f t="shared" si="8"/>
        <v>0.28175519630484991</v>
      </c>
      <c r="O23" s="130">
        <f t="shared" si="8"/>
        <v>0.30978260869565222</v>
      </c>
      <c r="P23" s="130">
        <f t="shared" si="8"/>
        <v>0.31919191919191914</v>
      </c>
      <c r="Q23" s="130">
        <f t="shared" si="8"/>
        <v>0.28144989339019189</v>
      </c>
      <c r="R23" s="130">
        <f t="shared" si="8"/>
        <v>0.27689594356261027</v>
      </c>
      <c r="S23" s="130">
        <f t="shared" si="8"/>
        <v>0.2448210922787194</v>
      </c>
      <c r="T23" s="130">
        <f t="shared" si="8"/>
        <v>0.39741219963031427</v>
      </c>
      <c r="U23" s="130">
        <f t="shared" si="8"/>
        <v>0.38950715421303661</v>
      </c>
      <c r="V23" s="130">
        <f t="shared" si="8"/>
        <v>0.26869158878504673</v>
      </c>
      <c r="W23" s="130">
        <f t="shared" si="8"/>
        <v>0.34767641996557663</v>
      </c>
      <c r="X23" s="130">
        <f t="shared" si="8"/>
        <v>0.33914728682170547</v>
      </c>
      <c r="Y23" s="130">
        <f t="shared" si="8"/>
        <v>0.31438721136767322</v>
      </c>
      <c r="Z23" s="130">
        <f t="shared" ref="Z23:AW23" si="9">1-Z22</f>
        <v>0.40041067761806981</v>
      </c>
      <c r="AA23" s="130">
        <f t="shared" si="9"/>
        <v>0.35483870967741937</v>
      </c>
      <c r="AB23" s="130">
        <f t="shared" si="9"/>
        <v>0.32480818414322254</v>
      </c>
      <c r="AC23" s="130">
        <f t="shared" si="9"/>
        <v>0.33174603174603179</v>
      </c>
      <c r="AD23" s="130">
        <f t="shared" si="9"/>
        <v>0.39050535987748847</v>
      </c>
      <c r="AE23" s="130" t="e">
        <f t="shared" si="9"/>
        <v>#DIV/0!</v>
      </c>
      <c r="AF23" s="130" t="e">
        <f t="shared" si="9"/>
        <v>#DIV/0!</v>
      </c>
      <c r="AG23" s="130" t="e">
        <f t="shared" si="9"/>
        <v>#DIV/0!</v>
      </c>
      <c r="AH23" s="130" t="e">
        <f t="shared" si="9"/>
        <v>#DIV/0!</v>
      </c>
      <c r="AI23" s="130" t="e">
        <f t="shared" si="9"/>
        <v>#DIV/0!</v>
      </c>
      <c r="AJ23" s="130" t="e">
        <f t="shared" si="9"/>
        <v>#DIV/0!</v>
      </c>
      <c r="AK23" s="130" t="e">
        <f t="shared" si="9"/>
        <v>#DIV/0!</v>
      </c>
      <c r="AL23" s="130" t="e">
        <f t="shared" si="9"/>
        <v>#DIV/0!</v>
      </c>
      <c r="AM23" s="130" t="e">
        <f t="shared" si="9"/>
        <v>#DIV/0!</v>
      </c>
      <c r="AN23" s="130" t="e">
        <f t="shared" si="9"/>
        <v>#DIV/0!</v>
      </c>
      <c r="AO23" s="130" t="e">
        <f t="shared" si="9"/>
        <v>#DIV/0!</v>
      </c>
      <c r="AP23" s="130" t="e">
        <f t="shared" si="9"/>
        <v>#DIV/0!</v>
      </c>
      <c r="AQ23" s="130" t="e">
        <f t="shared" si="9"/>
        <v>#DIV/0!</v>
      </c>
      <c r="AR23" s="130" t="e">
        <f t="shared" si="9"/>
        <v>#DIV/0!</v>
      </c>
      <c r="AS23" s="130" t="e">
        <f t="shared" si="9"/>
        <v>#DIV/0!</v>
      </c>
      <c r="AT23" s="130" t="e">
        <f t="shared" si="9"/>
        <v>#DIV/0!</v>
      </c>
      <c r="AU23" s="130" t="e">
        <f t="shared" si="9"/>
        <v>#DIV/0!</v>
      </c>
      <c r="AV23" s="130" t="e">
        <f t="shared" si="9"/>
        <v>#DIV/0!</v>
      </c>
      <c r="AW23" s="130" t="e">
        <f t="shared" si="9"/>
        <v>#DIV/0!</v>
      </c>
    </row>
    <row r="24" spans="1:49" x14ac:dyDescent="0.2">
      <c r="A24" s="114"/>
      <c r="B24" s="115"/>
      <c r="C24" s="115"/>
      <c r="D24" s="115"/>
      <c r="E24" s="115"/>
      <c r="F24" s="115"/>
      <c r="G24" s="115"/>
      <c r="H24" s="115"/>
      <c r="I24" s="115"/>
      <c r="J24" s="115"/>
      <c r="K24" s="115"/>
      <c r="L24" s="115"/>
      <c r="M24" s="115"/>
      <c r="N24" s="115"/>
      <c r="O24" s="115"/>
      <c r="P24" s="115"/>
      <c r="Q24" s="115"/>
      <c r="R24" s="113"/>
      <c r="S24" s="113"/>
      <c r="T24" s="113"/>
      <c r="U24" s="113"/>
      <c r="V24" s="113"/>
      <c r="W24" s="113"/>
      <c r="X24" s="113"/>
      <c r="Y24" s="113"/>
      <c r="Z24" s="115"/>
      <c r="AA24" s="115"/>
      <c r="AB24" s="115"/>
      <c r="AC24" s="115"/>
      <c r="AD24" s="115"/>
      <c r="AE24" s="115"/>
      <c r="AF24" s="115"/>
      <c r="AG24" s="115"/>
      <c r="AH24" s="115"/>
      <c r="AI24" s="115"/>
      <c r="AJ24" s="115"/>
      <c r="AK24" s="115"/>
      <c r="AL24" s="115"/>
      <c r="AM24" s="115"/>
      <c r="AN24" s="115"/>
      <c r="AO24" s="115"/>
      <c r="AP24" s="113"/>
      <c r="AQ24" s="113"/>
      <c r="AR24" s="113"/>
      <c r="AS24" s="113"/>
      <c r="AT24" s="113"/>
      <c r="AU24" s="113"/>
      <c r="AV24" s="113"/>
      <c r="AW24" s="113"/>
    </row>
    <row r="25" spans="1:49" x14ac:dyDescent="0.2">
      <c r="A25" s="112" t="s">
        <v>364</v>
      </c>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row>
    <row r="26" spans="1:49" x14ac:dyDescent="0.2">
      <c r="A26" s="133" t="s">
        <v>196</v>
      </c>
      <c r="B26" s="129">
        <v>3190</v>
      </c>
      <c r="C26" s="129">
        <v>3341</v>
      </c>
      <c r="D26" s="129">
        <v>3261</v>
      </c>
      <c r="E26" s="129">
        <v>3219</v>
      </c>
      <c r="F26" s="129">
        <v>3150</v>
      </c>
      <c r="G26" s="129">
        <v>3015</v>
      </c>
      <c r="H26" s="129">
        <v>3457</v>
      </c>
      <c r="I26" s="129">
        <v>3540</v>
      </c>
      <c r="J26" s="129">
        <v>3697</v>
      </c>
      <c r="K26" s="129">
        <v>3426</v>
      </c>
      <c r="L26" s="129">
        <v>3480</v>
      </c>
      <c r="M26" s="129">
        <v>3548</v>
      </c>
      <c r="N26" s="129">
        <v>3707</v>
      </c>
      <c r="O26" s="129">
        <v>3700</v>
      </c>
      <c r="P26" s="129">
        <v>3791</v>
      </c>
      <c r="Q26" s="129">
        <v>3878</v>
      </c>
      <c r="R26" s="129">
        <v>3870</v>
      </c>
      <c r="S26" s="129">
        <v>3939</v>
      </c>
      <c r="T26" s="129">
        <v>4063</v>
      </c>
      <c r="U26" s="129">
        <v>4056</v>
      </c>
      <c r="V26" s="129">
        <v>4154</v>
      </c>
      <c r="W26" s="129">
        <v>4137</v>
      </c>
      <c r="X26" s="129">
        <v>4341</v>
      </c>
      <c r="Y26" s="129">
        <v>4455</v>
      </c>
      <c r="Z26" s="129">
        <v>4416</v>
      </c>
      <c r="AA26" s="129">
        <v>4527</v>
      </c>
      <c r="AB26" s="129">
        <v>4653</v>
      </c>
      <c r="AC26" s="129">
        <v>4913</v>
      </c>
      <c r="AD26" s="129">
        <v>5174</v>
      </c>
      <c r="AE26" s="129"/>
      <c r="AF26" s="129"/>
      <c r="AG26" s="129"/>
      <c r="AH26" s="129"/>
      <c r="AI26" s="129"/>
      <c r="AJ26" s="129"/>
      <c r="AK26" s="129"/>
      <c r="AL26" s="129"/>
      <c r="AM26" s="129"/>
      <c r="AN26" s="129"/>
      <c r="AO26" s="129"/>
      <c r="AP26" s="129"/>
      <c r="AQ26" s="129"/>
      <c r="AR26" s="129"/>
      <c r="AS26" s="129"/>
      <c r="AT26" s="129"/>
      <c r="AU26" s="129"/>
      <c r="AV26" s="129"/>
      <c r="AW26" s="129"/>
    </row>
    <row r="27" spans="1:49" ht="25.5" x14ac:dyDescent="0.2">
      <c r="A27" s="133" t="s">
        <v>463</v>
      </c>
      <c r="B27" s="129">
        <f t="shared" ref="B27:AW27" si="10">B26-B28</f>
        <v>1936</v>
      </c>
      <c r="C27" s="129">
        <f t="shared" si="10"/>
        <v>2084</v>
      </c>
      <c r="D27" s="129">
        <f t="shared" si="10"/>
        <v>2088</v>
      </c>
      <c r="E27" s="129">
        <f t="shared" si="10"/>
        <v>2073</v>
      </c>
      <c r="F27" s="129">
        <f t="shared" si="10"/>
        <v>2042</v>
      </c>
      <c r="G27" s="129">
        <f t="shared" si="10"/>
        <v>1930</v>
      </c>
      <c r="H27" s="129">
        <f t="shared" si="10"/>
        <v>2388</v>
      </c>
      <c r="I27" s="129">
        <f t="shared" si="10"/>
        <v>2555</v>
      </c>
      <c r="J27" s="129">
        <f t="shared" si="10"/>
        <v>2656</v>
      </c>
      <c r="K27" s="129">
        <f t="shared" si="10"/>
        <v>2524</v>
      </c>
      <c r="L27" s="129">
        <f t="shared" si="10"/>
        <v>2588</v>
      </c>
      <c r="M27" s="129">
        <f t="shared" si="10"/>
        <v>2535</v>
      </c>
      <c r="N27" s="129">
        <f t="shared" si="10"/>
        <v>2634</v>
      </c>
      <c r="O27" s="129">
        <f t="shared" si="10"/>
        <v>2625</v>
      </c>
      <c r="P27" s="129">
        <f t="shared" si="10"/>
        <v>2608</v>
      </c>
      <c r="Q27" s="129">
        <f t="shared" si="10"/>
        <v>2586</v>
      </c>
      <c r="R27" s="129">
        <f t="shared" si="10"/>
        <v>2561</v>
      </c>
      <c r="S27" s="129">
        <f t="shared" si="10"/>
        <v>2576</v>
      </c>
      <c r="T27" s="129">
        <f t="shared" si="10"/>
        <v>2726</v>
      </c>
      <c r="U27" s="129">
        <f t="shared" si="10"/>
        <v>2816</v>
      </c>
      <c r="V27" s="129">
        <f t="shared" si="10"/>
        <v>2817</v>
      </c>
      <c r="W27" s="129">
        <f t="shared" si="10"/>
        <v>2799</v>
      </c>
      <c r="X27" s="129">
        <f t="shared" si="10"/>
        <v>3023</v>
      </c>
      <c r="Y27" s="129">
        <f t="shared" si="10"/>
        <v>3101</v>
      </c>
      <c r="Z27" s="129">
        <f t="shared" si="10"/>
        <v>3000</v>
      </c>
      <c r="AA27" s="129">
        <f t="shared" si="10"/>
        <v>3183</v>
      </c>
      <c r="AB27" s="129">
        <f t="shared" si="10"/>
        <v>3235</v>
      </c>
      <c r="AC27" s="129">
        <f t="shared" si="10"/>
        <v>3371</v>
      </c>
      <c r="AD27" s="129">
        <f t="shared" si="10"/>
        <v>3598</v>
      </c>
      <c r="AE27" s="129">
        <f t="shared" si="10"/>
        <v>0</v>
      </c>
      <c r="AF27" s="129">
        <f t="shared" si="10"/>
        <v>0</v>
      </c>
      <c r="AG27" s="129">
        <f t="shared" si="10"/>
        <v>0</v>
      </c>
      <c r="AH27" s="129">
        <f t="shared" si="10"/>
        <v>0</v>
      </c>
      <c r="AI27" s="129">
        <f t="shared" si="10"/>
        <v>0</v>
      </c>
      <c r="AJ27" s="129">
        <f t="shared" si="10"/>
        <v>0</v>
      </c>
      <c r="AK27" s="129">
        <f t="shared" si="10"/>
        <v>0</v>
      </c>
      <c r="AL27" s="129">
        <f t="shared" si="10"/>
        <v>0</v>
      </c>
      <c r="AM27" s="129">
        <f t="shared" si="10"/>
        <v>0</v>
      </c>
      <c r="AN27" s="129">
        <f t="shared" si="10"/>
        <v>0</v>
      </c>
      <c r="AO27" s="129">
        <f t="shared" si="10"/>
        <v>0</v>
      </c>
      <c r="AP27" s="129">
        <f t="shared" si="10"/>
        <v>0</v>
      </c>
      <c r="AQ27" s="129">
        <f t="shared" si="10"/>
        <v>0</v>
      </c>
      <c r="AR27" s="129">
        <f t="shared" si="10"/>
        <v>0</v>
      </c>
      <c r="AS27" s="129">
        <f t="shared" si="10"/>
        <v>0</v>
      </c>
      <c r="AT27" s="129">
        <f t="shared" si="10"/>
        <v>0</v>
      </c>
      <c r="AU27" s="129">
        <f t="shared" si="10"/>
        <v>0</v>
      </c>
      <c r="AV27" s="129">
        <f t="shared" si="10"/>
        <v>0</v>
      </c>
      <c r="AW27" s="129">
        <f t="shared" si="10"/>
        <v>0</v>
      </c>
    </row>
    <row r="28" spans="1:49" ht="25.5" x14ac:dyDescent="0.2">
      <c r="A28" s="133" t="s">
        <v>464</v>
      </c>
      <c r="B28" s="129">
        <v>1254</v>
      </c>
      <c r="C28" s="129">
        <v>1257</v>
      </c>
      <c r="D28" s="129">
        <v>1173</v>
      </c>
      <c r="E28" s="129">
        <v>1146</v>
      </c>
      <c r="F28" s="129">
        <v>1108</v>
      </c>
      <c r="G28" s="129">
        <v>1085</v>
      </c>
      <c r="H28" s="129">
        <v>1069</v>
      </c>
      <c r="I28" s="129">
        <v>985</v>
      </c>
      <c r="J28" s="129">
        <v>1041</v>
      </c>
      <c r="K28" s="129">
        <v>902</v>
      </c>
      <c r="L28" s="129">
        <v>892</v>
      </c>
      <c r="M28" s="129">
        <v>1013</v>
      </c>
      <c r="N28" s="129">
        <v>1073</v>
      </c>
      <c r="O28" s="129">
        <v>1075</v>
      </c>
      <c r="P28" s="129">
        <v>1183</v>
      </c>
      <c r="Q28" s="129">
        <v>1292</v>
      </c>
      <c r="R28" s="129">
        <v>1309</v>
      </c>
      <c r="S28" s="129">
        <v>1363</v>
      </c>
      <c r="T28" s="129">
        <v>1337</v>
      </c>
      <c r="U28" s="129">
        <v>1240</v>
      </c>
      <c r="V28" s="129">
        <v>1337</v>
      </c>
      <c r="W28" s="129">
        <v>1338</v>
      </c>
      <c r="X28" s="129">
        <v>1318</v>
      </c>
      <c r="Y28" s="129">
        <v>1354</v>
      </c>
      <c r="Z28" s="129">
        <v>1416</v>
      </c>
      <c r="AA28" s="129">
        <v>1344</v>
      </c>
      <c r="AB28" s="129">
        <v>1418</v>
      </c>
      <c r="AC28" s="129">
        <v>1542</v>
      </c>
      <c r="AD28" s="129">
        <v>1576</v>
      </c>
      <c r="AE28" s="129"/>
      <c r="AF28" s="129"/>
      <c r="AG28" s="129"/>
      <c r="AH28" s="129"/>
      <c r="AI28" s="129"/>
      <c r="AJ28" s="129"/>
      <c r="AK28" s="129"/>
      <c r="AL28" s="129"/>
      <c r="AM28" s="129"/>
      <c r="AN28" s="129"/>
      <c r="AO28" s="129"/>
      <c r="AP28" s="129"/>
      <c r="AQ28" s="129"/>
      <c r="AR28" s="129"/>
      <c r="AS28" s="129"/>
      <c r="AT28" s="129"/>
      <c r="AU28" s="129"/>
      <c r="AV28" s="129"/>
      <c r="AW28" s="129"/>
    </row>
    <row r="29" spans="1:49" x14ac:dyDescent="0.2">
      <c r="A29" s="133" t="s">
        <v>362</v>
      </c>
      <c r="B29" s="130">
        <f t="shared" ref="B29:Y29" si="11">1-(B28/B26)</f>
        <v>0.60689655172413792</v>
      </c>
      <c r="C29" s="130">
        <f t="shared" si="11"/>
        <v>0.62376533971864712</v>
      </c>
      <c r="D29" s="130">
        <f t="shared" si="11"/>
        <v>0.64029438822447104</v>
      </c>
      <c r="E29" s="130">
        <f t="shared" si="11"/>
        <v>0.64398881640260952</v>
      </c>
      <c r="F29" s="130">
        <f t="shared" si="11"/>
        <v>0.6482539682539683</v>
      </c>
      <c r="G29" s="130">
        <f t="shared" si="11"/>
        <v>0.64013266998341622</v>
      </c>
      <c r="H29" s="130">
        <f t="shared" si="11"/>
        <v>0.69077234596470927</v>
      </c>
      <c r="I29" s="130">
        <f t="shared" si="11"/>
        <v>0.72175141242937846</v>
      </c>
      <c r="J29" s="130">
        <f t="shared" si="11"/>
        <v>0.71842034081687856</v>
      </c>
      <c r="K29" s="130">
        <f t="shared" si="11"/>
        <v>0.7367192060712201</v>
      </c>
      <c r="L29" s="130">
        <f t="shared" si="11"/>
        <v>0.7436781609195402</v>
      </c>
      <c r="M29" s="130">
        <f t="shared" si="11"/>
        <v>0.71448703494926713</v>
      </c>
      <c r="N29" s="130">
        <f t="shared" si="11"/>
        <v>0.71054761262476396</v>
      </c>
      <c r="O29" s="130">
        <f t="shared" si="11"/>
        <v>0.70945945945945943</v>
      </c>
      <c r="P29" s="130">
        <f t="shared" si="11"/>
        <v>0.68794513321023476</v>
      </c>
      <c r="Q29" s="130">
        <f t="shared" si="11"/>
        <v>0.66683857658586898</v>
      </c>
      <c r="R29" s="130">
        <f t="shared" si="11"/>
        <v>0.6617571059431524</v>
      </c>
      <c r="S29" s="130">
        <f t="shared" si="11"/>
        <v>0.65397308961665401</v>
      </c>
      <c r="T29" s="130">
        <f t="shared" si="11"/>
        <v>0.67093280826975144</v>
      </c>
      <c r="U29" s="130">
        <f t="shared" si="11"/>
        <v>0.6942800788954635</v>
      </c>
      <c r="V29" s="130">
        <f t="shared" si="11"/>
        <v>0.67814155031295131</v>
      </c>
      <c r="W29" s="130">
        <f t="shared" si="11"/>
        <v>0.67657722987672231</v>
      </c>
      <c r="X29" s="130">
        <f t="shared" si="11"/>
        <v>0.69638332181524998</v>
      </c>
      <c r="Y29" s="130">
        <f t="shared" si="11"/>
        <v>0.69607182940516266</v>
      </c>
      <c r="Z29" s="130">
        <f t="shared" ref="Z29:AW29" si="12">1-(Z28/Z26)</f>
        <v>0.67934782608695654</v>
      </c>
      <c r="AA29" s="130">
        <f t="shared" si="12"/>
        <v>0.7031146454605699</v>
      </c>
      <c r="AB29" s="130">
        <f t="shared" si="12"/>
        <v>0.69525037610143992</v>
      </c>
      <c r="AC29" s="130">
        <f t="shared" si="12"/>
        <v>0.68613881538774679</v>
      </c>
      <c r="AD29" s="130">
        <f t="shared" si="12"/>
        <v>0.69540007730962505</v>
      </c>
      <c r="AE29" s="130" t="e">
        <f t="shared" si="12"/>
        <v>#DIV/0!</v>
      </c>
      <c r="AF29" s="130" t="e">
        <f t="shared" si="12"/>
        <v>#DIV/0!</v>
      </c>
      <c r="AG29" s="130" t="e">
        <f t="shared" si="12"/>
        <v>#DIV/0!</v>
      </c>
      <c r="AH29" s="130" t="e">
        <f t="shared" si="12"/>
        <v>#DIV/0!</v>
      </c>
      <c r="AI29" s="130" t="e">
        <f t="shared" si="12"/>
        <v>#DIV/0!</v>
      </c>
      <c r="AJ29" s="130" t="e">
        <f t="shared" si="12"/>
        <v>#DIV/0!</v>
      </c>
      <c r="AK29" s="130" t="e">
        <f t="shared" si="12"/>
        <v>#DIV/0!</v>
      </c>
      <c r="AL29" s="130" t="e">
        <f t="shared" si="12"/>
        <v>#DIV/0!</v>
      </c>
      <c r="AM29" s="130" t="e">
        <f t="shared" si="12"/>
        <v>#DIV/0!</v>
      </c>
      <c r="AN29" s="130" t="e">
        <f t="shared" si="12"/>
        <v>#DIV/0!</v>
      </c>
      <c r="AO29" s="130" t="e">
        <f t="shared" si="12"/>
        <v>#DIV/0!</v>
      </c>
      <c r="AP29" s="130" t="e">
        <f t="shared" si="12"/>
        <v>#DIV/0!</v>
      </c>
      <c r="AQ29" s="130" t="e">
        <f t="shared" si="12"/>
        <v>#DIV/0!</v>
      </c>
      <c r="AR29" s="130" t="e">
        <f t="shared" si="12"/>
        <v>#DIV/0!</v>
      </c>
      <c r="AS29" s="130" t="e">
        <f t="shared" si="12"/>
        <v>#DIV/0!</v>
      </c>
      <c r="AT29" s="130" t="e">
        <f t="shared" si="12"/>
        <v>#DIV/0!</v>
      </c>
      <c r="AU29" s="130" t="e">
        <f t="shared" si="12"/>
        <v>#DIV/0!</v>
      </c>
      <c r="AV29" s="130" t="e">
        <f t="shared" si="12"/>
        <v>#DIV/0!</v>
      </c>
      <c r="AW29" s="130" t="e">
        <f t="shared" si="12"/>
        <v>#DIV/0!</v>
      </c>
    </row>
    <row r="30" spans="1:49" x14ac:dyDescent="0.2">
      <c r="A30" s="133" t="s">
        <v>363</v>
      </c>
      <c r="B30" s="130">
        <f t="shared" ref="B30:Y30" si="13">1-(B27/B26)</f>
        <v>0.39310344827586208</v>
      </c>
      <c r="C30" s="130">
        <f t="shared" si="13"/>
        <v>0.37623466028135288</v>
      </c>
      <c r="D30" s="130">
        <f t="shared" si="13"/>
        <v>0.35970561177552896</v>
      </c>
      <c r="E30" s="130">
        <f t="shared" si="13"/>
        <v>0.35601118359739048</v>
      </c>
      <c r="F30" s="130">
        <f t="shared" si="13"/>
        <v>0.3517460317460317</v>
      </c>
      <c r="G30" s="130">
        <f t="shared" si="13"/>
        <v>0.35986733001658378</v>
      </c>
      <c r="H30" s="130">
        <f t="shared" si="13"/>
        <v>0.30922765403529073</v>
      </c>
      <c r="I30" s="130">
        <f t="shared" si="13"/>
        <v>0.27824858757062143</v>
      </c>
      <c r="J30" s="130">
        <f t="shared" si="13"/>
        <v>0.28157965918312144</v>
      </c>
      <c r="K30" s="130">
        <f t="shared" si="13"/>
        <v>0.2632807939287799</v>
      </c>
      <c r="L30" s="130">
        <f t="shared" si="13"/>
        <v>0.2563218390804598</v>
      </c>
      <c r="M30" s="130">
        <f t="shared" si="13"/>
        <v>0.28551296505073276</v>
      </c>
      <c r="N30" s="130">
        <f t="shared" si="13"/>
        <v>0.28945238737523604</v>
      </c>
      <c r="O30" s="130">
        <f t="shared" si="13"/>
        <v>0.29054054054054057</v>
      </c>
      <c r="P30" s="130">
        <f t="shared" si="13"/>
        <v>0.31205486678976524</v>
      </c>
      <c r="Q30" s="130">
        <f t="shared" si="13"/>
        <v>0.33316142341413102</v>
      </c>
      <c r="R30" s="130">
        <f t="shared" si="13"/>
        <v>0.3382428940568476</v>
      </c>
      <c r="S30" s="130">
        <f t="shared" si="13"/>
        <v>0.34602691038334599</v>
      </c>
      <c r="T30" s="130">
        <f t="shared" si="13"/>
        <v>0.32906719173024856</v>
      </c>
      <c r="U30" s="130">
        <f t="shared" si="13"/>
        <v>0.3057199211045365</v>
      </c>
      <c r="V30" s="130">
        <f t="shared" si="13"/>
        <v>0.32185844968704858</v>
      </c>
      <c r="W30" s="130">
        <f t="shared" si="13"/>
        <v>0.32342277012327769</v>
      </c>
      <c r="X30" s="130">
        <f t="shared" si="13"/>
        <v>0.30361667818475002</v>
      </c>
      <c r="Y30" s="130">
        <f t="shared" si="13"/>
        <v>0.30392817059483723</v>
      </c>
      <c r="Z30" s="130">
        <f t="shared" ref="Z30:AW30" si="14">1-(Z27/Z26)</f>
        <v>0.32065217391304346</v>
      </c>
      <c r="AA30" s="130">
        <f t="shared" si="14"/>
        <v>0.2968853545394301</v>
      </c>
      <c r="AB30" s="130">
        <f t="shared" si="14"/>
        <v>0.30474962389856008</v>
      </c>
      <c r="AC30" s="130">
        <f t="shared" si="14"/>
        <v>0.31386118461225321</v>
      </c>
      <c r="AD30" s="130">
        <f t="shared" si="14"/>
        <v>0.30459992269037495</v>
      </c>
      <c r="AE30" s="130" t="e">
        <f t="shared" si="14"/>
        <v>#DIV/0!</v>
      </c>
      <c r="AF30" s="130" t="e">
        <f t="shared" si="14"/>
        <v>#DIV/0!</v>
      </c>
      <c r="AG30" s="130" t="e">
        <f t="shared" si="14"/>
        <v>#DIV/0!</v>
      </c>
      <c r="AH30" s="130" t="e">
        <f t="shared" si="14"/>
        <v>#DIV/0!</v>
      </c>
      <c r="AI30" s="130" t="e">
        <f t="shared" si="14"/>
        <v>#DIV/0!</v>
      </c>
      <c r="AJ30" s="130" t="e">
        <f t="shared" si="14"/>
        <v>#DIV/0!</v>
      </c>
      <c r="AK30" s="130" t="e">
        <f t="shared" si="14"/>
        <v>#DIV/0!</v>
      </c>
      <c r="AL30" s="130" t="e">
        <f t="shared" si="14"/>
        <v>#DIV/0!</v>
      </c>
      <c r="AM30" s="130" t="e">
        <f t="shared" si="14"/>
        <v>#DIV/0!</v>
      </c>
      <c r="AN30" s="130" t="e">
        <f t="shared" si="14"/>
        <v>#DIV/0!</v>
      </c>
      <c r="AO30" s="130" t="e">
        <f t="shared" si="14"/>
        <v>#DIV/0!</v>
      </c>
      <c r="AP30" s="130" t="e">
        <f t="shared" si="14"/>
        <v>#DIV/0!</v>
      </c>
      <c r="AQ30" s="130" t="e">
        <f t="shared" si="14"/>
        <v>#DIV/0!</v>
      </c>
      <c r="AR30" s="130" t="e">
        <f t="shared" si="14"/>
        <v>#DIV/0!</v>
      </c>
      <c r="AS30" s="130" t="e">
        <f t="shared" si="14"/>
        <v>#DIV/0!</v>
      </c>
      <c r="AT30" s="130" t="e">
        <f t="shared" si="14"/>
        <v>#DIV/0!</v>
      </c>
      <c r="AU30" s="130" t="e">
        <f t="shared" si="14"/>
        <v>#DIV/0!</v>
      </c>
      <c r="AV30" s="130" t="e">
        <f t="shared" si="14"/>
        <v>#DIV/0!</v>
      </c>
      <c r="AW30" s="130" t="e">
        <f t="shared" si="14"/>
        <v>#DIV/0!</v>
      </c>
    </row>
    <row r="31" spans="1:49" x14ac:dyDescent="0.2">
      <c r="A31" s="110"/>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row>
    <row r="32" spans="1:49" x14ac:dyDescent="0.2">
      <c r="A32" s="636">
        <v>42948</v>
      </c>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row>
    <row r="33" spans="1:49" x14ac:dyDescent="0.2">
      <c r="A33" s="636" t="s">
        <v>685</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row>
    <row r="34" spans="1:49" ht="15" x14ac:dyDescent="0.2">
      <c r="A34" s="637"/>
      <c r="B34" s="983" t="s">
        <v>699</v>
      </c>
      <c r="C34" s="983"/>
      <c r="D34" s="983"/>
      <c r="E34" s="983"/>
      <c r="F34" s="983"/>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row>
    <row r="35" spans="1:49" ht="25.5" x14ac:dyDescent="0.2">
      <c r="A35" s="638" t="s">
        <v>679</v>
      </c>
      <c r="B35" s="639" t="s">
        <v>704</v>
      </c>
      <c r="C35" s="639" t="s">
        <v>700</v>
      </c>
      <c r="D35" s="639" t="s">
        <v>701</v>
      </c>
      <c r="E35" s="639" t="s">
        <v>702</v>
      </c>
      <c r="F35" s="639" t="s">
        <v>703</v>
      </c>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row>
    <row r="36" spans="1:49" x14ac:dyDescent="0.2">
      <c r="A36" s="632" t="s">
        <v>687</v>
      </c>
      <c r="B36" s="644">
        <v>15</v>
      </c>
      <c r="C36" s="644">
        <v>9</v>
      </c>
      <c r="D36" s="644">
        <v>6</v>
      </c>
      <c r="E36" s="648">
        <v>0.6</v>
      </c>
      <c r="F36" s="648">
        <v>0.4</v>
      </c>
      <c r="G36" s="131"/>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row>
    <row r="37" spans="1:49" x14ac:dyDescent="0.2">
      <c r="A37" s="632" t="s">
        <v>688</v>
      </c>
      <c r="B37" s="644">
        <v>4</v>
      </c>
      <c r="C37" s="644">
        <v>4</v>
      </c>
      <c r="D37" s="644">
        <v>0</v>
      </c>
      <c r="E37" s="648">
        <v>1</v>
      </c>
      <c r="F37" s="648">
        <v>0</v>
      </c>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row>
    <row r="38" spans="1:49" x14ac:dyDescent="0.2">
      <c r="A38" s="632" t="s">
        <v>689</v>
      </c>
      <c r="B38" s="644">
        <v>247</v>
      </c>
      <c r="C38" s="644">
        <v>92</v>
      </c>
      <c r="D38" s="644">
        <v>155</v>
      </c>
      <c r="E38" s="648">
        <v>0.372</v>
      </c>
      <c r="F38" s="648">
        <v>0.628</v>
      </c>
      <c r="G38" s="131"/>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row>
    <row r="39" spans="1:49" x14ac:dyDescent="0.2">
      <c r="A39" s="632" t="s">
        <v>690</v>
      </c>
      <c r="B39" s="644">
        <v>17</v>
      </c>
      <c r="C39" s="644">
        <v>16</v>
      </c>
      <c r="D39" s="644">
        <v>1</v>
      </c>
      <c r="E39" s="648">
        <v>0.94099999999999995</v>
      </c>
      <c r="F39" s="648">
        <v>5.8999999999999997E-2</v>
      </c>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row>
    <row r="40" spans="1:49" x14ac:dyDescent="0.2">
      <c r="A40" s="632" t="s">
        <v>691</v>
      </c>
      <c r="B40" s="644">
        <v>47</v>
      </c>
      <c r="C40" s="644">
        <v>43</v>
      </c>
      <c r="D40" s="644">
        <v>4</v>
      </c>
      <c r="E40" s="648">
        <v>0.91500000000000004</v>
      </c>
      <c r="F40" s="648">
        <v>8.5000000000000006E-2</v>
      </c>
      <c r="G40" s="131"/>
      <c r="H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row>
    <row r="41" spans="1:49" x14ac:dyDescent="0.2">
      <c r="A41" s="632" t="s">
        <v>692</v>
      </c>
      <c r="B41" s="644">
        <v>14</v>
      </c>
      <c r="C41" s="644">
        <v>0</v>
      </c>
      <c r="D41" s="644">
        <v>14</v>
      </c>
      <c r="E41" s="648">
        <v>0</v>
      </c>
      <c r="F41" s="648">
        <v>1</v>
      </c>
      <c r="G41" s="131"/>
      <c r="H41" s="131"/>
      <c r="J41" s="131"/>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row>
    <row r="42" spans="1:49" x14ac:dyDescent="0.2">
      <c r="A42" s="632" t="s">
        <v>693</v>
      </c>
      <c r="B42" s="644">
        <v>59</v>
      </c>
      <c r="C42" s="644">
        <v>32</v>
      </c>
      <c r="D42" s="644">
        <v>27</v>
      </c>
      <c r="E42" s="648">
        <v>0.54200000000000004</v>
      </c>
      <c r="F42" s="648">
        <v>0.45800000000000002</v>
      </c>
      <c r="G42" s="131"/>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row>
    <row r="43" spans="1:49" x14ac:dyDescent="0.2">
      <c r="A43" s="633" t="s">
        <v>694</v>
      </c>
      <c r="B43" s="644">
        <v>143</v>
      </c>
      <c r="C43" s="644">
        <v>109</v>
      </c>
      <c r="D43" s="644">
        <v>34</v>
      </c>
      <c r="E43" s="648">
        <v>0.76200000000000001</v>
      </c>
      <c r="F43" s="648">
        <v>0.23799999999999999</v>
      </c>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row>
    <row r="44" spans="1:49" x14ac:dyDescent="0.2">
      <c r="A44" s="633" t="s">
        <v>695</v>
      </c>
      <c r="B44" s="644">
        <v>72</v>
      </c>
      <c r="C44" s="644">
        <v>59</v>
      </c>
      <c r="D44" s="644">
        <v>13</v>
      </c>
      <c r="E44" s="648">
        <v>0.81899999999999995</v>
      </c>
      <c r="F44" s="648">
        <v>0.18099999999999999</v>
      </c>
      <c r="G44" s="131"/>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1"/>
      <c r="AF44" s="131"/>
      <c r="AG44" s="131"/>
      <c r="AH44" s="131"/>
      <c r="AI44" s="131"/>
      <c r="AJ44" s="131"/>
      <c r="AK44" s="131"/>
      <c r="AL44" s="131"/>
      <c r="AM44" s="131"/>
      <c r="AN44" s="131"/>
      <c r="AO44" s="131"/>
      <c r="AP44" s="131"/>
      <c r="AQ44" s="131"/>
      <c r="AR44" s="131"/>
      <c r="AS44" s="131"/>
      <c r="AT44" s="131"/>
      <c r="AU44" s="131"/>
      <c r="AV44" s="131"/>
      <c r="AW44" s="131"/>
    </row>
    <row r="45" spans="1:49" x14ac:dyDescent="0.2">
      <c r="A45" s="633" t="s">
        <v>696</v>
      </c>
      <c r="B45" s="644">
        <v>35</v>
      </c>
      <c r="C45" s="644">
        <v>34</v>
      </c>
      <c r="D45" s="644">
        <v>1</v>
      </c>
      <c r="E45" s="648">
        <v>0.97099999999999997</v>
      </c>
      <c r="F45" s="648">
        <v>2.9000000000000001E-2</v>
      </c>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row>
    <row r="46" spans="1:49" x14ac:dyDescent="0.2">
      <c r="A46" s="640" t="s">
        <v>697</v>
      </c>
      <c r="B46" s="635">
        <v>653</v>
      </c>
      <c r="C46" s="635">
        <v>398</v>
      </c>
      <c r="D46" s="635">
        <v>255</v>
      </c>
      <c r="E46" s="126">
        <v>0.60899999999999999</v>
      </c>
      <c r="F46" s="650">
        <v>0.39100000000000001</v>
      </c>
      <c r="G46" s="131"/>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1"/>
      <c r="AF46" s="131"/>
      <c r="AG46" s="131"/>
      <c r="AH46" s="131"/>
      <c r="AI46" s="131"/>
      <c r="AJ46" s="131"/>
      <c r="AK46" s="131"/>
      <c r="AL46" s="131"/>
      <c r="AM46" s="131"/>
      <c r="AN46" s="131"/>
      <c r="AO46" s="131"/>
      <c r="AP46" s="131"/>
      <c r="AQ46" s="131"/>
      <c r="AR46" s="131"/>
      <c r="AS46" s="131"/>
      <c r="AT46" s="131"/>
      <c r="AU46" s="131"/>
      <c r="AV46" s="131"/>
      <c r="AW46" s="131"/>
    </row>
    <row r="47" spans="1:49" x14ac:dyDescent="0.2">
      <c r="A47" s="110"/>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AL47" s="131"/>
      <c r="AM47" s="131"/>
      <c r="AN47" s="131"/>
      <c r="AO47" s="131"/>
      <c r="AP47" s="131"/>
      <c r="AQ47" s="131"/>
      <c r="AR47" s="131"/>
      <c r="AS47" s="131"/>
      <c r="AT47" s="131"/>
      <c r="AU47" s="131"/>
      <c r="AV47" s="131"/>
      <c r="AW47" s="131"/>
    </row>
    <row r="48" spans="1:49" ht="15" x14ac:dyDescent="0.2">
      <c r="A48" s="637"/>
      <c r="B48" s="983" t="s">
        <v>686</v>
      </c>
      <c r="C48" s="983"/>
      <c r="D48" s="983"/>
      <c r="E48" s="983"/>
      <c r="F48" s="983"/>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c r="AJ48" s="131"/>
      <c r="AK48" s="131"/>
      <c r="AL48" s="131"/>
      <c r="AM48" s="131"/>
      <c r="AN48" s="131"/>
      <c r="AO48" s="131"/>
      <c r="AP48" s="131"/>
      <c r="AQ48" s="131"/>
      <c r="AR48" s="131"/>
      <c r="AS48" s="131"/>
      <c r="AT48" s="131"/>
      <c r="AU48" s="131"/>
      <c r="AV48" s="131"/>
      <c r="AW48" s="131"/>
    </row>
    <row r="49" spans="1:49" ht="25.5" x14ac:dyDescent="0.2">
      <c r="A49" s="638" t="s">
        <v>679</v>
      </c>
      <c r="B49" s="639" t="s">
        <v>680</v>
      </c>
      <c r="C49" s="639" t="s">
        <v>700</v>
      </c>
      <c r="D49" s="639" t="s">
        <v>701</v>
      </c>
      <c r="E49" s="639" t="s">
        <v>702</v>
      </c>
      <c r="F49" s="639" t="s">
        <v>703</v>
      </c>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row>
    <row r="50" spans="1:49" x14ac:dyDescent="0.2">
      <c r="A50" s="632" t="s">
        <v>687</v>
      </c>
      <c r="B50" s="644">
        <v>39</v>
      </c>
      <c r="C50" s="644">
        <v>22</v>
      </c>
      <c r="D50" s="644">
        <v>17</v>
      </c>
      <c r="E50" s="648">
        <v>0.56399999999999995</v>
      </c>
      <c r="F50" s="648">
        <v>0.436</v>
      </c>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1"/>
      <c r="AF50" s="131"/>
      <c r="AG50" s="131"/>
      <c r="AH50" s="131"/>
      <c r="AI50" s="131"/>
      <c r="AJ50" s="131"/>
      <c r="AK50" s="131"/>
      <c r="AL50" s="131"/>
      <c r="AM50" s="131"/>
      <c r="AN50" s="131"/>
      <c r="AO50" s="131"/>
      <c r="AP50" s="131"/>
      <c r="AQ50" s="131"/>
      <c r="AR50" s="131"/>
      <c r="AS50" s="131"/>
      <c r="AT50" s="131"/>
      <c r="AU50" s="131"/>
      <c r="AV50" s="131"/>
      <c r="AW50" s="131"/>
    </row>
    <row r="51" spans="1:49" x14ac:dyDescent="0.2">
      <c r="A51" s="632" t="s">
        <v>688</v>
      </c>
      <c r="B51" s="644">
        <v>509</v>
      </c>
      <c r="C51" s="644">
        <v>509</v>
      </c>
      <c r="D51" s="644">
        <v>0</v>
      </c>
      <c r="E51" s="648">
        <v>1</v>
      </c>
      <c r="F51" s="648">
        <v>0</v>
      </c>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AM51" s="131"/>
      <c r="AN51" s="131"/>
      <c r="AO51" s="131"/>
      <c r="AP51" s="131"/>
      <c r="AQ51" s="131"/>
      <c r="AR51" s="131"/>
      <c r="AS51" s="131"/>
      <c r="AT51" s="131"/>
      <c r="AU51" s="131"/>
      <c r="AV51" s="131"/>
      <c r="AW51" s="131"/>
    </row>
    <row r="52" spans="1:49" x14ac:dyDescent="0.2">
      <c r="A52" s="632" t="s">
        <v>689</v>
      </c>
      <c r="B52" s="644">
        <v>2769</v>
      </c>
      <c r="C52" s="644">
        <v>1744</v>
      </c>
      <c r="D52" s="644">
        <v>1025</v>
      </c>
      <c r="E52" s="648">
        <v>0.63</v>
      </c>
      <c r="F52" s="648">
        <v>0.37</v>
      </c>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row>
    <row r="53" spans="1:49" x14ac:dyDescent="0.2">
      <c r="A53" s="632" t="s">
        <v>690</v>
      </c>
      <c r="B53" s="644">
        <v>45</v>
      </c>
      <c r="C53" s="644">
        <v>44</v>
      </c>
      <c r="D53" s="644">
        <v>1</v>
      </c>
      <c r="E53" s="648">
        <v>0.97799999999999998</v>
      </c>
      <c r="F53" s="648">
        <v>2.1999999999999999E-2</v>
      </c>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row>
    <row r="54" spans="1:49" x14ac:dyDescent="0.2">
      <c r="A54" s="632" t="s">
        <v>691</v>
      </c>
      <c r="B54" s="644">
        <v>153</v>
      </c>
      <c r="C54" s="644">
        <v>125</v>
      </c>
      <c r="D54" s="644">
        <v>28</v>
      </c>
      <c r="E54" s="648">
        <v>0.81699999999999995</v>
      </c>
      <c r="F54" s="648">
        <v>0.183</v>
      </c>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row>
    <row r="55" spans="1:49" x14ac:dyDescent="0.2">
      <c r="A55" s="632" t="s">
        <v>692</v>
      </c>
      <c r="B55" s="644">
        <v>173</v>
      </c>
      <c r="C55" s="644">
        <v>35</v>
      </c>
      <c r="D55" s="644">
        <v>138</v>
      </c>
      <c r="E55" s="648">
        <v>0.20200000000000001</v>
      </c>
      <c r="F55" s="648">
        <v>0.79800000000000004</v>
      </c>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c r="AS55" s="131"/>
      <c r="AT55" s="131"/>
      <c r="AU55" s="131"/>
      <c r="AV55" s="131"/>
      <c r="AW55" s="131"/>
    </row>
    <row r="56" spans="1:49" x14ac:dyDescent="0.2">
      <c r="A56" s="632" t="s">
        <v>693</v>
      </c>
      <c r="B56" s="644">
        <v>607</v>
      </c>
      <c r="C56" s="644">
        <v>439</v>
      </c>
      <c r="D56" s="644">
        <v>168</v>
      </c>
      <c r="E56" s="648">
        <v>0.72299999999999998</v>
      </c>
      <c r="F56" s="648">
        <v>0.27700000000000002</v>
      </c>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c r="AS56" s="131"/>
      <c r="AT56" s="131"/>
      <c r="AU56" s="131"/>
      <c r="AV56" s="131"/>
      <c r="AW56" s="131"/>
    </row>
    <row r="57" spans="1:49" x14ac:dyDescent="0.2">
      <c r="A57" s="633" t="s">
        <v>694</v>
      </c>
      <c r="B57" s="644">
        <v>649</v>
      </c>
      <c r="C57" s="644">
        <v>466</v>
      </c>
      <c r="D57" s="644">
        <v>183</v>
      </c>
      <c r="E57" s="648">
        <v>0.71799999999999997</v>
      </c>
      <c r="F57" s="648">
        <v>0.28199999999999997</v>
      </c>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c r="AS57" s="131"/>
      <c r="AT57" s="131"/>
      <c r="AU57" s="131"/>
      <c r="AV57" s="131"/>
      <c r="AW57" s="131"/>
    </row>
    <row r="58" spans="1:49" x14ac:dyDescent="0.2">
      <c r="A58" s="633" t="s">
        <v>695</v>
      </c>
      <c r="B58" s="644">
        <v>146</v>
      </c>
      <c r="C58" s="644">
        <v>134</v>
      </c>
      <c r="D58" s="644">
        <v>12</v>
      </c>
      <c r="E58" s="648">
        <v>0.91800000000000004</v>
      </c>
      <c r="F58" s="648">
        <v>8.2000000000000003E-2</v>
      </c>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row>
    <row r="59" spans="1:49" x14ac:dyDescent="0.2">
      <c r="A59" s="633" t="s">
        <v>696</v>
      </c>
      <c r="B59" s="644">
        <v>84</v>
      </c>
      <c r="C59" s="644">
        <v>80</v>
      </c>
      <c r="D59" s="644">
        <v>4</v>
      </c>
      <c r="E59" s="648">
        <v>0.95199999999999996</v>
      </c>
      <c r="F59" s="648">
        <v>4.8000000000000001E-2</v>
      </c>
      <c r="G59" s="131"/>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c r="AS59" s="131"/>
      <c r="AT59" s="131"/>
      <c r="AU59" s="131"/>
      <c r="AV59" s="131"/>
      <c r="AW59" s="131"/>
    </row>
    <row r="60" spans="1:49" x14ac:dyDescent="0.2">
      <c r="A60" s="640" t="s">
        <v>698</v>
      </c>
      <c r="B60" s="649">
        <v>5174</v>
      </c>
      <c r="C60" s="649">
        <v>3598</v>
      </c>
      <c r="D60" s="649">
        <v>1576</v>
      </c>
      <c r="E60" s="650">
        <v>0.69499999999999995</v>
      </c>
      <c r="F60" s="650">
        <v>0.30499999999999999</v>
      </c>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c r="AS60" s="131"/>
      <c r="AT60" s="131"/>
      <c r="AU60" s="131"/>
      <c r="AV60" s="131"/>
      <c r="AW60" s="131"/>
    </row>
    <row r="61" spans="1:49" x14ac:dyDescent="0.2">
      <c r="G61" s="314"/>
    </row>
    <row r="62" spans="1:49" x14ac:dyDescent="0.2">
      <c r="A62" s="137" t="s">
        <v>619</v>
      </c>
      <c r="B62" s="310"/>
      <c r="G62" s="314"/>
      <c r="N62" s="306"/>
    </row>
    <row r="63" spans="1:49" x14ac:dyDescent="0.2">
      <c r="A63" s="311"/>
      <c r="G63" s="314"/>
    </row>
    <row r="64" spans="1:49" x14ac:dyDescent="0.2">
      <c r="G64" s="314"/>
    </row>
    <row r="65" spans="2:15" x14ac:dyDescent="0.2">
      <c r="B65" s="315"/>
      <c r="C65" s="315"/>
      <c r="D65" s="315"/>
      <c r="E65" s="315"/>
      <c r="F65" s="315"/>
      <c r="G65" s="315"/>
      <c r="H65" s="315"/>
      <c r="I65" s="315"/>
      <c r="J65" s="315"/>
      <c r="K65" s="315"/>
      <c r="L65" s="315"/>
      <c r="M65" s="315"/>
      <c r="N65" s="315"/>
      <c r="O65" s="315"/>
    </row>
    <row r="66" spans="2:15" x14ac:dyDescent="0.2">
      <c r="B66" s="315"/>
      <c r="C66" s="315"/>
      <c r="D66" s="315"/>
      <c r="E66" s="315"/>
      <c r="F66" s="315"/>
      <c r="G66" s="315"/>
      <c r="H66" s="315"/>
      <c r="I66" s="315"/>
      <c r="J66" s="315"/>
      <c r="K66" s="315"/>
      <c r="L66" s="315"/>
      <c r="M66" s="315"/>
      <c r="N66" s="315"/>
      <c r="O66" s="315"/>
    </row>
    <row r="67" spans="2:15" x14ac:dyDescent="0.2">
      <c r="B67" s="315"/>
      <c r="C67" s="315"/>
      <c r="D67" s="315"/>
      <c r="E67" s="315"/>
      <c r="F67" s="315"/>
      <c r="G67" s="315"/>
      <c r="H67" s="315"/>
      <c r="I67" s="315"/>
      <c r="J67" s="315"/>
      <c r="K67" s="315"/>
      <c r="L67" s="315"/>
      <c r="M67" s="315"/>
      <c r="N67" s="315"/>
      <c r="O67" s="315"/>
    </row>
    <row r="68" spans="2:15" x14ac:dyDescent="0.2">
      <c r="B68" s="315"/>
      <c r="C68" s="315"/>
      <c r="D68" s="315"/>
      <c r="E68" s="315"/>
      <c r="F68" s="315"/>
      <c r="G68" s="315"/>
      <c r="H68" s="315"/>
      <c r="I68" s="315"/>
      <c r="J68" s="315"/>
      <c r="K68" s="315"/>
      <c r="L68" s="315"/>
      <c r="M68" s="315"/>
      <c r="N68" s="315"/>
      <c r="O68" s="315"/>
    </row>
    <row r="69" spans="2:15" x14ac:dyDescent="0.2">
      <c r="B69" s="315"/>
      <c r="C69" s="315"/>
      <c r="D69" s="315"/>
      <c r="E69" s="315"/>
      <c r="F69" s="315"/>
      <c r="G69" s="315"/>
      <c r="H69" s="315"/>
      <c r="I69" s="315"/>
      <c r="J69" s="315"/>
      <c r="K69" s="315"/>
      <c r="L69" s="315"/>
      <c r="M69" s="315"/>
      <c r="N69" s="315"/>
      <c r="O69" s="315"/>
    </row>
    <row r="70" spans="2:15" x14ac:dyDescent="0.2">
      <c r="B70" s="315"/>
      <c r="C70" s="315"/>
      <c r="D70" s="315"/>
      <c r="E70" s="315"/>
      <c r="F70" s="315"/>
      <c r="G70" s="315"/>
      <c r="H70" s="315"/>
      <c r="I70" s="315"/>
      <c r="J70" s="315"/>
      <c r="K70" s="315"/>
      <c r="L70" s="315"/>
      <c r="M70" s="315"/>
      <c r="N70" s="315"/>
      <c r="O70" s="315"/>
    </row>
    <row r="71" spans="2:15" x14ac:dyDescent="0.2">
      <c r="B71" s="315"/>
      <c r="C71" s="315"/>
      <c r="D71" s="315"/>
      <c r="E71" s="315"/>
      <c r="F71" s="315"/>
      <c r="G71" s="315"/>
      <c r="H71" s="315"/>
      <c r="I71" s="315"/>
      <c r="J71" s="315"/>
      <c r="K71" s="315"/>
      <c r="L71" s="315"/>
      <c r="M71" s="315"/>
      <c r="N71" s="315"/>
      <c r="O71" s="315"/>
    </row>
    <row r="72" spans="2:15" x14ac:dyDescent="0.2">
      <c r="B72" s="315"/>
      <c r="C72" s="315"/>
      <c r="D72" s="315"/>
      <c r="E72" s="315"/>
      <c r="F72" s="315"/>
      <c r="G72" s="315"/>
      <c r="H72" s="315"/>
      <c r="I72" s="315"/>
      <c r="J72" s="315"/>
      <c r="K72" s="315"/>
      <c r="L72" s="315"/>
      <c r="M72" s="315"/>
      <c r="N72" s="315"/>
      <c r="O72" s="315"/>
    </row>
    <row r="73" spans="2:15" x14ac:dyDescent="0.2">
      <c r="B73" s="315"/>
      <c r="C73" s="315"/>
      <c r="D73" s="315"/>
      <c r="E73" s="315"/>
      <c r="F73" s="315"/>
      <c r="G73" s="315"/>
      <c r="H73" s="315"/>
      <c r="I73" s="315"/>
      <c r="J73" s="315"/>
      <c r="K73" s="315"/>
      <c r="L73" s="315"/>
      <c r="M73" s="315"/>
      <c r="N73" s="315"/>
      <c r="O73" s="315"/>
    </row>
    <row r="74" spans="2:15" x14ac:dyDescent="0.2">
      <c r="B74" s="315"/>
      <c r="C74" s="315"/>
      <c r="D74" s="315"/>
      <c r="E74" s="315"/>
      <c r="F74" s="315"/>
      <c r="G74" s="315"/>
      <c r="H74" s="315"/>
      <c r="I74" s="315"/>
      <c r="J74" s="315"/>
      <c r="K74" s="315"/>
      <c r="L74" s="315"/>
      <c r="M74" s="315"/>
      <c r="N74" s="315"/>
      <c r="O74" s="315"/>
    </row>
    <row r="75" spans="2:15" x14ac:dyDescent="0.2">
      <c r="B75" s="315"/>
      <c r="C75" s="315"/>
      <c r="D75" s="315"/>
      <c r="E75" s="315"/>
      <c r="F75" s="315"/>
      <c r="G75" s="315"/>
      <c r="H75" s="315"/>
      <c r="I75" s="315"/>
      <c r="J75" s="315"/>
      <c r="K75" s="315"/>
      <c r="L75" s="315"/>
      <c r="M75" s="315"/>
      <c r="N75" s="315"/>
      <c r="O75" s="315"/>
    </row>
    <row r="76" spans="2:15" x14ac:dyDescent="0.2">
      <c r="B76" s="315"/>
      <c r="C76" s="315"/>
      <c r="D76" s="315"/>
      <c r="E76" s="315"/>
      <c r="F76" s="315"/>
      <c r="G76" s="315"/>
      <c r="H76" s="315"/>
      <c r="I76" s="315"/>
      <c r="J76" s="315"/>
      <c r="K76" s="315"/>
      <c r="L76" s="315"/>
      <c r="M76" s="315"/>
      <c r="N76" s="315"/>
      <c r="O76" s="315"/>
    </row>
    <row r="77" spans="2:15" x14ac:dyDescent="0.2">
      <c r="B77" s="315"/>
      <c r="C77" s="315"/>
      <c r="D77" s="315"/>
      <c r="E77" s="315"/>
      <c r="F77" s="315"/>
      <c r="G77" s="315"/>
      <c r="H77" s="315"/>
      <c r="I77" s="315"/>
      <c r="J77" s="315"/>
      <c r="K77" s="315"/>
      <c r="L77" s="315"/>
      <c r="M77" s="315"/>
      <c r="N77" s="315"/>
      <c r="O77" s="315"/>
    </row>
    <row r="78" spans="2:15" x14ac:dyDescent="0.2">
      <c r="B78" s="315"/>
      <c r="C78" s="315"/>
      <c r="D78" s="315"/>
      <c r="E78" s="315"/>
      <c r="F78" s="315"/>
      <c r="G78" s="315"/>
      <c r="H78" s="315"/>
      <c r="I78" s="315"/>
      <c r="J78" s="315"/>
      <c r="K78" s="315"/>
      <c r="L78" s="315"/>
      <c r="M78" s="315"/>
      <c r="N78" s="315"/>
      <c r="O78" s="315"/>
    </row>
    <row r="79" spans="2:15" x14ac:dyDescent="0.2">
      <c r="B79" s="315"/>
      <c r="C79" s="315"/>
      <c r="D79" s="315"/>
      <c r="E79" s="315"/>
      <c r="F79" s="315"/>
      <c r="G79" s="315"/>
      <c r="H79" s="315"/>
      <c r="I79" s="315"/>
      <c r="J79" s="315"/>
      <c r="K79" s="315"/>
      <c r="L79" s="315"/>
      <c r="M79" s="315"/>
      <c r="N79" s="315"/>
      <c r="O79" s="315"/>
    </row>
    <row r="80" spans="2:15" x14ac:dyDescent="0.2">
      <c r="B80" s="315"/>
      <c r="C80" s="315"/>
      <c r="D80" s="315"/>
      <c r="E80" s="315"/>
      <c r="F80" s="315"/>
      <c r="G80" s="315"/>
      <c r="H80" s="315"/>
      <c r="I80" s="315"/>
      <c r="J80" s="315"/>
      <c r="K80" s="315"/>
      <c r="L80" s="315"/>
      <c r="M80" s="315"/>
      <c r="N80" s="315"/>
      <c r="O80" s="315"/>
    </row>
    <row r="81" spans="1:15" x14ac:dyDescent="0.2">
      <c r="B81" s="315"/>
      <c r="C81" s="315"/>
      <c r="D81" s="315"/>
      <c r="E81" s="315"/>
      <c r="F81" s="315"/>
      <c r="G81" s="315"/>
      <c r="H81" s="315"/>
      <c r="I81" s="315"/>
      <c r="J81" s="315"/>
      <c r="K81" s="315"/>
      <c r="L81" s="315"/>
      <c r="M81" s="315"/>
      <c r="N81" s="315"/>
      <c r="O81" s="315"/>
    </row>
    <row r="82" spans="1:15" x14ac:dyDescent="0.2">
      <c r="B82" s="315"/>
      <c r="C82" s="315"/>
      <c r="D82" s="315"/>
      <c r="E82" s="315"/>
      <c r="F82" s="315"/>
      <c r="G82" s="315"/>
      <c r="H82" s="315"/>
      <c r="I82" s="315"/>
      <c r="J82" s="315"/>
      <c r="K82" s="315"/>
      <c r="L82" s="315"/>
      <c r="M82" s="315"/>
      <c r="N82" s="315"/>
      <c r="O82" s="315"/>
    </row>
    <row r="83" spans="1:15" x14ac:dyDescent="0.2">
      <c r="B83" s="315"/>
      <c r="C83" s="315"/>
      <c r="D83" s="315"/>
      <c r="E83" s="315"/>
      <c r="F83" s="315"/>
      <c r="G83" s="315"/>
      <c r="H83" s="315"/>
      <c r="I83" s="315"/>
      <c r="J83" s="315"/>
      <c r="K83" s="315"/>
      <c r="L83" s="315"/>
      <c r="M83" s="315"/>
      <c r="N83" s="315"/>
      <c r="O83" s="315"/>
    </row>
    <row r="84" spans="1:15" x14ac:dyDescent="0.2">
      <c r="B84" s="315"/>
      <c r="C84" s="315"/>
      <c r="D84" s="315"/>
      <c r="E84" s="315"/>
      <c r="F84" s="315"/>
      <c r="G84" s="315"/>
      <c r="H84" s="315"/>
      <c r="I84" s="315"/>
      <c r="J84" s="315"/>
      <c r="K84" s="315"/>
      <c r="L84" s="315"/>
      <c r="M84" s="315"/>
      <c r="N84" s="315"/>
      <c r="O84" s="315"/>
    </row>
    <row r="85" spans="1:15" x14ac:dyDescent="0.2">
      <c r="B85" s="315"/>
      <c r="C85" s="315"/>
      <c r="D85" s="315"/>
      <c r="E85" s="315"/>
      <c r="F85" s="315"/>
      <c r="G85" s="315"/>
      <c r="H85" s="315"/>
      <c r="I85" s="315"/>
      <c r="J85" s="315"/>
      <c r="K85" s="315"/>
      <c r="L85" s="315"/>
      <c r="M85" s="315"/>
      <c r="N85" s="315"/>
      <c r="O85" s="315"/>
    </row>
    <row r="86" spans="1:15" x14ac:dyDescent="0.2">
      <c r="B86" s="315"/>
      <c r="C86" s="315"/>
      <c r="D86" s="315"/>
      <c r="E86" s="315"/>
      <c r="F86" s="315"/>
      <c r="G86" s="315"/>
      <c r="H86" s="315"/>
      <c r="I86" s="315"/>
      <c r="J86" s="315"/>
      <c r="K86" s="315"/>
      <c r="L86" s="315"/>
      <c r="M86" s="315"/>
      <c r="N86" s="315"/>
      <c r="O86" s="315"/>
    </row>
    <row r="87" spans="1:15" x14ac:dyDescent="0.2">
      <c r="A87" s="112" t="s">
        <v>361</v>
      </c>
      <c r="B87" s="315"/>
      <c r="C87" s="315"/>
      <c r="D87" s="315"/>
      <c r="E87" s="315"/>
      <c r="F87" s="315"/>
      <c r="G87" s="315"/>
      <c r="H87" s="315"/>
      <c r="I87" s="315"/>
      <c r="J87" s="315"/>
      <c r="K87" s="315"/>
      <c r="L87" s="315"/>
      <c r="M87" s="315"/>
      <c r="N87" s="112" t="s">
        <v>364</v>
      </c>
      <c r="O87" s="315"/>
    </row>
    <row r="112" spans="1:14" x14ac:dyDescent="0.2">
      <c r="A112" s="651" t="s">
        <v>709</v>
      </c>
      <c r="N112" s="651" t="s">
        <v>706</v>
      </c>
    </row>
    <row r="137" spans="1:14" ht="14.25" x14ac:dyDescent="0.2">
      <c r="A137" s="485" t="s">
        <v>705</v>
      </c>
      <c r="N137" s="651" t="s">
        <v>708</v>
      </c>
    </row>
    <row r="162" spans="1:14" ht="14.25" x14ac:dyDescent="0.2">
      <c r="A162" s="651" t="s">
        <v>707</v>
      </c>
      <c r="N162" s="652" t="s">
        <v>710</v>
      </c>
    </row>
    <row r="187" spans="1:14" x14ac:dyDescent="0.2">
      <c r="A187" s="651" t="s">
        <v>711</v>
      </c>
      <c r="N187" s="625" t="s">
        <v>732</v>
      </c>
    </row>
  </sheetData>
  <mergeCells count="2">
    <mergeCell ref="B34:F34"/>
    <mergeCell ref="B48:F48"/>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70C0"/>
  </sheetPr>
  <dimension ref="A1:Q34"/>
  <sheetViews>
    <sheetView workbookViewId="0"/>
  </sheetViews>
  <sheetFormatPr defaultColWidth="9.140625" defaultRowHeight="12.75" x14ac:dyDescent="0.2"/>
  <cols>
    <col min="1" max="1" width="29.7109375" style="117" customWidth="1"/>
    <col min="2" max="2" width="9.85546875" style="117" bestFit="1" customWidth="1"/>
    <col min="3" max="16384" width="9.140625" style="117"/>
  </cols>
  <sheetData>
    <row r="1" spans="1:17" x14ac:dyDescent="0.2">
      <c r="A1" s="116" t="s">
        <v>360</v>
      </c>
    </row>
    <row r="2" spans="1:17" x14ac:dyDescent="0.2">
      <c r="A2" s="116"/>
    </row>
    <row r="3" spans="1:17" x14ac:dyDescent="0.2">
      <c r="A3" s="137" t="s">
        <v>151</v>
      </c>
      <c r="B3" s="139" t="str">
        <f>IF(HLOOKUP(MAX(B7:Q7),A7:Q9,3,0)&gt;HLOOKUP(MAX(B7:Q7),A7:Q9,2,0),"Better", "Worse")</f>
        <v>Worse</v>
      </c>
      <c r="C3" s="122" t="b">
        <f>IF(HLOOKUP(MAX(B7:Q7),A7:Q9,3,0)=HLOOKUP(MAX(B7:Q7),A7:Q9,2,0),"Equal")</f>
        <v>0</v>
      </c>
    </row>
    <row r="4" spans="1:17" x14ac:dyDescent="0.2">
      <c r="A4" s="137" t="s">
        <v>148</v>
      </c>
      <c r="B4" s="138">
        <f>MAX(B7:Q7)</f>
        <v>42887</v>
      </c>
    </row>
    <row r="5" spans="1:17" x14ac:dyDescent="0.2">
      <c r="A5" s="137" t="s">
        <v>215</v>
      </c>
      <c r="B5" s="138" t="s">
        <v>222</v>
      </c>
    </row>
    <row r="6" spans="1:17" x14ac:dyDescent="0.2">
      <c r="A6" s="418"/>
    </row>
    <row r="7" spans="1:17" x14ac:dyDescent="0.2">
      <c r="A7" s="146"/>
      <c r="B7" s="167">
        <v>42156</v>
      </c>
      <c r="C7" s="167">
        <v>42248</v>
      </c>
      <c r="D7" s="167">
        <v>42339</v>
      </c>
      <c r="E7" s="167">
        <v>42430</v>
      </c>
      <c r="F7" s="167">
        <v>42522</v>
      </c>
      <c r="G7" s="167">
        <v>42615</v>
      </c>
      <c r="H7" s="167">
        <v>42705</v>
      </c>
      <c r="I7" s="167">
        <v>42796</v>
      </c>
      <c r="J7" s="549">
        <v>42887</v>
      </c>
      <c r="K7" s="167"/>
      <c r="L7" s="167"/>
      <c r="M7" s="167"/>
      <c r="N7" s="167"/>
      <c r="O7" s="167"/>
      <c r="P7" s="167"/>
      <c r="Q7" s="167"/>
    </row>
    <row r="8" spans="1:17" x14ac:dyDescent="0.2">
      <c r="A8" s="168" t="s">
        <v>386</v>
      </c>
      <c r="B8" s="169">
        <v>0.81699999999999995</v>
      </c>
      <c r="C8" s="169">
        <v>0.81100000000000005</v>
      </c>
      <c r="D8" s="169">
        <v>0.83499999999999996</v>
      </c>
      <c r="E8" s="170">
        <v>0.82799999999999996</v>
      </c>
      <c r="F8" s="170">
        <v>0.80900000000000005</v>
      </c>
      <c r="G8" s="170">
        <v>0.78900000000000003</v>
      </c>
      <c r="H8" s="169">
        <v>0.77500000000000002</v>
      </c>
      <c r="I8" s="169">
        <v>0.73699999999999999</v>
      </c>
      <c r="J8" s="169">
        <v>0.72399999999999998</v>
      </c>
      <c r="K8" s="169"/>
      <c r="L8" s="169"/>
      <c r="M8" s="170"/>
      <c r="N8" s="170"/>
      <c r="O8" s="170"/>
      <c r="P8" s="169"/>
      <c r="Q8" s="169"/>
    </row>
    <row r="9" spans="1:17" x14ac:dyDescent="0.2">
      <c r="A9" s="168" t="s">
        <v>387</v>
      </c>
      <c r="B9" s="169">
        <v>0.41</v>
      </c>
      <c r="C9" s="169">
        <v>0.46200000000000002</v>
      </c>
      <c r="D9" s="169">
        <v>0.69499999999999995</v>
      </c>
      <c r="E9" s="169">
        <v>0.69499999999999995</v>
      </c>
      <c r="F9" s="169">
        <v>0.69499999999999995</v>
      </c>
      <c r="G9" s="169">
        <v>0.73299999999999998</v>
      </c>
      <c r="H9" s="169">
        <v>0.64</v>
      </c>
      <c r="I9" s="169">
        <v>0.66600000000000004</v>
      </c>
      <c r="J9" s="169">
        <v>0.64600000000000002</v>
      </c>
      <c r="K9" s="169"/>
      <c r="L9" s="169"/>
      <c r="M9" s="169"/>
      <c r="N9" s="169"/>
      <c r="O9" s="169"/>
      <c r="P9" s="169"/>
      <c r="Q9" s="169"/>
    </row>
    <row r="11" spans="1:17" x14ac:dyDescent="0.2">
      <c r="A11" s="155"/>
      <c r="B11" s="297"/>
      <c r="C11" s="297"/>
      <c r="D11" s="297"/>
      <c r="E11" s="297"/>
      <c r="F11" s="165"/>
    </row>
    <row r="12" spans="1:17" x14ac:dyDescent="0.2">
      <c r="B12" s="165"/>
      <c r="C12" s="165"/>
      <c r="D12" s="165"/>
      <c r="E12" s="165"/>
      <c r="F12" s="165"/>
    </row>
    <row r="15" spans="1:17"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W33"/>
  <sheetViews>
    <sheetView workbookViewId="0">
      <pane xSplit="1" topLeftCell="B1" activePane="topRight" state="frozen"/>
      <selection pane="topRight"/>
    </sheetView>
  </sheetViews>
  <sheetFormatPr defaultColWidth="9.140625" defaultRowHeight="12.75" x14ac:dyDescent="0.2"/>
  <cols>
    <col min="1" max="1" width="26.7109375" style="117" customWidth="1"/>
    <col min="2" max="2" width="10.140625" style="117" customWidth="1"/>
    <col min="3" max="13" width="9.140625" style="117" customWidth="1"/>
    <col min="14" max="16384" width="9.140625" style="117"/>
  </cols>
  <sheetData>
    <row r="1" spans="1:49" x14ac:dyDescent="0.2">
      <c r="A1" s="298" t="s">
        <v>360</v>
      </c>
    </row>
    <row r="2" spans="1:49" x14ac:dyDescent="0.2">
      <c r="A2" s="116"/>
    </row>
    <row r="3" spans="1:49" x14ac:dyDescent="0.2">
      <c r="A3" s="118" t="s">
        <v>454</v>
      </c>
      <c r="B3" s="117" t="s">
        <v>58</v>
      </c>
    </row>
    <row r="4" spans="1:49" x14ac:dyDescent="0.2">
      <c r="A4" s="118" t="s">
        <v>147</v>
      </c>
      <c r="B4" s="136">
        <f>HLOOKUP(MAX(B9:AW9),B9:AW13,2,0)</f>
        <v>0.79400000000000004</v>
      </c>
    </row>
    <row r="5" spans="1:49" x14ac:dyDescent="0.2">
      <c r="A5" s="118" t="s">
        <v>119</v>
      </c>
      <c r="B5" s="121">
        <f>MAX(B9:AW9)</f>
        <v>42948</v>
      </c>
    </row>
    <row r="6" spans="1:49" x14ac:dyDescent="0.2">
      <c r="A6" s="118" t="s">
        <v>201</v>
      </c>
      <c r="B6" s="506" t="s">
        <v>182</v>
      </c>
    </row>
    <row r="7" spans="1:49" x14ac:dyDescent="0.2">
      <c r="A7" s="118" t="s">
        <v>456</v>
      </c>
      <c r="B7" s="173" t="s">
        <v>139</v>
      </c>
    </row>
    <row r="8" spans="1:49" x14ac:dyDescent="0.2">
      <c r="A8" s="134"/>
    </row>
    <row r="9" spans="1:49" x14ac:dyDescent="0.2">
      <c r="A9" s="203"/>
      <c r="B9" s="124">
        <v>42095</v>
      </c>
      <c r="C9" s="124">
        <v>42125</v>
      </c>
      <c r="D9" s="124">
        <v>42156</v>
      </c>
      <c r="E9" s="124">
        <v>42186</v>
      </c>
      <c r="F9" s="124">
        <v>42217</v>
      </c>
      <c r="G9" s="124">
        <v>42248</v>
      </c>
      <c r="H9" s="124">
        <v>42278</v>
      </c>
      <c r="I9" s="124">
        <v>42309</v>
      </c>
      <c r="J9" s="124">
        <v>42339</v>
      </c>
      <c r="K9" s="124">
        <v>42370</v>
      </c>
      <c r="L9" s="124">
        <v>42401</v>
      </c>
      <c r="M9" s="124">
        <v>42430</v>
      </c>
      <c r="N9" s="124">
        <v>42461</v>
      </c>
      <c r="O9" s="124">
        <v>42491</v>
      </c>
      <c r="P9" s="124">
        <v>42522</v>
      </c>
      <c r="Q9" s="124">
        <v>42552</v>
      </c>
      <c r="R9" s="124">
        <v>42583</v>
      </c>
      <c r="S9" s="124">
        <v>42614</v>
      </c>
      <c r="T9" s="124">
        <v>42644</v>
      </c>
      <c r="U9" s="124">
        <v>42675</v>
      </c>
      <c r="V9" s="124">
        <v>42705</v>
      </c>
      <c r="W9" s="124">
        <v>42736</v>
      </c>
      <c r="X9" s="124">
        <v>42767</v>
      </c>
      <c r="Y9" s="124">
        <v>42795</v>
      </c>
      <c r="Z9" s="124">
        <v>42826</v>
      </c>
      <c r="AA9" s="124">
        <v>42856</v>
      </c>
      <c r="AB9" s="124">
        <v>42887</v>
      </c>
      <c r="AC9" s="124">
        <v>42917</v>
      </c>
      <c r="AD9" s="124">
        <v>42948</v>
      </c>
      <c r="AE9" s="124"/>
      <c r="AF9" s="124"/>
      <c r="AG9" s="124"/>
      <c r="AH9" s="124"/>
      <c r="AI9" s="124"/>
      <c r="AJ9" s="124"/>
      <c r="AK9" s="124"/>
      <c r="AL9" s="124"/>
      <c r="AM9" s="124"/>
      <c r="AN9" s="124"/>
      <c r="AO9" s="124"/>
      <c r="AP9" s="124"/>
      <c r="AQ9" s="124"/>
      <c r="AR9" s="124"/>
      <c r="AS9" s="124"/>
      <c r="AT9" s="124"/>
      <c r="AU9" s="124"/>
      <c r="AV9" s="124"/>
      <c r="AW9" s="124"/>
    </row>
    <row r="10" spans="1:49" ht="25.5" x14ac:dyDescent="0.2">
      <c r="A10" s="316" t="s">
        <v>195</v>
      </c>
      <c r="B10" s="62">
        <v>0.86099999999999999</v>
      </c>
      <c r="C10" s="62">
        <v>0.87</v>
      </c>
      <c r="D10" s="62">
        <v>0.8590000000000001</v>
      </c>
      <c r="E10" s="62">
        <v>0.873</v>
      </c>
      <c r="F10" s="62">
        <v>0.85199999999999998</v>
      </c>
      <c r="G10" s="62">
        <v>0.84900000000000009</v>
      </c>
      <c r="H10" s="62">
        <v>0.84</v>
      </c>
      <c r="I10" s="62">
        <v>0.82499999999999996</v>
      </c>
      <c r="J10" s="62">
        <v>0.82799999999999996</v>
      </c>
      <c r="K10" s="62">
        <v>0.83</v>
      </c>
      <c r="L10" s="62">
        <v>0.82400000000000007</v>
      </c>
      <c r="M10" s="62">
        <v>0.82400000000000007</v>
      </c>
      <c r="N10" s="62">
        <v>0.83</v>
      </c>
      <c r="O10" s="62">
        <v>0.82900000000000007</v>
      </c>
      <c r="P10" s="62">
        <v>0.81299999999999994</v>
      </c>
      <c r="Q10" s="62">
        <v>0.83599999999999997</v>
      </c>
      <c r="R10" s="62">
        <v>0.83199999999999996</v>
      </c>
      <c r="S10" s="62">
        <v>0.81</v>
      </c>
      <c r="T10" s="62">
        <v>0.80200000000000005</v>
      </c>
      <c r="U10" s="62">
        <v>0.79900000000000004</v>
      </c>
      <c r="V10" s="62">
        <v>0.79900000000000004</v>
      </c>
      <c r="W10" s="62">
        <v>0.79200000000000004</v>
      </c>
      <c r="X10" s="62">
        <v>0.79300000000000004</v>
      </c>
      <c r="Y10" s="62">
        <v>0.79100000000000004</v>
      </c>
      <c r="Z10" s="62">
        <v>0.78800000000000003</v>
      </c>
      <c r="AA10" s="62">
        <v>0.81</v>
      </c>
      <c r="AB10" s="62">
        <v>0.81100000000000005</v>
      </c>
      <c r="AC10" s="62">
        <v>0.80700000000000005</v>
      </c>
      <c r="AD10" s="62">
        <v>0.79400000000000004</v>
      </c>
      <c r="AE10" s="62"/>
      <c r="AF10" s="62"/>
      <c r="AG10" s="62"/>
      <c r="AH10" s="62"/>
      <c r="AI10" s="62"/>
      <c r="AJ10" s="62"/>
      <c r="AK10" s="62"/>
      <c r="AL10" s="62"/>
      <c r="AM10" s="62"/>
      <c r="AN10" s="62"/>
      <c r="AO10" s="62"/>
      <c r="AP10" s="62"/>
      <c r="AQ10" s="62"/>
      <c r="AR10" s="62"/>
      <c r="AS10" s="62"/>
      <c r="AT10" s="62"/>
      <c r="AU10" s="62"/>
      <c r="AV10" s="62"/>
      <c r="AW10" s="62"/>
    </row>
    <row r="11" spans="1:49" ht="25.5" x14ac:dyDescent="0.2">
      <c r="A11" s="127" t="s">
        <v>429</v>
      </c>
      <c r="B11" s="129">
        <v>12446</v>
      </c>
      <c r="C11" s="129">
        <v>12417</v>
      </c>
      <c r="D11" s="129">
        <v>13795</v>
      </c>
      <c r="E11" s="129">
        <v>13297</v>
      </c>
      <c r="F11" s="129">
        <v>12631</v>
      </c>
      <c r="G11" s="129">
        <v>13820</v>
      </c>
      <c r="H11" s="129">
        <v>13642</v>
      </c>
      <c r="I11" s="129">
        <v>13000</v>
      </c>
      <c r="J11" s="129">
        <v>13133</v>
      </c>
      <c r="K11" s="129">
        <v>11931</v>
      </c>
      <c r="L11" s="129">
        <v>12396</v>
      </c>
      <c r="M11" s="129">
        <v>12791</v>
      </c>
      <c r="N11" s="129">
        <v>13157</v>
      </c>
      <c r="O11" s="129">
        <v>13067</v>
      </c>
      <c r="P11" s="129">
        <v>13303</v>
      </c>
      <c r="Q11" s="129">
        <v>11213</v>
      </c>
      <c r="R11" s="129">
        <v>13080</v>
      </c>
      <c r="S11" s="129">
        <v>11498</v>
      </c>
      <c r="T11" s="129">
        <v>11307</v>
      </c>
      <c r="U11" s="129">
        <v>12485</v>
      </c>
      <c r="V11" s="129">
        <v>10409</v>
      </c>
      <c r="W11" s="129">
        <v>11030</v>
      </c>
      <c r="X11" s="129">
        <v>10578</v>
      </c>
      <c r="Y11" s="129">
        <v>12279</v>
      </c>
      <c r="Z11" s="129">
        <v>9935</v>
      </c>
      <c r="AA11" s="129">
        <v>12539</v>
      </c>
      <c r="AB11" s="129">
        <v>11942</v>
      </c>
      <c r="AC11" s="129">
        <v>10033</v>
      </c>
      <c r="AD11" s="129">
        <v>11791</v>
      </c>
      <c r="AE11" s="129"/>
      <c r="AF11" s="129"/>
      <c r="AG11" s="129"/>
      <c r="AH11" s="129"/>
      <c r="AI11" s="129"/>
      <c r="AJ11" s="129"/>
      <c r="AK11" s="129"/>
      <c r="AL11" s="129"/>
      <c r="AM11" s="129"/>
      <c r="AN11" s="129"/>
      <c r="AO11" s="129"/>
      <c r="AP11" s="129"/>
      <c r="AQ11" s="129"/>
      <c r="AR11" s="129"/>
      <c r="AS11" s="129"/>
      <c r="AT11" s="129"/>
      <c r="AU11" s="129"/>
      <c r="AV11" s="129"/>
      <c r="AW11" s="129"/>
    </row>
    <row r="12" spans="1:49" ht="25.5" x14ac:dyDescent="0.2">
      <c r="A12" s="127" t="s">
        <v>430</v>
      </c>
      <c r="B12" s="129">
        <v>2001</v>
      </c>
      <c r="C12" s="129">
        <v>1849</v>
      </c>
      <c r="D12" s="129">
        <v>2265</v>
      </c>
      <c r="E12" s="129">
        <v>1941</v>
      </c>
      <c r="F12" s="129">
        <v>2201</v>
      </c>
      <c r="G12" s="129">
        <v>2449</v>
      </c>
      <c r="H12" s="129">
        <v>2604</v>
      </c>
      <c r="I12" s="129">
        <v>2749</v>
      </c>
      <c r="J12" s="129">
        <v>2720</v>
      </c>
      <c r="K12" s="129">
        <v>2443</v>
      </c>
      <c r="L12" s="129">
        <v>2647</v>
      </c>
      <c r="M12" s="129">
        <v>2736</v>
      </c>
      <c r="N12" s="129">
        <v>2688</v>
      </c>
      <c r="O12" s="129">
        <v>2703</v>
      </c>
      <c r="P12" s="129">
        <v>3061</v>
      </c>
      <c r="Q12" s="129">
        <v>2197</v>
      </c>
      <c r="R12" s="129">
        <v>2632</v>
      </c>
      <c r="S12" s="129">
        <v>2691</v>
      </c>
      <c r="T12" s="129">
        <v>2785</v>
      </c>
      <c r="U12" s="129">
        <v>3146</v>
      </c>
      <c r="V12" s="129">
        <v>2614</v>
      </c>
      <c r="W12" s="129">
        <v>2888</v>
      </c>
      <c r="X12" s="129">
        <v>2763</v>
      </c>
      <c r="Y12" s="129">
        <v>3252</v>
      </c>
      <c r="Z12" s="129">
        <v>2674</v>
      </c>
      <c r="AA12" s="129">
        <v>2935</v>
      </c>
      <c r="AB12" s="129">
        <v>2784</v>
      </c>
      <c r="AC12" s="129">
        <v>2404</v>
      </c>
      <c r="AD12" s="129">
        <v>3058</v>
      </c>
      <c r="AE12" s="129"/>
      <c r="AF12" s="129"/>
      <c r="AG12" s="129"/>
      <c r="AH12" s="129"/>
      <c r="AI12" s="129"/>
      <c r="AJ12" s="129"/>
      <c r="AK12" s="129"/>
      <c r="AL12" s="129"/>
      <c r="AM12" s="129"/>
      <c r="AN12" s="129"/>
      <c r="AO12" s="129"/>
      <c r="AP12" s="129"/>
      <c r="AQ12" s="129"/>
      <c r="AR12" s="129"/>
      <c r="AS12" s="129"/>
      <c r="AT12" s="129"/>
      <c r="AU12" s="129"/>
      <c r="AV12" s="129"/>
      <c r="AW12" s="129"/>
    </row>
    <row r="13" spans="1:49" ht="25.5" x14ac:dyDescent="0.2">
      <c r="A13" s="127" t="s">
        <v>431</v>
      </c>
      <c r="B13" s="130">
        <v>0.85099999999999998</v>
      </c>
      <c r="C13" s="130">
        <v>0.85699999999999998</v>
      </c>
      <c r="D13" s="130">
        <v>0.86</v>
      </c>
      <c r="E13" s="130">
        <v>0.84799999999999998</v>
      </c>
      <c r="F13" s="130">
        <v>0.84900000000000009</v>
      </c>
      <c r="G13" s="130">
        <v>0.86699999999999999</v>
      </c>
      <c r="H13" s="130">
        <v>0.87400000000000011</v>
      </c>
      <c r="I13" s="130">
        <v>0.86299999999999999</v>
      </c>
      <c r="J13" s="130">
        <v>0.86099999999999999</v>
      </c>
      <c r="K13" s="130">
        <v>0.86799999999999999</v>
      </c>
      <c r="L13" s="130">
        <v>0.87</v>
      </c>
      <c r="M13" s="130">
        <v>0.871</v>
      </c>
      <c r="N13" s="130">
        <v>0.87</v>
      </c>
      <c r="O13" s="130">
        <v>0.87</v>
      </c>
      <c r="P13" s="130">
        <v>0.89300000000000002</v>
      </c>
      <c r="Q13" s="130">
        <v>0.873</v>
      </c>
      <c r="R13" s="130">
        <v>0.876</v>
      </c>
      <c r="S13" s="130">
        <v>0.87</v>
      </c>
      <c r="T13" s="130">
        <v>0.873</v>
      </c>
      <c r="U13" s="130">
        <v>0.872</v>
      </c>
      <c r="V13" s="130">
        <v>0.871</v>
      </c>
      <c r="W13" s="130">
        <v>0.87</v>
      </c>
      <c r="X13" s="130">
        <v>0.86799999999999999</v>
      </c>
      <c r="Y13" s="130">
        <v>0.86499999999999999</v>
      </c>
      <c r="Z13" s="130">
        <v>0.872</v>
      </c>
      <c r="AA13" s="130">
        <v>0.86799999999999999</v>
      </c>
      <c r="AB13" s="130">
        <v>0.623</v>
      </c>
      <c r="AC13" s="130">
        <v>0.86</v>
      </c>
      <c r="AD13" s="130">
        <v>0.86399999999999999</v>
      </c>
      <c r="AE13" s="130"/>
      <c r="AF13" s="130"/>
      <c r="AG13" s="130"/>
      <c r="AH13" s="130"/>
      <c r="AI13" s="130"/>
      <c r="AJ13" s="130"/>
      <c r="AK13" s="130"/>
      <c r="AL13" s="130"/>
      <c r="AM13" s="130"/>
      <c r="AN13" s="130"/>
      <c r="AO13" s="130"/>
      <c r="AP13" s="130"/>
      <c r="AQ13" s="130"/>
      <c r="AR13" s="130"/>
      <c r="AS13" s="130"/>
      <c r="AT13" s="130"/>
      <c r="AU13" s="130"/>
      <c r="AV13" s="130"/>
      <c r="AW13" s="130"/>
    </row>
    <row r="14" spans="1:49" x14ac:dyDescent="0.2">
      <c r="A14" s="85" t="s">
        <v>15</v>
      </c>
      <c r="B14" s="72">
        <v>0.9</v>
      </c>
      <c r="C14" s="72">
        <v>0.9</v>
      </c>
      <c r="D14" s="72">
        <v>0.9</v>
      </c>
      <c r="E14" s="72">
        <v>0.9</v>
      </c>
      <c r="F14" s="72">
        <v>0.9</v>
      </c>
      <c r="G14" s="72">
        <v>0.9</v>
      </c>
      <c r="H14" s="72">
        <v>0.9</v>
      </c>
      <c r="I14" s="72">
        <v>0.9</v>
      </c>
      <c r="J14" s="72">
        <v>0.9</v>
      </c>
      <c r="K14" s="72">
        <v>0.9</v>
      </c>
      <c r="L14" s="72">
        <v>0.9</v>
      </c>
      <c r="M14" s="72">
        <v>0.9</v>
      </c>
      <c r="N14" s="72">
        <v>0.9</v>
      </c>
      <c r="O14" s="72">
        <v>0.9</v>
      </c>
      <c r="P14" s="72">
        <v>0.9</v>
      </c>
      <c r="Q14" s="72">
        <v>0.9</v>
      </c>
      <c r="R14" s="72">
        <v>0.9</v>
      </c>
      <c r="S14" s="72">
        <v>0.9</v>
      </c>
      <c r="T14" s="72">
        <v>0.9</v>
      </c>
      <c r="U14" s="72">
        <v>0.9</v>
      </c>
      <c r="V14" s="72">
        <v>0.9</v>
      </c>
      <c r="W14" s="72">
        <v>0.9</v>
      </c>
      <c r="X14" s="72">
        <v>0.9</v>
      </c>
      <c r="Y14" s="72">
        <v>0.9</v>
      </c>
      <c r="Z14" s="72">
        <v>0.9</v>
      </c>
      <c r="AA14" s="72">
        <v>0.9</v>
      </c>
      <c r="AB14" s="72">
        <v>0.9</v>
      </c>
      <c r="AC14" s="72">
        <v>0.9</v>
      </c>
      <c r="AD14" s="72">
        <v>0.9</v>
      </c>
      <c r="AE14" s="72">
        <v>0.9</v>
      </c>
      <c r="AF14" s="72">
        <v>0.9</v>
      </c>
      <c r="AG14" s="72">
        <v>0.9</v>
      </c>
      <c r="AH14" s="72">
        <v>0.9</v>
      </c>
      <c r="AI14" s="72">
        <v>0.9</v>
      </c>
      <c r="AJ14" s="72">
        <v>0.9</v>
      </c>
      <c r="AK14" s="72">
        <v>0.9</v>
      </c>
      <c r="AL14" s="72">
        <v>0.9</v>
      </c>
      <c r="AM14" s="72">
        <v>0.9</v>
      </c>
      <c r="AN14" s="72">
        <v>0.9</v>
      </c>
      <c r="AO14" s="72">
        <v>0.9</v>
      </c>
      <c r="AP14" s="72">
        <v>0.9</v>
      </c>
      <c r="AQ14" s="72">
        <v>0.9</v>
      </c>
      <c r="AR14" s="72">
        <v>0.9</v>
      </c>
      <c r="AS14" s="72">
        <v>0.9</v>
      </c>
      <c r="AT14" s="72">
        <v>0.9</v>
      </c>
      <c r="AU14" s="72">
        <v>0.9</v>
      </c>
      <c r="AV14" s="72">
        <v>0.9</v>
      </c>
      <c r="AW14" s="72">
        <v>0.9</v>
      </c>
    </row>
    <row r="15" spans="1:49" x14ac:dyDescent="0.2">
      <c r="A15" s="86"/>
      <c r="B15" s="87"/>
      <c r="C15" s="87"/>
      <c r="D15" s="87"/>
      <c r="E15" s="87"/>
      <c r="F15" s="87"/>
      <c r="G15" s="87"/>
      <c r="H15" s="87"/>
      <c r="I15" s="87"/>
      <c r="J15" s="87"/>
      <c r="K15" s="87"/>
      <c r="L15" s="87"/>
      <c r="M15" s="87"/>
      <c r="N15" s="87"/>
      <c r="O15" s="87"/>
      <c r="P15" s="87"/>
      <c r="Q15" s="87"/>
      <c r="R15" s="87"/>
      <c r="S15" s="87"/>
      <c r="T15" s="87"/>
      <c r="U15" s="87"/>
      <c r="V15" s="87"/>
      <c r="W15" s="87"/>
      <c r="X15" s="87"/>
      <c r="Y15" s="87"/>
    </row>
    <row r="16" spans="1:49" x14ac:dyDescent="0.2">
      <c r="A16" s="137" t="s">
        <v>620</v>
      </c>
      <c r="B16" s="165"/>
      <c r="C16" s="165"/>
      <c r="D16" s="165"/>
      <c r="E16" s="165"/>
      <c r="F16" s="165"/>
      <c r="G16" s="165"/>
      <c r="H16" s="165"/>
      <c r="I16" s="165"/>
      <c r="J16" s="165"/>
      <c r="K16" s="165"/>
      <c r="L16" s="165"/>
      <c r="M16" s="165"/>
      <c r="N16" s="165"/>
      <c r="O16" s="165"/>
      <c r="P16" s="165"/>
      <c r="Q16" s="165"/>
    </row>
    <row r="17" spans="2:17" x14ac:dyDescent="0.2">
      <c r="B17" s="165"/>
      <c r="C17" s="165"/>
      <c r="D17" s="165"/>
      <c r="E17" s="165"/>
      <c r="F17" s="165"/>
      <c r="G17" s="165"/>
      <c r="H17" s="165"/>
      <c r="I17" s="165"/>
      <c r="J17" s="165"/>
      <c r="K17" s="165"/>
      <c r="L17" s="165"/>
      <c r="M17" s="165"/>
      <c r="N17" s="165"/>
      <c r="O17" s="165"/>
      <c r="P17" s="165"/>
      <c r="Q17" s="165"/>
    </row>
    <row r="33" spans="16:16" x14ac:dyDescent="0.2">
      <c r="P33" s="317"/>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70C0"/>
  </sheetPr>
  <dimension ref="A1:AW34"/>
  <sheetViews>
    <sheetView workbookViewId="0">
      <pane xSplit="1" topLeftCell="B1" activePane="topRight" state="frozen"/>
      <selection pane="topRight"/>
    </sheetView>
  </sheetViews>
  <sheetFormatPr defaultColWidth="9.140625" defaultRowHeight="12.75" x14ac:dyDescent="0.2"/>
  <cols>
    <col min="1" max="1" width="29.7109375" style="117" customWidth="1"/>
    <col min="2" max="2" width="9.85546875" style="117" bestFit="1" customWidth="1"/>
    <col min="3" max="16384" width="9.140625" style="117"/>
  </cols>
  <sheetData>
    <row r="1" spans="1:49" x14ac:dyDescent="0.2">
      <c r="A1" s="116" t="s">
        <v>360</v>
      </c>
      <c r="E1" s="551"/>
    </row>
    <row r="2" spans="1:49" x14ac:dyDescent="0.2">
      <c r="A2" s="116"/>
    </row>
    <row r="3" spans="1:49" x14ac:dyDescent="0.2">
      <c r="A3" s="137" t="s">
        <v>151</v>
      </c>
      <c r="B3" s="139" t="str">
        <f>IF(HLOOKUP(MAX(B7:AW7),A7:AW9,3,0)&gt;HLOOKUP(MAX(B7:AW7),A7:AW9,2,0),"Better", "Worse")</f>
        <v>Worse</v>
      </c>
      <c r="C3" s="122" t="b">
        <f>IF(HLOOKUP(MAX(B7:AW7),A7:AW9,3,0)=HLOOKUP(MAX(B7:AW7),A7:AW9,2,0),"Equal")</f>
        <v>0</v>
      </c>
    </row>
    <row r="4" spans="1:49" x14ac:dyDescent="0.2">
      <c r="A4" s="137" t="s">
        <v>148</v>
      </c>
      <c r="B4" s="121">
        <f>MAX(B7:AW7)</f>
        <v>42887</v>
      </c>
    </row>
    <row r="5" spans="1:49" x14ac:dyDescent="0.2">
      <c r="A5" s="137" t="s">
        <v>215</v>
      </c>
      <c r="B5" s="138" t="s">
        <v>233</v>
      </c>
    </row>
    <row r="7" spans="1:49" x14ac:dyDescent="0.2">
      <c r="A7" s="146"/>
      <c r="B7" s="167">
        <v>42095</v>
      </c>
      <c r="C7" s="167">
        <v>42125</v>
      </c>
      <c r="D7" s="167">
        <v>42156</v>
      </c>
      <c r="E7" s="167">
        <v>42186</v>
      </c>
      <c r="F7" s="167">
        <v>42217</v>
      </c>
      <c r="G7" s="167">
        <v>42248</v>
      </c>
      <c r="H7" s="167">
        <v>42278</v>
      </c>
      <c r="I7" s="167">
        <v>42309</v>
      </c>
      <c r="J7" s="167">
        <v>42339</v>
      </c>
      <c r="K7" s="167">
        <v>42370</v>
      </c>
      <c r="L7" s="167">
        <v>42401</v>
      </c>
      <c r="M7" s="167">
        <v>42430</v>
      </c>
      <c r="N7" s="167">
        <v>42461</v>
      </c>
      <c r="O7" s="167">
        <v>42491</v>
      </c>
      <c r="P7" s="167">
        <v>42522</v>
      </c>
      <c r="Q7" s="167">
        <v>42552</v>
      </c>
      <c r="R7" s="167">
        <v>42583</v>
      </c>
      <c r="S7" s="167">
        <v>42614</v>
      </c>
      <c r="T7" s="167">
        <v>42644</v>
      </c>
      <c r="U7" s="167">
        <v>42675</v>
      </c>
      <c r="V7" s="167">
        <v>42705</v>
      </c>
      <c r="W7" s="167">
        <v>42736</v>
      </c>
      <c r="X7" s="167">
        <v>42767</v>
      </c>
      <c r="Y7" s="167">
        <v>42795</v>
      </c>
      <c r="Z7" s="549">
        <v>42826</v>
      </c>
      <c r="AA7" s="549">
        <v>42856</v>
      </c>
      <c r="AB7" s="549">
        <v>42887</v>
      </c>
      <c r="AC7" s="167"/>
      <c r="AD7" s="167"/>
      <c r="AE7" s="167"/>
      <c r="AF7" s="167"/>
      <c r="AG7" s="167"/>
      <c r="AH7" s="167"/>
      <c r="AI7" s="167"/>
      <c r="AJ7" s="167"/>
      <c r="AK7" s="167"/>
      <c r="AL7" s="167"/>
      <c r="AM7" s="167"/>
      <c r="AN7" s="167"/>
      <c r="AO7" s="167"/>
      <c r="AP7" s="167"/>
      <c r="AQ7" s="167"/>
      <c r="AR7" s="167"/>
      <c r="AS7" s="167"/>
      <c r="AT7" s="167"/>
      <c r="AU7" s="167"/>
      <c r="AV7" s="167"/>
      <c r="AW7" s="167"/>
    </row>
    <row r="8" spans="1:49" x14ac:dyDescent="0.2">
      <c r="A8" s="168" t="s">
        <v>386</v>
      </c>
      <c r="B8" s="169">
        <v>0.876</v>
      </c>
      <c r="C8" s="169">
        <v>0.88500000000000001</v>
      </c>
      <c r="D8" s="169">
        <v>0.88300000000000001</v>
      </c>
      <c r="E8" s="170">
        <v>0.88</v>
      </c>
      <c r="F8" s="165">
        <v>0.879</v>
      </c>
      <c r="G8" s="169">
        <v>0.872</v>
      </c>
      <c r="H8" s="169">
        <v>0.86499999999999999</v>
      </c>
      <c r="I8" s="169">
        <v>0.86299999999999999</v>
      </c>
      <c r="J8" s="169">
        <v>0.871</v>
      </c>
      <c r="K8" s="169">
        <v>0.86699999999999999</v>
      </c>
      <c r="L8" s="169">
        <v>0.86199999999999999</v>
      </c>
      <c r="M8" s="169">
        <v>0.86599999999999999</v>
      </c>
      <c r="N8" s="169">
        <v>0.86099999999999999</v>
      </c>
      <c r="O8" s="169">
        <v>0.872</v>
      </c>
      <c r="P8" s="169">
        <v>0.87</v>
      </c>
      <c r="Q8" s="169">
        <v>0.86599999999999999</v>
      </c>
      <c r="R8" s="169">
        <v>0.86</v>
      </c>
      <c r="S8" s="169">
        <v>0.84699999999999998</v>
      </c>
      <c r="T8" s="169">
        <v>0.84199999999999997</v>
      </c>
      <c r="U8" s="169">
        <v>0.83799999999999997</v>
      </c>
      <c r="V8" s="169">
        <v>0.83799999999999997</v>
      </c>
      <c r="W8" s="169">
        <v>0.83199999999999996</v>
      </c>
      <c r="X8" s="169">
        <v>0.83</v>
      </c>
      <c r="Y8" s="169">
        <v>0.83199999999999996</v>
      </c>
      <c r="Z8" s="169">
        <v>0.83499999999999996</v>
      </c>
      <c r="AA8" s="169">
        <v>0.84699999999999998</v>
      </c>
      <c r="AB8" s="169">
        <v>0.84799999999999998</v>
      </c>
      <c r="AC8" s="170"/>
      <c r="AD8" s="165"/>
      <c r="AE8" s="169"/>
      <c r="AF8" s="169"/>
      <c r="AG8" s="169"/>
      <c r="AH8" s="169"/>
      <c r="AI8" s="169"/>
      <c r="AJ8" s="169"/>
      <c r="AK8" s="169"/>
      <c r="AL8" s="169"/>
      <c r="AM8" s="169"/>
      <c r="AN8" s="169"/>
      <c r="AO8" s="169"/>
      <c r="AP8" s="169"/>
      <c r="AQ8" s="169"/>
      <c r="AR8" s="169"/>
      <c r="AS8" s="169"/>
      <c r="AT8" s="169"/>
      <c r="AU8" s="169"/>
      <c r="AV8" s="169"/>
      <c r="AW8" s="169"/>
    </row>
    <row r="9" spans="1:49" x14ac:dyDescent="0.2">
      <c r="A9" s="168" t="s">
        <v>387</v>
      </c>
      <c r="B9" s="169">
        <v>0.86099999999999999</v>
      </c>
      <c r="C9" s="169">
        <v>0.87</v>
      </c>
      <c r="D9" s="169">
        <v>0.85899999999999999</v>
      </c>
      <c r="E9" s="169">
        <v>0.873</v>
      </c>
      <c r="F9" s="169">
        <v>0.85199999999999998</v>
      </c>
      <c r="G9" s="169">
        <v>0.84899999999999998</v>
      </c>
      <c r="H9" s="169">
        <v>0.84</v>
      </c>
      <c r="I9" s="169">
        <v>0.82499999999999996</v>
      </c>
      <c r="J9" s="169">
        <v>0.82799999999999996</v>
      </c>
      <c r="K9" s="169">
        <v>0.83</v>
      </c>
      <c r="L9" s="169">
        <v>0.82399999999999995</v>
      </c>
      <c r="M9" s="169">
        <v>0.83099999999999996</v>
      </c>
      <c r="N9" s="169">
        <v>0.83</v>
      </c>
      <c r="O9" s="169">
        <v>0.82899999999999996</v>
      </c>
      <c r="P9" s="169">
        <v>0.81299999999999994</v>
      </c>
      <c r="Q9" s="169">
        <v>0.83599999999999997</v>
      </c>
      <c r="R9" s="169">
        <v>0.83199999999999996</v>
      </c>
      <c r="S9" s="169">
        <v>0.81</v>
      </c>
      <c r="T9" s="169">
        <v>0.80200000000000005</v>
      </c>
      <c r="U9" s="169">
        <v>0.79900000000000004</v>
      </c>
      <c r="V9" s="169">
        <v>0.79900000000000004</v>
      </c>
      <c r="W9" s="169">
        <v>0.79200000000000004</v>
      </c>
      <c r="X9" s="169">
        <v>0.79300000000000004</v>
      </c>
      <c r="Y9" s="169">
        <v>0.79100000000000004</v>
      </c>
      <c r="Z9" s="169">
        <v>0.78800000000000003</v>
      </c>
      <c r="AA9" s="169">
        <v>0.81</v>
      </c>
      <c r="AB9" s="169">
        <v>0.81100000000000005</v>
      </c>
      <c r="AC9" s="169"/>
      <c r="AD9" s="169"/>
      <c r="AE9" s="169"/>
      <c r="AF9" s="169"/>
      <c r="AG9" s="169"/>
      <c r="AH9" s="169"/>
      <c r="AI9" s="169"/>
      <c r="AJ9" s="169"/>
      <c r="AK9" s="169"/>
      <c r="AL9" s="169"/>
      <c r="AM9" s="169"/>
      <c r="AN9" s="169"/>
      <c r="AO9" s="169"/>
      <c r="AP9" s="169"/>
      <c r="AQ9" s="169"/>
      <c r="AR9" s="169"/>
      <c r="AS9" s="169"/>
      <c r="AT9" s="169"/>
      <c r="AU9" s="169"/>
      <c r="AV9" s="169"/>
      <c r="AW9" s="169"/>
    </row>
    <row r="11" spans="1:49" x14ac:dyDescent="0.2">
      <c r="A11" s="155"/>
      <c r="B11" s="297"/>
      <c r="C11" s="297"/>
      <c r="D11" s="297"/>
      <c r="E11" s="297"/>
      <c r="F11" s="165"/>
      <c r="G11" s="165"/>
      <c r="H11" s="165"/>
      <c r="I11" s="165"/>
      <c r="J11" s="165"/>
      <c r="K11" s="165"/>
      <c r="L11" s="165"/>
      <c r="M11" s="165"/>
      <c r="N11" s="165"/>
      <c r="O11" s="165"/>
      <c r="P11" s="165"/>
    </row>
    <row r="12" spans="1:49" x14ac:dyDescent="0.2">
      <c r="B12" s="165"/>
      <c r="C12" s="165"/>
      <c r="D12" s="165"/>
      <c r="E12" s="165"/>
      <c r="F12" s="165"/>
      <c r="G12" s="165"/>
      <c r="H12" s="165"/>
      <c r="I12" s="165"/>
      <c r="J12" s="165"/>
      <c r="K12" s="165"/>
      <c r="L12" s="165"/>
      <c r="M12" s="165"/>
      <c r="N12" s="165"/>
      <c r="O12" s="165"/>
      <c r="P12" s="165"/>
    </row>
    <row r="15" spans="1:49" x14ac:dyDescent="0.2">
      <c r="A15" s="155"/>
      <c r="B15" s="155"/>
      <c r="C15" s="155"/>
      <c r="D15" s="155"/>
      <c r="E15" s="155"/>
      <c r="F15" s="155"/>
      <c r="G15" s="155"/>
      <c r="H15" s="155"/>
      <c r="I15" s="155"/>
      <c r="J15" s="155"/>
      <c r="K15" s="155"/>
    </row>
    <row r="34" spans="15:15" x14ac:dyDescent="0.2">
      <c r="O34" s="165"/>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W11"/>
  <sheetViews>
    <sheetView workbookViewId="0">
      <pane xSplit="1" topLeftCell="B1" activePane="topRight" state="frozen"/>
      <selection pane="topRight"/>
    </sheetView>
  </sheetViews>
  <sheetFormatPr defaultColWidth="9.140625" defaultRowHeight="12.75" x14ac:dyDescent="0.2"/>
  <cols>
    <col min="1" max="1" width="19" style="117" bestFit="1" customWidth="1"/>
    <col min="2" max="2" width="10" style="117" customWidth="1"/>
    <col min="3" max="13" width="9.140625" style="117"/>
    <col min="14" max="14" width="10" style="117" bestFit="1" customWidth="1"/>
    <col min="15" max="16384" width="9.140625" style="117"/>
  </cols>
  <sheetData>
    <row r="1" spans="1:49" x14ac:dyDescent="0.2">
      <c r="A1" s="116" t="s">
        <v>360</v>
      </c>
    </row>
    <row r="2" spans="1:49" x14ac:dyDescent="0.2">
      <c r="A2" s="116"/>
    </row>
    <row r="3" spans="1:49" x14ac:dyDescent="0.2">
      <c r="A3" s="118" t="s">
        <v>454</v>
      </c>
      <c r="B3" s="155" t="s">
        <v>741</v>
      </c>
    </row>
    <row r="4" spans="1:49" x14ac:dyDescent="0.2">
      <c r="A4" s="118" t="s">
        <v>147</v>
      </c>
      <c r="B4" s="320">
        <f>HLOOKUP(MAX(B9:AW9),B9:AW11,2,0)</f>
        <v>4.7100000000000003E-2</v>
      </c>
    </row>
    <row r="5" spans="1:49" x14ac:dyDescent="0.2">
      <c r="A5" s="118" t="s">
        <v>119</v>
      </c>
      <c r="B5" s="138">
        <f>MAX(B9:AW9)</f>
        <v>42917</v>
      </c>
    </row>
    <row r="6" spans="1:49" x14ac:dyDescent="0.2">
      <c r="A6" s="118" t="s">
        <v>201</v>
      </c>
      <c r="B6" s="419" t="s">
        <v>181</v>
      </c>
    </row>
    <row r="7" spans="1:49" x14ac:dyDescent="0.2">
      <c r="A7" s="118" t="s">
        <v>456</v>
      </c>
      <c r="B7" s="173" t="s">
        <v>143</v>
      </c>
    </row>
    <row r="8" spans="1:49" x14ac:dyDescent="0.2">
      <c r="A8" s="134"/>
    </row>
    <row r="9" spans="1:49" x14ac:dyDescent="0.2">
      <c r="A9" s="203"/>
      <c r="B9" s="152">
        <v>42095</v>
      </c>
      <c r="C9" s="152">
        <v>42125</v>
      </c>
      <c r="D9" s="152">
        <v>42156</v>
      </c>
      <c r="E9" s="152">
        <v>42186</v>
      </c>
      <c r="F9" s="152">
        <v>42217</v>
      </c>
      <c r="G9" s="152">
        <v>42248</v>
      </c>
      <c r="H9" s="152">
        <v>42278</v>
      </c>
      <c r="I9" s="152">
        <v>42309</v>
      </c>
      <c r="J9" s="152">
        <v>42339</v>
      </c>
      <c r="K9" s="152">
        <v>42370</v>
      </c>
      <c r="L9" s="152">
        <v>42401</v>
      </c>
      <c r="M9" s="152">
        <v>42430</v>
      </c>
      <c r="N9" s="152">
        <v>42461</v>
      </c>
      <c r="O9" s="152">
        <v>42491</v>
      </c>
      <c r="P9" s="152">
        <v>42522</v>
      </c>
      <c r="Q9" s="152">
        <v>42552</v>
      </c>
      <c r="R9" s="152">
        <v>42583</v>
      </c>
      <c r="S9" s="152">
        <v>42614</v>
      </c>
      <c r="T9" s="152">
        <v>42644</v>
      </c>
      <c r="U9" s="152">
        <v>42675</v>
      </c>
      <c r="V9" s="152">
        <v>42705</v>
      </c>
      <c r="W9" s="152">
        <v>42736</v>
      </c>
      <c r="X9" s="152">
        <v>42767</v>
      </c>
      <c r="Y9" s="152">
        <v>42795</v>
      </c>
      <c r="Z9" s="152">
        <v>42826</v>
      </c>
      <c r="AA9" s="152">
        <v>42856</v>
      </c>
      <c r="AB9" s="152">
        <v>42887</v>
      </c>
      <c r="AC9" s="152">
        <v>42917</v>
      </c>
      <c r="AD9" s="152"/>
      <c r="AE9" s="152"/>
      <c r="AF9" s="152"/>
      <c r="AG9" s="152"/>
      <c r="AH9" s="152"/>
      <c r="AI9" s="152"/>
      <c r="AJ9" s="152"/>
      <c r="AK9" s="152"/>
      <c r="AL9" s="152"/>
      <c r="AM9" s="152"/>
      <c r="AN9" s="152"/>
      <c r="AO9" s="152"/>
      <c r="AP9" s="152"/>
      <c r="AQ9" s="152"/>
      <c r="AR9" s="152"/>
      <c r="AS9" s="152"/>
      <c r="AT9" s="152"/>
      <c r="AU9" s="152"/>
      <c r="AV9" s="152"/>
      <c r="AW9" s="152"/>
    </row>
    <row r="10" spans="1:49" x14ac:dyDescent="0.2">
      <c r="A10" s="254" t="s">
        <v>387</v>
      </c>
      <c r="B10" s="318">
        <v>4.7699999999999992E-2</v>
      </c>
      <c r="C10" s="318">
        <v>4.6699999999999998E-2</v>
      </c>
      <c r="D10" s="318">
        <v>4.8099999999999997E-2</v>
      </c>
      <c r="E10" s="318">
        <v>4.9299999999999997E-2</v>
      </c>
      <c r="F10" s="318">
        <v>4.58E-2</v>
      </c>
      <c r="G10" s="318">
        <v>4.82E-2</v>
      </c>
      <c r="H10" s="318">
        <v>4.9800000000000004E-2</v>
      </c>
      <c r="I10" s="318">
        <v>5.1200000000000002E-2</v>
      </c>
      <c r="J10" s="318">
        <v>5.1799999999999999E-2</v>
      </c>
      <c r="K10" s="318">
        <v>5.4100000000000002E-2</v>
      </c>
      <c r="L10" s="318">
        <v>5.1399999999999994E-2</v>
      </c>
      <c r="M10" s="318">
        <v>5.1200000000000002E-2</v>
      </c>
      <c r="N10" s="318">
        <v>4.5700000000000005E-2</v>
      </c>
      <c r="O10" s="318">
        <v>4.5400000000000003E-2</v>
      </c>
      <c r="P10" s="319">
        <v>4.5100000000000001E-2</v>
      </c>
      <c r="Q10" s="319">
        <v>4.4999999999999998E-2</v>
      </c>
      <c r="R10" s="319">
        <v>4.87E-2</v>
      </c>
      <c r="S10" s="319">
        <v>4.8599999999999997E-2</v>
      </c>
      <c r="T10" s="319">
        <v>4.9700000000000001E-2</v>
      </c>
      <c r="U10" s="319">
        <v>5.1999999999999998E-2</v>
      </c>
      <c r="V10" s="319">
        <v>5.2999999999999999E-2</v>
      </c>
      <c r="W10" s="319">
        <v>5.45E-2</v>
      </c>
      <c r="X10" s="319">
        <v>4.7800000000000002E-2</v>
      </c>
      <c r="Y10" s="319">
        <v>5.0999999999999997E-2</v>
      </c>
      <c r="Z10" s="318">
        <v>4.3900000000000002E-2</v>
      </c>
      <c r="AA10" s="318">
        <v>5.0799999999999998E-2</v>
      </c>
      <c r="AB10" s="318">
        <v>4.9099999999999998E-2</v>
      </c>
      <c r="AC10" s="318">
        <v>4.7100000000000003E-2</v>
      </c>
      <c r="AD10" s="318"/>
      <c r="AE10" s="318"/>
      <c r="AF10" s="318"/>
      <c r="AG10" s="318"/>
      <c r="AH10" s="318"/>
      <c r="AI10" s="318"/>
      <c r="AJ10" s="318"/>
      <c r="AK10" s="318"/>
      <c r="AL10" s="318"/>
      <c r="AM10" s="318"/>
      <c r="AN10" s="319"/>
      <c r="AO10" s="319"/>
      <c r="AP10" s="319"/>
      <c r="AQ10" s="319"/>
      <c r="AR10" s="319"/>
      <c r="AS10" s="319"/>
      <c r="AT10" s="319"/>
      <c r="AU10" s="319"/>
      <c r="AV10" s="319"/>
      <c r="AW10" s="319"/>
    </row>
    <row r="11" spans="1:49" s="199" customFormat="1" x14ac:dyDescent="0.2">
      <c r="A11" s="255" t="s">
        <v>16</v>
      </c>
      <c r="B11" s="321">
        <v>0.04</v>
      </c>
      <c r="C11" s="321">
        <v>0.04</v>
      </c>
      <c r="D11" s="321">
        <v>0.04</v>
      </c>
      <c r="E11" s="321">
        <v>0.04</v>
      </c>
      <c r="F11" s="321">
        <v>0.04</v>
      </c>
      <c r="G11" s="321">
        <v>0.04</v>
      </c>
      <c r="H11" s="321">
        <v>0.04</v>
      </c>
      <c r="I11" s="321">
        <v>0.04</v>
      </c>
      <c r="J11" s="321">
        <v>0.04</v>
      </c>
      <c r="K11" s="321">
        <v>0.04</v>
      </c>
      <c r="L11" s="321">
        <v>0.04</v>
      </c>
      <c r="M11" s="321">
        <v>0.04</v>
      </c>
      <c r="N11" s="321">
        <v>0.04</v>
      </c>
      <c r="O11" s="321">
        <v>0.04</v>
      </c>
      <c r="P11" s="321">
        <v>0.04</v>
      </c>
      <c r="Q11" s="321">
        <v>0.04</v>
      </c>
      <c r="R11" s="321">
        <v>0.04</v>
      </c>
      <c r="S11" s="321">
        <v>0.04</v>
      </c>
      <c r="T11" s="321">
        <v>0.04</v>
      </c>
      <c r="U11" s="321">
        <v>0.04</v>
      </c>
      <c r="V11" s="321">
        <v>0.04</v>
      </c>
      <c r="W11" s="321">
        <v>0.04</v>
      </c>
      <c r="X11" s="321">
        <v>0.04</v>
      </c>
      <c r="Y11" s="321">
        <v>0.04</v>
      </c>
      <c r="Z11" s="321">
        <v>0.04</v>
      </c>
      <c r="AA11" s="321">
        <v>0.04</v>
      </c>
      <c r="AB11" s="321">
        <v>0.04</v>
      </c>
      <c r="AC11" s="321">
        <v>0.04</v>
      </c>
      <c r="AD11" s="321">
        <v>0.04</v>
      </c>
      <c r="AE11" s="321">
        <v>0.04</v>
      </c>
      <c r="AF11" s="321">
        <v>0.04</v>
      </c>
      <c r="AG11" s="321">
        <v>0.04</v>
      </c>
      <c r="AH11" s="321">
        <v>0.04</v>
      </c>
      <c r="AI11" s="321">
        <v>0.04</v>
      </c>
      <c r="AJ11" s="321">
        <v>0.04</v>
      </c>
      <c r="AK11" s="321">
        <v>0.04</v>
      </c>
      <c r="AL11" s="321">
        <v>0.04</v>
      </c>
      <c r="AM11" s="321">
        <v>0.04</v>
      </c>
      <c r="AN11" s="321">
        <v>0.04</v>
      </c>
      <c r="AO11" s="321">
        <v>0.04</v>
      </c>
      <c r="AP11" s="321">
        <v>0.04</v>
      </c>
      <c r="AQ11" s="321">
        <v>0.04</v>
      </c>
      <c r="AR11" s="321">
        <v>0.04</v>
      </c>
      <c r="AS11" s="321">
        <v>0.04</v>
      </c>
      <c r="AT11" s="321">
        <v>0.04</v>
      </c>
      <c r="AU11" s="321">
        <v>0.04</v>
      </c>
      <c r="AV11" s="321">
        <v>0.04</v>
      </c>
      <c r="AW11" s="321">
        <v>0.04</v>
      </c>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70C0"/>
  </sheetPr>
  <dimension ref="A1:F16"/>
  <sheetViews>
    <sheetView workbookViewId="0"/>
  </sheetViews>
  <sheetFormatPr defaultColWidth="9.140625" defaultRowHeight="12.75" x14ac:dyDescent="0.2"/>
  <cols>
    <col min="1" max="1" width="19" style="117" bestFit="1" customWidth="1"/>
    <col min="2" max="16384" width="9.140625" style="117"/>
  </cols>
  <sheetData>
    <row r="1" spans="1:6" x14ac:dyDescent="0.2">
      <c r="A1" s="116" t="s">
        <v>360</v>
      </c>
    </row>
    <row r="2" spans="1:6" x14ac:dyDescent="0.2">
      <c r="A2" s="116"/>
    </row>
    <row r="3" spans="1:6" x14ac:dyDescent="0.2">
      <c r="A3" s="137" t="s">
        <v>151</v>
      </c>
      <c r="B3" s="139" t="s">
        <v>83</v>
      </c>
      <c r="C3" s="122"/>
    </row>
    <row r="4" spans="1:6" x14ac:dyDescent="0.2">
      <c r="A4" s="137" t="s">
        <v>148</v>
      </c>
      <c r="B4" s="419" t="s">
        <v>231</v>
      </c>
    </row>
    <row r="5" spans="1:6" x14ac:dyDescent="0.2">
      <c r="A5" s="137" t="s">
        <v>215</v>
      </c>
      <c r="B5" s="138" t="s">
        <v>241</v>
      </c>
    </row>
    <row r="6" spans="1:6" x14ac:dyDescent="0.2">
      <c r="A6" s="134"/>
    </row>
    <row r="7" spans="1:6" x14ac:dyDescent="0.2">
      <c r="A7" s="140"/>
      <c r="B7" s="160" t="s">
        <v>129</v>
      </c>
      <c r="C7" s="160" t="s">
        <v>69</v>
      </c>
      <c r="D7" s="160" t="s">
        <v>231</v>
      </c>
      <c r="E7" s="160" t="s">
        <v>469</v>
      </c>
      <c r="F7" s="160" t="s">
        <v>470</v>
      </c>
    </row>
    <row r="8" spans="1:6" x14ac:dyDescent="0.2">
      <c r="A8" s="144" t="s">
        <v>386</v>
      </c>
      <c r="B8" s="322">
        <v>5.04E-2</v>
      </c>
      <c r="C8" s="322">
        <v>5.16E-2</v>
      </c>
      <c r="D8" s="322">
        <v>5.1999999999999998E-2</v>
      </c>
      <c r="E8" s="322"/>
      <c r="F8" s="322"/>
    </row>
    <row r="9" spans="1:6" x14ac:dyDescent="0.2">
      <c r="A9" s="144" t="s">
        <v>387</v>
      </c>
      <c r="B9" s="322">
        <v>4.7100000000000003E-2</v>
      </c>
      <c r="C9" s="322">
        <v>5.0200000000000002E-2</v>
      </c>
      <c r="D9" s="322">
        <v>4.9700000000000001E-2</v>
      </c>
      <c r="E9" s="322"/>
      <c r="F9" s="322"/>
    </row>
    <row r="16" spans="1:6" x14ac:dyDescent="0.2">
      <c r="B16" s="166"/>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W76"/>
  <sheetViews>
    <sheetView workbookViewId="0"/>
  </sheetViews>
  <sheetFormatPr defaultColWidth="9.140625" defaultRowHeight="12.75" x14ac:dyDescent="0.2"/>
  <cols>
    <col min="1" max="1" width="36.85546875" style="117" customWidth="1"/>
    <col min="2" max="3" width="11.140625" style="117" customWidth="1"/>
    <col min="4" max="4" width="11.42578125" style="117" customWidth="1"/>
    <col min="5" max="5" width="11.28515625" style="117" customWidth="1"/>
    <col min="6" max="6" width="11.42578125" style="117" customWidth="1"/>
    <col min="7" max="7" width="11.85546875" style="117" customWidth="1"/>
    <col min="8" max="10" width="11.28515625" style="117" customWidth="1"/>
    <col min="11" max="21" width="11.5703125" style="117" customWidth="1"/>
    <col min="22" max="16384" width="9.140625" style="117"/>
  </cols>
  <sheetData>
    <row r="1" spans="1:21" x14ac:dyDescent="0.2">
      <c r="A1" s="116" t="s">
        <v>360</v>
      </c>
      <c r="B1" s="155" t="s">
        <v>385</v>
      </c>
    </row>
    <row r="3" spans="1:21" x14ac:dyDescent="0.2">
      <c r="A3" s="118" t="s">
        <v>454</v>
      </c>
      <c r="B3" s="117" t="s">
        <v>59</v>
      </c>
    </row>
    <row r="4" spans="1:21" x14ac:dyDescent="0.2">
      <c r="A4" s="118" t="s">
        <v>147</v>
      </c>
      <c r="B4" s="326">
        <f>HLOOKUP(MAX(B9:U9),B9:U18,3,0)</f>
        <v>303</v>
      </c>
    </row>
    <row r="5" spans="1:21" x14ac:dyDescent="0.2">
      <c r="A5" s="118" t="s">
        <v>119</v>
      </c>
      <c r="B5" s="327">
        <f>MAX(G9:U9)</f>
        <v>42795</v>
      </c>
      <c r="N5" s="451"/>
      <c r="R5" s="117" t="s">
        <v>385</v>
      </c>
    </row>
    <row r="6" spans="1:21" x14ac:dyDescent="0.2">
      <c r="A6" s="118" t="s">
        <v>201</v>
      </c>
      <c r="B6" s="138" t="s">
        <v>182</v>
      </c>
      <c r="R6" s="117" t="s">
        <v>385</v>
      </c>
    </row>
    <row r="7" spans="1:21" x14ac:dyDescent="0.2">
      <c r="A7" s="118" t="s">
        <v>456</v>
      </c>
      <c r="B7" s="122" t="s">
        <v>144</v>
      </c>
    </row>
    <row r="8" spans="1:21" x14ac:dyDescent="0.2">
      <c r="A8" s="591"/>
    </row>
    <row r="9" spans="1:21" x14ac:dyDescent="0.2">
      <c r="A9" s="144" t="s">
        <v>62</v>
      </c>
      <c r="B9" s="152">
        <v>41791</v>
      </c>
      <c r="C9" s="152">
        <v>41883</v>
      </c>
      <c r="D9" s="152">
        <v>41974</v>
      </c>
      <c r="E9" s="152">
        <v>42064</v>
      </c>
      <c r="F9" s="124">
        <v>42156</v>
      </c>
      <c r="G9" s="124">
        <v>42248</v>
      </c>
      <c r="H9" s="124">
        <v>42339</v>
      </c>
      <c r="I9" s="124">
        <v>42430</v>
      </c>
      <c r="J9" s="124">
        <v>42522</v>
      </c>
      <c r="K9" s="124">
        <v>42614</v>
      </c>
      <c r="L9" s="124">
        <v>42705</v>
      </c>
      <c r="M9" s="124">
        <v>42795</v>
      </c>
      <c r="N9" s="124"/>
      <c r="O9" s="124"/>
      <c r="P9" s="124"/>
      <c r="Q9" s="124"/>
      <c r="R9" s="124"/>
      <c r="S9" s="124"/>
      <c r="T9" s="124"/>
      <c r="U9" s="124"/>
    </row>
    <row r="10" spans="1:21" ht="25.5" x14ac:dyDescent="0.2">
      <c r="A10" s="600" t="s">
        <v>478</v>
      </c>
      <c r="B10" s="447">
        <v>442</v>
      </c>
      <c r="C10" s="447">
        <v>441</v>
      </c>
      <c r="D10" s="447">
        <v>441</v>
      </c>
      <c r="E10" s="447">
        <v>441</v>
      </c>
      <c r="F10" s="88">
        <v>293</v>
      </c>
      <c r="G10" s="88">
        <v>293</v>
      </c>
      <c r="H10" s="88">
        <v>293</v>
      </c>
      <c r="I10" s="88">
        <v>293</v>
      </c>
      <c r="J10" s="89">
        <v>367</v>
      </c>
      <c r="K10" s="89">
        <v>294</v>
      </c>
      <c r="L10" s="89">
        <v>404</v>
      </c>
      <c r="M10" s="89">
        <v>404</v>
      </c>
      <c r="N10" s="88"/>
      <c r="O10" s="88"/>
      <c r="P10" s="88"/>
      <c r="Q10" s="88"/>
      <c r="R10" s="89"/>
      <c r="S10" s="89"/>
      <c r="T10" s="89"/>
      <c r="U10" s="89"/>
    </row>
    <row r="11" spans="1:21" x14ac:dyDescent="0.2">
      <c r="A11" s="125" t="s">
        <v>168</v>
      </c>
      <c r="B11" s="323">
        <v>251</v>
      </c>
      <c r="C11" s="601">
        <v>244</v>
      </c>
      <c r="D11" s="323">
        <v>276</v>
      </c>
      <c r="E11" s="323">
        <v>368</v>
      </c>
      <c r="F11" s="324">
        <v>304</v>
      </c>
      <c r="G11" s="324">
        <v>315</v>
      </c>
      <c r="H11" s="324">
        <v>234</v>
      </c>
      <c r="I11" s="324">
        <v>314</v>
      </c>
      <c r="J11" s="324">
        <v>222</v>
      </c>
      <c r="K11" s="324">
        <v>239</v>
      </c>
      <c r="L11" s="324">
        <v>211</v>
      </c>
      <c r="M11" s="324">
        <v>303</v>
      </c>
      <c r="N11" s="324"/>
      <c r="O11" s="324"/>
      <c r="P11" s="324"/>
      <c r="Q11" s="324"/>
      <c r="R11" s="324"/>
      <c r="S11" s="324"/>
      <c r="T11" s="324"/>
      <c r="U11" s="324"/>
    </row>
    <row r="12" spans="1:21" x14ac:dyDescent="0.2">
      <c r="A12" s="608" t="s">
        <v>131</v>
      </c>
      <c r="B12" s="609">
        <f>MEDIAN($B$11:$M$11)</f>
        <v>263.5</v>
      </c>
      <c r="C12" s="609">
        <f t="shared" ref="C12:M12" si="0">MEDIAN($B$11:$M$11)</f>
        <v>263.5</v>
      </c>
      <c r="D12" s="609">
        <f t="shared" si="0"/>
        <v>263.5</v>
      </c>
      <c r="E12" s="609">
        <f t="shared" si="0"/>
        <v>263.5</v>
      </c>
      <c r="F12" s="609">
        <f t="shared" si="0"/>
        <v>263.5</v>
      </c>
      <c r="G12" s="609">
        <f t="shared" si="0"/>
        <v>263.5</v>
      </c>
      <c r="H12" s="609">
        <f t="shared" si="0"/>
        <v>263.5</v>
      </c>
      <c r="I12" s="609">
        <f t="shared" si="0"/>
        <v>263.5</v>
      </c>
      <c r="J12" s="609">
        <f t="shared" si="0"/>
        <v>263.5</v>
      </c>
      <c r="K12" s="609">
        <f t="shared" si="0"/>
        <v>263.5</v>
      </c>
      <c r="L12" s="609">
        <f t="shared" si="0"/>
        <v>263.5</v>
      </c>
      <c r="M12" s="609">
        <f t="shared" si="0"/>
        <v>263.5</v>
      </c>
      <c r="N12" s="324"/>
      <c r="O12" s="324"/>
      <c r="P12" s="324"/>
      <c r="Q12" s="324"/>
      <c r="R12" s="324"/>
      <c r="S12" s="324"/>
      <c r="T12" s="324"/>
      <c r="U12" s="324"/>
    </row>
    <row r="13" spans="1:21" x14ac:dyDescent="0.2">
      <c r="A13" s="608" t="s">
        <v>184</v>
      </c>
      <c r="B13" s="609"/>
      <c r="C13" s="609"/>
      <c r="D13" s="609"/>
      <c r="E13" s="609"/>
      <c r="F13" s="609"/>
      <c r="G13" s="609"/>
      <c r="H13" s="609"/>
      <c r="I13" s="609"/>
      <c r="J13" s="609"/>
      <c r="K13" s="609"/>
      <c r="L13" s="609"/>
      <c r="M13" s="609"/>
      <c r="N13" s="324"/>
      <c r="O13" s="324"/>
      <c r="P13" s="324"/>
      <c r="Q13" s="324"/>
      <c r="R13" s="324"/>
      <c r="S13" s="324"/>
      <c r="T13" s="324"/>
      <c r="U13" s="324"/>
    </row>
    <row r="14" spans="1:21" ht="51" x14ac:dyDescent="0.2">
      <c r="A14" s="602" t="s">
        <v>477</v>
      </c>
      <c r="B14" s="603">
        <v>221</v>
      </c>
      <c r="C14" s="603">
        <v>221</v>
      </c>
      <c r="D14" s="603">
        <v>221</v>
      </c>
      <c r="E14" s="603">
        <v>221</v>
      </c>
      <c r="F14" s="604">
        <v>147</v>
      </c>
      <c r="G14" s="604">
        <v>147</v>
      </c>
      <c r="H14" s="604">
        <v>147</v>
      </c>
      <c r="I14" s="604">
        <v>147</v>
      </c>
      <c r="J14" s="448">
        <f>SUM(J10/2)</f>
        <v>183.5</v>
      </c>
      <c r="K14" s="448">
        <f>SUM(K10/2)</f>
        <v>147</v>
      </c>
      <c r="L14" s="448">
        <f>SUM(L10/2)</f>
        <v>202</v>
      </c>
      <c r="M14" s="448">
        <f>SUM(M10/2)</f>
        <v>202</v>
      </c>
      <c r="N14" s="605"/>
      <c r="O14" s="605"/>
      <c r="P14" s="605"/>
      <c r="Q14" s="605"/>
      <c r="R14" s="105"/>
      <c r="S14" s="105"/>
      <c r="T14" s="105"/>
      <c r="U14" s="105"/>
    </row>
    <row r="15" spans="1:21" ht="25.5" x14ac:dyDescent="0.2">
      <c r="A15" s="606" t="s">
        <v>264</v>
      </c>
      <c r="B15" s="325">
        <f>SUM(B11-B18)</f>
        <v>224</v>
      </c>
      <c r="C15" s="325">
        <f t="shared" ref="C15:M15" si="1">SUM(C11-C18)</f>
        <v>189</v>
      </c>
      <c r="D15" s="325">
        <f t="shared" si="1"/>
        <v>195</v>
      </c>
      <c r="E15" s="325">
        <f t="shared" si="1"/>
        <v>229</v>
      </c>
      <c r="F15" s="325">
        <f t="shared" si="1"/>
        <v>210</v>
      </c>
      <c r="G15" s="325">
        <f t="shared" si="1"/>
        <v>229</v>
      </c>
      <c r="H15" s="325">
        <f t="shared" si="1"/>
        <v>155</v>
      </c>
      <c r="I15" s="325">
        <f t="shared" si="1"/>
        <v>193</v>
      </c>
      <c r="J15" s="325">
        <f t="shared" si="1"/>
        <v>159</v>
      </c>
      <c r="K15" s="325">
        <f t="shared" si="1"/>
        <v>175</v>
      </c>
      <c r="L15" s="325">
        <f t="shared" si="1"/>
        <v>170</v>
      </c>
      <c r="M15" s="325">
        <f t="shared" si="1"/>
        <v>196</v>
      </c>
      <c r="N15" s="325" t="s">
        <v>385</v>
      </c>
      <c r="O15" s="325" t="s">
        <v>385</v>
      </c>
      <c r="P15" s="325" t="s">
        <v>385</v>
      </c>
      <c r="Q15" s="325"/>
      <c r="R15" s="325"/>
      <c r="S15" s="325"/>
      <c r="T15" s="325"/>
      <c r="U15" s="325"/>
    </row>
    <row r="16" spans="1:21" x14ac:dyDescent="0.2">
      <c r="A16" s="610" t="s">
        <v>131</v>
      </c>
      <c r="B16" s="611">
        <f>MEDIAN($B$15:$M$15)</f>
        <v>194</v>
      </c>
      <c r="C16" s="611">
        <f t="shared" ref="C16:M16" si="2">MEDIAN($B$15:$M$15)</f>
        <v>194</v>
      </c>
      <c r="D16" s="611">
        <f t="shared" si="2"/>
        <v>194</v>
      </c>
      <c r="E16" s="611">
        <f t="shared" si="2"/>
        <v>194</v>
      </c>
      <c r="F16" s="611">
        <f t="shared" si="2"/>
        <v>194</v>
      </c>
      <c r="G16" s="611">
        <f t="shared" si="2"/>
        <v>194</v>
      </c>
      <c r="H16" s="611">
        <f t="shared" si="2"/>
        <v>194</v>
      </c>
      <c r="I16" s="611">
        <f t="shared" si="2"/>
        <v>194</v>
      </c>
      <c r="J16" s="611">
        <f t="shared" si="2"/>
        <v>194</v>
      </c>
      <c r="K16" s="611">
        <f t="shared" si="2"/>
        <v>194</v>
      </c>
      <c r="L16" s="611">
        <f t="shared" si="2"/>
        <v>194</v>
      </c>
      <c r="M16" s="611">
        <f t="shared" si="2"/>
        <v>194</v>
      </c>
      <c r="N16" s="325"/>
      <c r="O16" s="325"/>
      <c r="P16" s="325"/>
      <c r="Q16" s="325"/>
      <c r="R16" s="325"/>
      <c r="S16" s="325"/>
      <c r="T16" s="325"/>
      <c r="U16" s="325"/>
    </row>
    <row r="17" spans="1:23" x14ac:dyDescent="0.2">
      <c r="A17" s="608" t="s">
        <v>184</v>
      </c>
      <c r="B17" s="325"/>
      <c r="C17" s="325"/>
      <c r="D17" s="325"/>
      <c r="E17" s="325"/>
      <c r="F17" s="325"/>
      <c r="G17" s="325"/>
      <c r="H17" s="325"/>
      <c r="I17" s="325"/>
      <c r="J17" s="325"/>
      <c r="K17" s="325"/>
      <c r="L17" s="325"/>
      <c r="M17" s="325"/>
      <c r="N17" s="325"/>
      <c r="O17" s="325"/>
      <c r="P17" s="325"/>
      <c r="Q17" s="325"/>
      <c r="R17" s="325"/>
      <c r="S17" s="325"/>
      <c r="T17" s="325"/>
      <c r="U17" s="325"/>
    </row>
    <row r="18" spans="1:23" ht="25.5" x14ac:dyDescent="0.2">
      <c r="A18" s="606" t="s">
        <v>63</v>
      </c>
      <c r="B18" s="607">
        <v>27</v>
      </c>
      <c r="C18" s="607">
        <v>55</v>
      </c>
      <c r="D18" s="607">
        <v>81</v>
      </c>
      <c r="E18" s="607">
        <v>139</v>
      </c>
      <c r="F18" s="483">
        <v>94</v>
      </c>
      <c r="G18" s="483">
        <v>86</v>
      </c>
      <c r="H18" s="483">
        <v>79</v>
      </c>
      <c r="I18" s="483">
        <v>121</v>
      </c>
      <c r="J18" s="483">
        <v>63</v>
      </c>
      <c r="K18" s="483">
        <v>64</v>
      </c>
      <c r="L18" s="483">
        <v>41</v>
      </c>
      <c r="M18" s="483">
        <v>107</v>
      </c>
      <c r="N18" s="483" t="s">
        <v>385</v>
      </c>
      <c r="O18" s="483" t="s">
        <v>385</v>
      </c>
      <c r="P18" s="483" t="s">
        <v>385</v>
      </c>
      <c r="Q18" s="483"/>
      <c r="R18" s="483"/>
      <c r="S18" s="483"/>
      <c r="T18" s="483"/>
      <c r="U18" s="483"/>
    </row>
    <row r="19" spans="1:23" x14ac:dyDescent="0.2">
      <c r="A19" s="608" t="s">
        <v>131</v>
      </c>
      <c r="B19" s="612">
        <f>MEDIAN($B$18:$M$18)</f>
        <v>80</v>
      </c>
      <c r="C19" s="612">
        <f t="shared" ref="C19:M19" si="3">MEDIAN($B$18:$M$18)</f>
        <v>80</v>
      </c>
      <c r="D19" s="612">
        <f t="shared" si="3"/>
        <v>80</v>
      </c>
      <c r="E19" s="612">
        <f t="shared" si="3"/>
        <v>80</v>
      </c>
      <c r="F19" s="612">
        <f t="shared" si="3"/>
        <v>80</v>
      </c>
      <c r="G19" s="612">
        <f t="shared" si="3"/>
        <v>80</v>
      </c>
      <c r="H19" s="612">
        <f t="shared" si="3"/>
        <v>80</v>
      </c>
      <c r="I19" s="612">
        <f t="shared" si="3"/>
        <v>80</v>
      </c>
      <c r="J19" s="612">
        <f t="shared" si="3"/>
        <v>80</v>
      </c>
      <c r="K19" s="612">
        <f t="shared" si="3"/>
        <v>80</v>
      </c>
      <c r="L19" s="612">
        <f t="shared" si="3"/>
        <v>80</v>
      </c>
      <c r="M19" s="612">
        <f t="shared" si="3"/>
        <v>80</v>
      </c>
      <c r="N19" s="483"/>
      <c r="O19" s="483"/>
      <c r="P19" s="483"/>
      <c r="Q19" s="483"/>
      <c r="R19" s="483"/>
      <c r="S19" s="483"/>
      <c r="T19" s="483"/>
      <c r="U19" s="483"/>
    </row>
    <row r="20" spans="1:23" x14ac:dyDescent="0.2">
      <c r="A20" s="608" t="s">
        <v>184</v>
      </c>
      <c r="B20" s="607"/>
      <c r="C20" s="607"/>
      <c r="D20" s="607"/>
      <c r="E20" s="607"/>
      <c r="F20" s="483"/>
      <c r="G20" s="483"/>
      <c r="H20" s="483"/>
      <c r="I20" s="483"/>
      <c r="J20" s="483"/>
      <c r="K20" s="483"/>
      <c r="L20" s="483"/>
      <c r="M20" s="483"/>
      <c r="N20" s="483"/>
      <c r="O20" s="483"/>
      <c r="P20" s="483"/>
      <c r="Q20" s="483"/>
      <c r="R20" s="483"/>
      <c r="S20" s="483"/>
      <c r="T20" s="483"/>
      <c r="U20" s="483"/>
    </row>
    <row r="21" spans="1:23" ht="25.5" x14ac:dyDescent="0.2">
      <c r="A21" s="613" t="s">
        <v>265</v>
      </c>
      <c r="B21" s="614">
        <v>218</v>
      </c>
      <c r="C21" s="614">
        <v>185</v>
      </c>
      <c r="D21" s="614">
        <v>187</v>
      </c>
      <c r="E21" s="614">
        <v>217</v>
      </c>
      <c r="F21" s="614">
        <v>195</v>
      </c>
      <c r="G21" s="614">
        <v>222</v>
      </c>
      <c r="H21" s="614">
        <v>142</v>
      </c>
      <c r="I21" s="614">
        <v>183</v>
      </c>
      <c r="J21" s="615">
        <v>147</v>
      </c>
      <c r="K21" s="615">
        <v>162</v>
      </c>
      <c r="L21" s="615">
        <v>159</v>
      </c>
      <c r="M21" s="615">
        <v>185</v>
      </c>
      <c r="N21" s="614"/>
      <c r="O21" s="614"/>
      <c r="P21" s="614"/>
      <c r="Q21" s="614"/>
      <c r="R21" s="614"/>
      <c r="S21" s="614"/>
      <c r="T21" s="614"/>
      <c r="U21" s="614"/>
    </row>
    <row r="22" spans="1:23" x14ac:dyDescent="0.2">
      <c r="A22" s="613" t="s">
        <v>263</v>
      </c>
      <c r="B22" s="614">
        <v>6</v>
      </c>
      <c r="C22" s="614">
        <v>4</v>
      </c>
      <c r="D22" s="614">
        <v>8</v>
      </c>
      <c r="E22" s="614">
        <v>12</v>
      </c>
      <c r="F22" s="614">
        <v>15</v>
      </c>
      <c r="G22" s="614">
        <v>7</v>
      </c>
      <c r="H22" s="614">
        <v>13</v>
      </c>
      <c r="I22" s="614">
        <v>10</v>
      </c>
      <c r="J22" s="614">
        <v>12</v>
      </c>
      <c r="K22" s="614">
        <v>13</v>
      </c>
      <c r="L22" s="614">
        <v>11</v>
      </c>
      <c r="M22" s="614">
        <v>11</v>
      </c>
      <c r="N22" s="614"/>
      <c r="O22" s="614"/>
      <c r="P22" s="614"/>
      <c r="Q22" s="614"/>
      <c r="R22" s="614"/>
      <c r="S22" s="614"/>
      <c r="T22" s="614"/>
      <c r="U22" s="614"/>
    </row>
    <row r="23" spans="1:23" x14ac:dyDescent="0.2">
      <c r="A23" s="330"/>
      <c r="B23" s="412"/>
      <c r="C23" s="412"/>
      <c r="D23" s="412"/>
      <c r="E23" s="329"/>
      <c r="F23" s="329"/>
      <c r="G23" s="329"/>
      <c r="H23" s="329"/>
      <c r="I23" s="329"/>
      <c r="J23" s="329"/>
      <c r="K23" s="329"/>
      <c r="L23" s="329"/>
      <c r="M23" s="329"/>
      <c r="T23" s="253"/>
    </row>
    <row r="24" spans="1:23" x14ac:dyDescent="0.2">
      <c r="A24" s="212"/>
      <c r="B24" s="207"/>
      <c r="C24" s="207"/>
      <c r="D24" s="207"/>
      <c r="W24" s="117" t="s">
        <v>385</v>
      </c>
    </row>
    <row r="25" spans="1:23" ht="29.25" customHeight="1" x14ac:dyDescent="0.2">
      <c r="A25" s="984" t="s">
        <v>622</v>
      </c>
      <c r="B25" s="984"/>
      <c r="C25" s="984"/>
      <c r="D25" s="984"/>
      <c r="E25" s="984"/>
      <c r="F25" s="984"/>
      <c r="G25" s="984"/>
      <c r="H25" s="984"/>
      <c r="I25" s="984"/>
      <c r="J25" s="589"/>
      <c r="K25" s="985" t="s">
        <v>625</v>
      </c>
      <c r="L25" s="986"/>
      <c r="M25" s="986"/>
      <c r="N25" s="986"/>
      <c r="O25" s="986"/>
      <c r="P25" s="986"/>
      <c r="Q25" s="986"/>
      <c r="R25" s="986"/>
      <c r="S25" s="986"/>
      <c r="T25" s="986"/>
      <c r="U25" s="986"/>
    </row>
    <row r="26" spans="1:23" x14ac:dyDescent="0.2">
      <c r="K26" s="413"/>
    </row>
    <row r="29" spans="1:23" x14ac:dyDescent="0.2">
      <c r="P29" s="117" t="s">
        <v>385</v>
      </c>
    </row>
    <row r="30" spans="1:23" x14ac:dyDescent="0.2">
      <c r="P30" s="117" t="s">
        <v>385</v>
      </c>
    </row>
    <row r="31" spans="1:23" x14ac:dyDescent="0.2">
      <c r="P31" s="117" t="s">
        <v>385</v>
      </c>
    </row>
    <row r="36" spans="17:17" x14ac:dyDescent="0.2">
      <c r="Q36" s="117" t="s">
        <v>385</v>
      </c>
    </row>
    <row r="37" spans="17:17" x14ac:dyDescent="0.2">
      <c r="Q37" s="117" t="s">
        <v>385</v>
      </c>
    </row>
    <row r="50" spans="1:21" ht="27" customHeight="1" x14ac:dyDescent="0.2">
      <c r="A50" s="985" t="s">
        <v>623</v>
      </c>
      <c r="B50" s="986"/>
      <c r="C50" s="986"/>
      <c r="D50" s="986"/>
      <c r="E50" s="986"/>
      <c r="F50" s="986"/>
      <c r="G50" s="986"/>
      <c r="H50" s="986"/>
      <c r="I50" s="986"/>
      <c r="K50" s="987" t="s">
        <v>624</v>
      </c>
      <c r="L50" s="987"/>
      <c r="M50" s="987"/>
      <c r="N50" s="987"/>
      <c r="O50" s="987"/>
      <c r="P50" s="987"/>
      <c r="Q50" s="987"/>
      <c r="R50" s="987"/>
      <c r="S50" s="987"/>
      <c r="T50" s="987"/>
      <c r="U50" s="987"/>
    </row>
    <row r="51" spans="1:21" x14ac:dyDescent="0.2">
      <c r="A51" s="590"/>
      <c r="K51" s="590"/>
    </row>
    <row r="76" spans="1:12" x14ac:dyDescent="0.2">
      <c r="A76" s="199"/>
      <c r="L76" s="199"/>
    </row>
  </sheetData>
  <mergeCells count="4">
    <mergeCell ref="A25:I25"/>
    <mergeCell ref="K25:U25"/>
    <mergeCell ref="A50:I50"/>
    <mergeCell ref="K50:U50"/>
  </mergeCells>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8" scale="30" orientation="landscape" copies="20" r:id="rId1"/>
  <ignoredErrors>
    <ignoredError sqref="B5" formulaRange="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70C0"/>
  </sheetPr>
  <dimension ref="A1:F20"/>
  <sheetViews>
    <sheetView workbookViewId="0"/>
  </sheetViews>
  <sheetFormatPr defaultColWidth="9.140625" defaultRowHeight="12.75" x14ac:dyDescent="0.2"/>
  <cols>
    <col min="1" max="1" width="19" style="117" bestFit="1" customWidth="1"/>
    <col min="2" max="16384" width="9.140625" style="117"/>
  </cols>
  <sheetData>
    <row r="1" spans="1:6" x14ac:dyDescent="0.2">
      <c r="A1" s="116" t="s">
        <v>360</v>
      </c>
    </row>
    <row r="2" spans="1:6" x14ac:dyDescent="0.2">
      <c r="A2" s="116"/>
    </row>
    <row r="3" spans="1:6" x14ac:dyDescent="0.2">
      <c r="A3" s="137" t="s">
        <v>151</v>
      </c>
      <c r="B3" s="139" t="s">
        <v>83</v>
      </c>
    </row>
    <row r="4" spans="1:6" x14ac:dyDescent="0.2">
      <c r="A4" s="137" t="s">
        <v>148</v>
      </c>
      <c r="B4" s="138" t="s">
        <v>69</v>
      </c>
    </row>
    <row r="5" spans="1:6" x14ac:dyDescent="0.2">
      <c r="A5" s="137" t="s">
        <v>215</v>
      </c>
      <c r="B5" s="138" t="s">
        <v>227</v>
      </c>
    </row>
    <row r="6" spans="1:6" x14ac:dyDescent="0.2">
      <c r="A6" s="134"/>
    </row>
    <row r="7" spans="1:6" x14ac:dyDescent="0.2">
      <c r="A7" s="140"/>
      <c r="B7" s="160" t="s">
        <v>129</v>
      </c>
      <c r="C7" s="160" t="s">
        <v>69</v>
      </c>
      <c r="D7" s="160" t="s">
        <v>231</v>
      </c>
      <c r="E7" s="160" t="s">
        <v>469</v>
      </c>
      <c r="F7" s="160" t="s">
        <v>470</v>
      </c>
    </row>
    <row r="8" spans="1:6" x14ac:dyDescent="0.2">
      <c r="A8" s="144" t="s">
        <v>386</v>
      </c>
      <c r="B8" s="161">
        <v>7244</v>
      </c>
      <c r="C8" s="161">
        <v>7947</v>
      </c>
      <c r="D8" s="161"/>
      <c r="E8" s="161"/>
      <c r="F8" s="161"/>
    </row>
    <row r="9" spans="1:6" x14ac:dyDescent="0.2">
      <c r="A9" s="144" t="s">
        <v>230</v>
      </c>
      <c r="B9" s="161">
        <f>(B8/100)*14.5</f>
        <v>1050.3799999999999</v>
      </c>
      <c r="C9" s="161">
        <f>(C8/100)*14.5</f>
        <v>1152.3150000000001</v>
      </c>
      <c r="D9" s="427">
        <f>(D8/100)*14.66</f>
        <v>0</v>
      </c>
      <c r="E9" s="426">
        <f>(E8/100)*14.76</f>
        <v>0</v>
      </c>
      <c r="F9" s="161"/>
    </row>
    <row r="10" spans="1:6" x14ac:dyDescent="0.2">
      <c r="A10" s="144" t="s">
        <v>387</v>
      </c>
      <c r="B10" s="161">
        <v>1139</v>
      </c>
      <c r="C10" s="161">
        <v>1167</v>
      </c>
      <c r="D10" s="161"/>
      <c r="E10" s="161"/>
      <c r="F10" s="161"/>
    </row>
    <row r="11" spans="1:6" x14ac:dyDescent="0.2">
      <c r="A11" s="144" t="s">
        <v>244</v>
      </c>
      <c r="B11" s="161">
        <v>1765</v>
      </c>
      <c r="C11" s="161">
        <v>1170</v>
      </c>
      <c r="D11" s="161">
        <v>1469</v>
      </c>
      <c r="E11" s="161"/>
      <c r="F11" s="161"/>
    </row>
    <row r="13" spans="1:6" x14ac:dyDescent="0.2">
      <c r="A13" s="150" t="s">
        <v>287</v>
      </c>
    </row>
    <row r="14" spans="1:6" x14ac:dyDescent="0.2">
      <c r="A14" s="423" t="s">
        <v>472</v>
      </c>
    </row>
    <row r="16" spans="1:6" x14ac:dyDescent="0.2">
      <c r="A16" s="137" t="s">
        <v>621</v>
      </c>
    </row>
    <row r="20" spans="2:2" x14ac:dyDescent="0.2">
      <c r="B20" s="166"/>
    </row>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X415"/>
  <sheetViews>
    <sheetView workbookViewId="0">
      <pane xSplit="1" topLeftCell="B1" activePane="topRight" state="frozen"/>
      <selection pane="topRight"/>
    </sheetView>
  </sheetViews>
  <sheetFormatPr defaultColWidth="9.140625" defaultRowHeight="12.75" x14ac:dyDescent="0.2"/>
  <cols>
    <col min="1" max="1" width="31.28515625" style="117" customWidth="1"/>
    <col min="2" max="2" width="9.5703125" style="117" customWidth="1"/>
    <col min="3" max="25" width="9.140625" style="117"/>
    <col min="26" max="26" width="9.140625" style="117" customWidth="1"/>
    <col min="27" max="49" width="9.140625" style="117"/>
    <col min="50" max="50" width="12" style="117" bestFit="1" customWidth="1"/>
    <col min="51" max="16384" width="9.140625" style="117"/>
  </cols>
  <sheetData>
    <row r="1" spans="1:50" x14ac:dyDescent="0.2">
      <c r="A1" s="116" t="s">
        <v>360</v>
      </c>
      <c r="B1" s="116"/>
      <c r="C1" s="116"/>
      <c r="D1" s="552"/>
      <c r="E1" s="552"/>
      <c r="F1" s="552"/>
      <c r="G1" s="552"/>
      <c r="H1" s="552"/>
      <c r="I1" s="552"/>
      <c r="J1" s="552"/>
      <c r="K1" s="552"/>
      <c r="L1" s="552"/>
      <c r="M1" s="552"/>
      <c r="N1" s="552"/>
      <c r="O1" s="552"/>
      <c r="P1" s="552"/>
      <c r="Q1" s="552"/>
      <c r="R1" s="552"/>
      <c r="S1" s="552"/>
      <c r="T1" s="552"/>
      <c r="U1" s="552"/>
      <c r="V1" s="552"/>
      <c r="W1" s="552"/>
      <c r="X1" s="552"/>
      <c r="Y1" s="552"/>
      <c r="Z1" s="552"/>
      <c r="AA1" s="552"/>
    </row>
    <row r="2" spans="1:50" x14ac:dyDescent="0.2">
      <c r="A2" s="116"/>
      <c r="B2" s="116"/>
      <c r="C2" s="116"/>
      <c r="D2" s="552"/>
      <c r="E2" s="552"/>
      <c r="F2" s="552"/>
      <c r="G2" s="552"/>
      <c r="H2" s="552"/>
      <c r="I2" s="552"/>
      <c r="J2" s="552"/>
      <c r="K2" s="552"/>
      <c r="L2" s="552"/>
      <c r="M2" s="552"/>
      <c r="N2" s="552"/>
      <c r="O2" s="552"/>
      <c r="P2" s="552"/>
      <c r="Q2" s="552"/>
      <c r="R2" s="552"/>
      <c r="S2" s="552"/>
      <c r="T2" s="552"/>
      <c r="U2" s="552"/>
      <c r="V2" s="552"/>
      <c r="W2" s="552"/>
      <c r="X2" s="552"/>
      <c r="Y2" s="552"/>
      <c r="Z2" s="552"/>
      <c r="AA2" s="552"/>
    </row>
    <row r="3" spans="1:50" x14ac:dyDescent="0.2">
      <c r="A3" s="118" t="s">
        <v>454</v>
      </c>
      <c r="B3" s="277" t="s">
        <v>60</v>
      </c>
      <c r="C3" s="116"/>
      <c r="D3" s="116"/>
    </row>
    <row r="4" spans="1:50" x14ac:dyDescent="0.2">
      <c r="A4" s="118"/>
      <c r="B4" s="593" t="s">
        <v>626</v>
      </c>
      <c r="C4" s="116"/>
      <c r="D4" s="116"/>
    </row>
    <row r="5" spans="1:50" x14ac:dyDescent="0.2">
      <c r="A5" s="118"/>
      <c r="C5" s="595" t="s">
        <v>627</v>
      </c>
      <c r="D5" s="116"/>
    </row>
    <row r="6" spans="1:50" x14ac:dyDescent="0.2">
      <c r="A6" s="118"/>
      <c r="C6" s="593" t="s">
        <v>628</v>
      </c>
      <c r="D6" s="116"/>
    </row>
    <row r="7" spans="1:50" x14ac:dyDescent="0.2">
      <c r="A7" s="118"/>
      <c r="C7" s="593" t="s">
        <v>629</v>
      </c>
      <c r="D7" s="116"/>
    </row>
    <row r="8" spans="1:50" x14ac:dyDescent="0.2">
      <c r="A8" s="118"/>
      <c r="C8" s="594" t="s">
        <v>630</v>
      </c>
      <c r="D8" s="116"/>
    </row>
    <row r="9" spans="1:50" x14ac:dyDescent="0.2">
      <c r="A9" s="118" t="s">
        <v>147</v>
      </c>
      <c r="B9" s="336">
        <f>HLOOKUP(MAX(B16:AW16),B16:AW21,2,0)</f>
        <v>0.74436090225563911</v>
      </c>
      <c r="C9" s="116"/>
      <c r="D9" s="116"/>
    </row>
    <row r="10" spans="1:50" x14ac:dyDescent="0.2">
      <c r="A10" s="118" t="s">
        <v>119</v>
      </c>
      <c r="B10" s="138">
        <f>MAX(B16:AW16)</f>
        <v>42887</v>
      </c>
      <c r="C10" s="116"/>
      <c r="D10" s="116"/>
    </row>
    <row r="11" spans="1:50" x14ac:dyDescent="0.2">
      <c r="A11" s="118" t="s">
        <v>201</v>
      </c>
      <c r="B11" s="419" t="s">
        <v>181</v>
      </c>
      <c r="C11" s="116"/>
      <c r="D11" s="116"/>
    </row>
    <row r="12" spans="1:50" x14ac:dyDescent="0.2">
      <c r="A12" s="118" t="s">
        <v>456</v>
      </c>
      <c r="B12" s="173" t="s">
        <v>145</v>
      </c>
      <c r="C12" s="116"/>
      <c r="D12" s="116"/>
    </row>
    <row r="13" spans="1:50" x14ac:dyDescent="0.2">
      <c r="A13" s="137" t="s">
        <v>151</v>
      </c>
      <c r="B13" s="139" t="s">
        <v>78</v>
      </c>
      <c r="C13" s="116"/>
      <c r="D13" s="116"/>
    </row>
    <row r="14" spans="1:50" x14ac:dyDescent="0.2">
      <c r="A14" s="137" t="s">
        <v>148</v>
      </c>
      <c r="B14" s="139" t="s">
        <v>78</v>
      </c>
      <c r="C14" s="116"/>
      <c r="D14" s="116"/>
      <c r="Z14" s="207"/>
    </row>
    <row r="15" spans="1:50" x14ac:dyDescent="0.2">
      <c r="M15" s="253"/>
      <c r="V15" s="199"/>
      <c r="W15" s="199"/>
      <c r="X15" s="450"/>
      <c r="Z15" s="253"/>
    </row>
    <row r="16" spans="1:50" x14ac:dyDescent="0.2">
      <c r="A16" s="203" t="s">
        <v>385</v>
      </c>
      <c r="B16" s="124">
        <v>42095</v>
      </c>
      <c r="C16" s="124">
        <v>42125</v>
      </c>
      <c r="D16" s="124">
        <v>42156</v>
      </c>
      <c r="E16" s="124">
        <v>42186</v>
      </c>
      <c r="F16" s="124">
        <v>42217</v>
      </c>
      <c r="G16" s="124">
        <v>42248</v>
      </c>
      <c r="H16" s="124">
        <v>42278</v>
      </c>
      <c r="I16" s="124">
        <v>42309</v>
      </c>
      <c r="J16" s="124">
        <v>42339</v>
      </c>
      <c r="K16" s="124">
        <v>42370</v>
      </c>
      <c r="L16" s="124">
        <v>42401</v>
      </c>
      <c r="M16" s="124">
        <v>42430</v>
      </c>
      <c r="N16" s="124">
        <v>42461</v>
      </c>
      <c r="O16" s="124">
        <v>42491</v>
      </c>
      <c r="P16" s="124">
        <v>42522</v>
      </c>
      <c r="Q16" s="124">
        <v>42552</v>
      </c>
      <c r="R16" s="124">
        <v>42583</v>
      </c>
      <c r="S16" s="124">
        <v>42614</v>
      </c>
      <c r="T16" s="152">
        <v>42644</v>
      </c>
      <c r="U16" s="124">
        <v>42675</v>
      </c>
      <c r="V16" s="152">
        <v>42705</v>
      </c>
      <c r="W16" s="124">
        <v>42736</v>
      </c>
      <c r="X16" s="124">
        <v>42767</v>
      </c>
      <c r="Y16" s="124">
        <v>42795</v>
      </c>
      <c r="Z16" s="124">
        <v>42826</v>
      </c>
      <c r="AA16" s="124">
        <v>42856</v>
      </c>
      <c r="AB16" s="124">
        <v>42887</v>
      </c>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35" t="s">
        <v>15</v>
      </c>
    </row>
    <row r="17" spans="1:50" x14ac:dyDescent="0.2">
      <c r="A17" s="127" t="s">
        <v>432</v>
      </c>
      <c r="B17" s="126">
        <v>0.66972477064220182</v>
      </c>
      <c r="C17" s="126">
        <v>0.58730158730158732</v>
      </c>
      <c r="D17" s="126">
        <v>0.57731958762886593</v>
      </c>
      <c r="E17" s="126">
        <v>0.51546391752577314</v>
      </c>
      <c r="F17" s="126">
        <v>0.64705882352941169</v>
      </c>
      <c r="G17" s="126">
        <v>0.66346153846153844</v>
      </c>
      <c r="H17" s="126">
        <v>0.7899159663865547</v>
      </c>
      <c r="I17" s="126">
        <v>0.65116279069767447</v>
      </c>
      <c r="J17" s="126">
        <v>0.65048543689320393</v>
      </c>
      <c r="K17" s="126">
        <v>0.71311475409836067</v>
      </c>
      <c r="L17" s="126">
        <v>0.66101694915254239</v>
      </c>
      <c r="M17" s="126">
        <v>0.6767676767676768</v>
      </c>
      <c r="N17" s="126">
        <v>0.57099999999999995</v>
      </c>
      <c r="O17" s="126">
        <v>0.54400000000000004</v>
      </c>
      <c r="P17" s="126">
        <v>0.72</v>
      </c>
      <c r="Q17" s="126">
        <v>0.69299999999999995</v>
      </c>
      <c r="R17" s="126">
        <v>0.72727272727272729</v>
      </c>
      <c r="S17" s="126">
        <v>0.6717557251908397</v>
      </c>
      <c r="T17" s="126">
        <v>0.6428571428571429</v>
      </c>
      <c r="U17" s="126">
        <v>0.7289719626168224</v>
      </c>
      <c r="V17" s="126">
        <v>0.61702127659574468</v>
      </c>
      <c r="W17" s="126">
        <v>0.71186440677966101</v>
      </c>
      <c r="X17" s="126">
        <v>0.72549019607843135</v>
      </c>
      <c r="Y17" s="126">
        <v>0.77372262773722644</v>
      </c>
      <c r="Z17" s="126">
        <v>0.6328125</v>
      </c>
      <c r="AA17" s="126">
        <v>0.73722627737226276</v>
      </c>
      <c r="AB17" s="126">
        <v>0.74436090225563911</v>
      </c>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30">
        <v>0.8</v>
      </c>
    </row>
    <row r="18" spans="1:50" ht="25.5" x14ac:dyDescent="0.2">
      <c r="A18" s="127" t="s">
        <v>631</v>
      </c>
      <c r="B18" s="130">
        <v>0.74698795180722888</v>
      </c>
      <c r="C18" s="130">
        <v>0.66346153846153844</v>
      </c>
      <c r="D18" s="130">
        <v>0.66249999999999998</v>
      </c>
      <c r="E18" s="130">
        <v>0.48484848484848486</v>
      </c>
      <c r="F18" s="130">
        <v>0.6875</v>
      </c>
      <c r="G18" s="130">
        <v>0.71052631578947367</v>
      </c>
      <c r="H18" s="130">
        <v>0.82954545454545459</v>
      </c>
      <c r="I18" s="130">
        <v>0.7578947368421054</v>
      </c>
      <c r="J18" s="130">
        <v>0.67100000000000004</v>
      </c>
      <c r="K18" s="130">
        <v>0.77272727272727271</v>
      </c>
      <c r="L18" s="130">
        <v>0.65</v>
      </c>
      <c r="M18" s="130">
        <v>0.71250000000000002</v>
      </c>
      <c r="N18" s="130">
        <v>0.72289156626506024</v>
      </c>
      <c r="O18" s="130">
        <v>0.64130434782608692</v>
      </c>
      <c r="P18" s="130">
        <v>0.83333333333333348</v>
      </c>
      <c r="Q18" s="130">
        <v>0.7857142857142857</v>
      </c>
      <c r="R18" s="130">
        <v>0.83561643835616439</v>
      </c>
      <c r="S18" s="130">
        <v>0.82417582417582413</v>
      </c>
      <c r="T18" s="130">
        <v>0.68831168831168843</v>
      </c>
      <c r="U18" s="130">
        <v>0.85526315789473684</v>
      </c>
      <c r="V18" s="130">
        <v>0.68932038834951459</v>
      </c>
      <c r="W18" s="130">
        <v>0.77215189873417733</v>
      </c>
      <c r="X18" s="130">
        <v>0.80597014925373134</v>
      </c>
      <c r="Y18" s="130">
        <v>0.85869565217391308</v>
      </c>
      <c r="Z18" s="130">
        <v>0.67816091954022983</v>
      </c>
      <c r="AA18" s="130">
        <v>0.8</v>
      </c>
      <c r="AB18" s="130">
        <v>0.80645161290322576</v>
      </c>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v>0.95</v>
      </c>
    </row>
    <row r="19" spans="1:50" s="199" customFormat="1" ht="25.5" x14ac:dyDescent="0.2">
      <c r="A19" s="313" t="s">
        <v>632</v>
      </c>
      <c r="B19" s="553">
        <v>0.8165137614678899</v>
      </c>
      <c r="C19" s="553">
        <v>0.83333333333333348</v>
      </c>
      <c r="D19" s="553">
        <v>0.82474226804123707</v>
      </c>
      <c r="E19" s="553">
        <v>0.80412371134020622</v>
      </c>
      <c r="F19" s="553">
        <v>0.86274509803921573</v>
      </c>
      <c r="G19" s="553">
        <v>0.90384615384615385</v>
      </c>
      <c r="H19" s="553">
        <v>0.89075630252100846</v>
      </c>
      <c r="I19" s="553">
        <v>0.8294573643410853</v>
      </c>
      <c r="J19" s="553">
        <v>0.83495145631067957</v>
      </c>
      <c r="K19" s="553">
        <v>0.86885245901639341</v>
      </c>
      <c r="L19" s="553">
        <v>0.84745762711864403</v>
      </c>
      <c r="M19" s="553">
        <v>0.87878787878787878</v>
      </c>
      <c r="N19" s="257">
        <v>0.77900000000000003</v>
      </c>
      <c r="O19" s="257">
        <v>0.75</v>
      </c>
      <c r="P19" s="257">
        <v>0.84399999999999997</v>
      </c>
      <c r="Q19" s="257">
        <v>0.82399999999999995</v>
      </c>
      <c r="R19" s="257">
        <v>0.82758620689655171</v>
      </c>
      <c r="S19" s="257">
        <v>0.78461538461538471</v>
      </c>
      <c r="T19" s="257">
        <v>0.83333333333333348</v>
      </c>
      <c r="U19" s="257">
        <v>0.80188679245283023</v>
      </c>
      <c r="V19" s="257">
        <v>0.82978723404255317</v>
      </c>
      <c r="W19" s="257">
        <v>0.87179487179487181</v>
      </c>
      <c r="X19" s="257">
        <v>0.8</v>
      </c>
      <c r="Y19" s="257">
        <v>0.90441176470588236</v>
      </c>
      <c r="Z19" s="180">
        <v>0.796875</v>
      </c>
      <c r="AA19" s="180">
        <v>0.875</v>
      </c>
      <c r="AB19" s="180">
        <v>0.87969924812030076</v>
      </c>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257">
        <v>1</v>
      </c>
    </row>
    <row r="20" spans="1:50" ht="25.5" x14ac:dyDescent="0.2">
      <c r="A20" s="127" t="s">
        <v>633</v>
      </c>
      <c r="B20" s="130">
        <v>0.95412844036697253</v>
      </c>
      <c r="C20" s="130">
        <v>0.95238095238095222</v>
      </c>
      <c r="D20" s="130">
        <v>0.95876288659793818</v>
      </c>
      <c r="E20" s="130">
        <v>0.97938144329896903</v>
      </c>
      <c r="F20" s="130">
        <v>0.94117647058823517</v>
      </c>
      <c r="G20" s="130">
        <v>0.96153846153846156</v>
      </c>
      <c r="H20" s="130">
        <v>0.97478991596638653</v>
      </c>
      <c r="I20" s="130">
        <v>0.98461538461538467</v>
      </c>
      <c r="J20" s="130">
        <v>0.95199999999999996</v>
      </c>
      <c r="K20" s="130">
        <v>0.97699999999999998</v>
      </c>
      <c r="L20" s="130">
        <v>0.97599999999999998</v>
      </c>
      <c r="M20" s="130">
        <v>0.94495412844036697</v>
      </c>
      <c r="N20" s="130">
        <v>0.96212121212121215</v>
      </c>
      <c r="O20" s="130">
        <v>0.96799999999999997</v>
      </c>
      <c r="P20" s="130">
        <v>0.93600000000000005</v>
      </c>
      <c r="Q20" s="130">
        <v>0.95299999999999996</v>
      </c>
      <c r="R20" s="130">
        <v>0.98347107438016534</v>
      </c>
      <c r="S20" s="130">
        <v>0.96946564885496178</v>
      </c>
      <c r="T20" s="130">
        <v>0.94444444444444442</v>
      </c>
      <c r="U20" s="130">
        <v>0.9719626168224299</v>
      </c>
      <c r="V20" s="130">
        <v>0.9858156028368793</v>
      </c>
      <c r="W20" s="130">
        <v>0.92372881355932213</v>
      </c>
      <c r="X20" s="130">
        <v>0.98039215686274506</v>
      </c>
      <c r="Y20" s="130">
        <v>0.96350364963503654</v>
      </c>
      <c r="Z20" s="130">
        <v>0.9609375</v>
      </c>
      <c r="AA20" s="130">
        <v>0.96350364963503654</v>
      </c>
      <c r="AB20" s="130">
        <v>0.96240601503759393</v>
      </c>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v>0.95</v>
      </c>
    </row>
    <row r="21" spans="1:50" s="199" customFormat="1" ht="25.5" x14ac:dyDescent="0.2">
      <c r="A21" s="313" t="s">
        <v>505</v>
      </c>
      <c r="B21" s="257">
        <v>0.92753623188405798</v>
      </c>
      <c r="C21" s="257">
        <v>0.90909090909090906</v>
      </c>
      <c r="D21" s="257">
        <v>0.95081967213114749</v>
      </c>
      <c r="E21" s="257">
        <v>0.8771929824561403</v>
      </c>
      <c r="F21" s="257">
        <v>0.94915254237288138</v>
      </c>
      <c r="G21" s="257">
        <v>0.92063492063492058</v>
      </c>
      <c r="H21" s="257">
        <v>0.9552238805970148</v>
      </c>
      <c r="I21" s="257">
        <v>0.93827160493827155</v>
      </c>
      <c r="J21" s="257">
        <v>0.9</v>
      </c>
      <c r="K21" s="257">
        <v>0.93333333333333324</v>
      </c>
      <c r="L21" s="257">
        <v>0.92300000000000004</v>
      </c>
      <c r="M21" s="257">
        <v>0.81666666666666676</v>
      </c>
      <c r="N21" s="257">
        <v>0.90700000000000003</v>
      </c>
      <c r="O21" s="257">
        <v>0.93421052631578949</v>
      </c>
      <c r="P21" s="257">
        <v>0.92400000000000004</v>
      </c>
      <c r="Q21" s="257">
        <v>0.92200000000000004</v>
      </c>
      <c r="R21" s="257">
        <v>0.9285714285714286</v>
      </c>
      <c r="S21" s="257">
        <v>0.90476190476190477</v>
      </c>
      <c r="T21" s="257">
        <v>0.88461538461538458</v>
      </c>
      <c r="U21" s="257">
        <v>0.8771929824561403</v>
      </c>
      <c r="V21" s="257">
        <v>0.88749999999999996</v>
      </c>
      <c r="W21" s="257">
        <v>0.9152542372881356</v>
      </c>
      <c r="X21" s="257">
        <v>0.96226415094339623</v>
      </c>
      <c r="Y21" s="257">
        <v>0.92207792207792205</v>
      </c>
      <c r="Z21" s="257">
        <v>0.91891891891891897</v>
      </c>
      <c r="AA21" s="257">
        <v>0.90361445783132543</v>
      </c>
      <c r="AB21" s="257">
        <v>0.953125</v>
      </c>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v>0.95</v>
      </c>
    </row>
    <row r="22" spans="1:50" s="199" customFormat="1" x14ac:dyDescent="0.2">
      <c r="A22" s="725" t="s">
        <v>487</v>
      </c>
      <c r="B22" s="726">
        <v>0.7</v>
      </c>
      <c r="C22" s="726">
        <v>0.7</v>
      </c>
      <c r="D22" s="726">
        <v>0.7</v>
      </c>
      <c r="E22" s="726">
        <v>0.7</v>
      </c>
      <c r="F22" s="726">
        <v>0.7</v>
      </c>
      <c r="G22" s="726">
        <v>0.7</v>
      </c>
      <c r="H22" s="726">
        <v>0.7</v>
      </c>
      <c r="I22" s="726">
        <v>0.7</v>
      </c>
      <c r="J22" s="726">
        <v>0.7</v>
      </c>
      <c r="K22" s="726">
        <v>0.7</v>
      </c>
      <c r="L22" s="726">
        <v>0.7</v>
      </c>
      <c r="M22" s="726">
        <v>0.7</v>
      </c>
      <c r="N22" s="726">
        <v>0.8</v>
      </c>
      <c r="O22" s="726">
        <v>0.8</v>
      </c>
      <c r="P22" s="726">
        <v>0.8</v>
      </c>
      <c r="Q22" s="726">
        <v>0.8</v>
      </c>
      <c r="R22" s="726">
        <v>0.8</v>
      </c>
      <c r="S22" s="726">
        <v>0.8</v>
      </c>
      <c r="T22" s="726">
        <v>0.8</v>
      </c>
      <c r="U22" s="726">
        <v>0.8</v>
      </c>
      <c r="V22" s="726">
        <v>0.8</v>
      </c>
      <c r="W22" s="726">
        <v>0.75</v>
      </c>
      <c r="X22" s="726">
        <v>0.75</v>
      </c>
      <c r="Y22" s="726">
        <v>0.75</v>
      </c>
      <c r="Z22" s="726">
        <v>0.8</v>
      </c>
      <c r="AA22" s="726">
        <v>0.8</v>
      </c>
      <c r="AB22" s="726">
        <v>0.8</v>
      </c>
      <c r="AC22" s="726">
        <v>0.8</v>
      </c>
      <c r="AD22" s="726">
        <v>0.8</v>
      </c>
      <c r="AE22" s="726">
        <v>0.8</v>
      </c>
      <c r="AF22" s="726">
        <v>0.8</v>
      </c>
      <c r="AG22" s="726">
        <v>0.8</v>
      </c>
      <c r="AH22" s="726">
        <v>0.8</v>
      </c>
      <c r="AI22" s="726">
        <v>0.8</v>
      </c>
      <c r="AJ22" s="726">
        <v>0.8</v>
      </c>
      <c r="AK22" s="726">
        <v>0.8</v>
      </c>
      <c r="AL22" s="726">
        <v>0.8</v>
      </c>
      <c r="AM22" s="726">
        <v>0.8</v>
      </c>
      <c r="AN22" s="726">
        <v>0.8</v>
      </c>
      <c r="AO22" s="726">
        <v>0.8</v>
      </c>
      <c r="AP22" s="726">
        <v>0.8</v>
      </c>
      <c r="AQ22" s="726">
        <v>0.8</v>
      </c>
      <c r="AR22" s="726">
        <v>0.8</v>
      </c>
      <c r="AS22" s="726">
        <v>0.8</v>
      </c>
      <c r="AT22" s="726">
        <v>0.8</v>
      </c>
      <c r="AU22" s="726">
        <v>0.8</v>
      </c>
      <c r="AV22" s="726">
        <v>0.8</v>
      </c>
      <c r="AW22" s="726">
        <v>0.8</v>
      </c>
      <c r="AX22" s="202"/>
    </row>
    <row r="23" spans="1:50" s="199" customFormat="1" x14ac:dyDescent="0.2">
      <c r="A23" s="727" t="s">
        <v>131</v>
      </c>
      <c r="B23" s="257"/>
      <c r="C23" s="257"/>
      <c r="D23" s="257"/>
      <c r="E23" s="257"/>
      <c r="F23" s="257"/>
      <c r="G23" s="257"/>
      <c r="H23" s="257"/>
      <c r="I23" s="257"/>
      <c r="J23" s="257"/>
      <c r="K23" s="257"/>
      <c r="L23" s="257"/>
      <c r="M23" s="257"/>
      <c r="N23" s="257">
        <f>MEDIAN($N$17:$Y$17)</f>
        <v>0.70243220338983048</v>
      </c>
      <c r="O23" s="257">
        <f t="shared" ref="O23:X23" si="0">MEDIAN($N$17:$Y$17)</f>
        <v>0.70243220338983048</v>
      </c>
      <c r="P23" s="257">
        <f t="shared" si="0"/>
        <v>0.70243220338983048</v>
      </c>
      <c r="Q23" s="257">
        <f t="shared" si="0"/>
        <v>0.70243220338983048</v>
      </c>
      <c r="R23" s="257">
        <f t="shared" si="0"/>
        <v>0.70243220338983048</v>
      </c>
      <c r="S23" s="257">
        <f t="shared" si="0"/>
        <v>0.70243220338983048</v>
      </c>
      <c r="T23" s="257">
        <f t="shared" si="0"/>
        <v>0.70243220338983048</v>
      </c>
      <c r="U23" s="257">
        <f t="shared" si="0"/>
        <v>0.70243220338983048</v>
      </c>
      <c r="V23" s="257">
        <f t="shared" si="0"/>
        <v>0.70243220338983048</v>
      </c>
      <c r="W23" s="257">
        <f t="shared" si="0"/>
        <v>0.70243220338983048</v>
      </c>
      <c r="X23" s="257">
        <f t="shared" si="0"/>
        <v>0.70243220338983048</v>
      </c>
      <c r="Y23" s="257">
        <f>MEDIAN($N$17:$Y$17)</f>
        <v>0.70243220338983048</v>
      </c>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02"/>
    </row>
    <row r="24" spans="1:50" s="199" customFormat="1" x14ac:dyDescent="0.2">
      <c r="A24" s="727" t="s">
        <v>184</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f>MEDIAN($N$17:$Y$17)</f>
        <v>0.70243220338983048</v>
      </c>
      <c r="Z24" s="257">
        <f>MEDIAN($N$17:$Y$17)</f>
        <v>0.70243220338983048</v>
      </c>
      <c r="AA24" s="257">
        <f t="shared" ref="AA24:AW24" si="1">MEDIAN($N$17:$Y$17)</f>
        <v>0.70243220338983048</v>
      </c>
      <c r="AB24" s="257">
        <f t="shared" si="1"/>
        <v>0.70243220338983048</v>
      </c>
      <c r="AC24" s="257">
        <f t="shared" si="1"/>
        <v>0.70243220338983048</v>
      </c>
      <c r="AD24" s="257">
        <f t="shared" si="1"/>
        <v>0.70243220338983048</v>
      </c>
      <c r="AE24" s="257">
        <f t="shared" si="1"/>
        <v>0.70243220338983048</v>
      </c>
      <c r="AF24" s="257">
        <f t="shared" si="1"/>
        <v>0.70243220338983048</v>
      </c>
      <c r="AG24" s="257">
        <f t="shared" si="1"/>
        <v>0.70243220338983048</v>
      </c>
      <c r="AH24" s="257">
        <f t="shared" si="1"/>
        <v>0.70243220338983048</v>
      </c>
      <c r="AI24" s="257">
        <f t="shared" si="1"/>
        <v>0.70243220338983048</v>
      </c>
      <c r="AJ24" s="257">
        <f t="shared" si="1"/>
        <v>0.70243220338983048</v>
      </c>
      <c r="AK24" s="257">
        <f t="shared" si="1"/>
        <v>0.70243220338983048</v>
      </c>
      <c r="AL24" s="257">
        <f t="shared" si="1"/>
        <v>0.70243220338983048</v>
      </c>
      <c r="AM24" s="257">
        <f t="shared" si="1"/>
        <v>0.70243220338983048</v>
      </c>
      <c r="AN24" s="257">
        <f t="shared" si="1"/>
        <v>0.70243220338983048</v>
      </c>
      <c r="AO24" s="257">
        <f t="shared" si="1"/>
        <v>0.70243220338983048</v>
      </c>
      <c r="AP24" s="257">
        <f t="shared" si="1"/>
        <v>0.70243220338983048</v>
      </c>
      <c r="AQ24" s="257">
        <f t="shared" si="1"/>
        <v>0.70243220338983048</v>
      </c>
      <c r="AR24" s="257">
        <f t="shared" si="1"/>
        <v>0.70243220338983048</v>
      </c>
      <c r="AS24" s="257">
        <f t="shared" si="1"/>
        <v>0.70243220338983048</v>
      </c>
      <c r="AT24" s="257">
        <f t="shared" si="1"/>
        <v>0.70243220338983048</v>
      </c>
      <c r="AU24" s="257">
        <f t="shared" si="1"/>
        <v>0.70243220338983048</v>
      </c>
      <c r="AV24" s="257">
        <f t="shared" si="1"/>
        <v>0.70243220338983048</v>
      </c>
      <c r="AW24" s="257">
        <f t="shared" si="1"/>
        <v>0.70243220338983048</v>
      </c>
      <c r="AX24" s="202"/>
    </row>
    <row r="25" spans="1:50" s="199" customFormat="1" x14ac:dyDescent="0.2">
      <c r="A25" s="724"/>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450"/>
    </row>
    <row r="27" spans="1:50" x14ac:dyDescent="0.2">
      <c r="A27" s="331" t="s">
        <v>385</v>
      </c>
      <c r="B27" s="332" t="s">
        <v>385</v>
      </c>
      <c r="C27" s="332" t="s">
        <v>385</v>
      </c>
      <c r="D27" s="332" t="s">
        <v>385</v>
      </c>
      <c r="E27" s="332" t="s">
        <v>385</v>
      </c>
      <c r="F27" s="332" t="s">
        <v>385</v>
      </c>
      <c r="G27" s="332" t="s">
        <v>385</v>
      </c>
      <c r="H27" s="332" t="s">
        <v>385</v>
      </c>
      <c r="I27" s="332" t="s">
        <v>385</v>
      </c>
      <c r="J27" s="332" t="s">
        <v>385</v>
      </c>
      <c r="K27" s="332" t="s">
        <v>385</v>
      </c>
      <c r="L27" s="332" t="s">
        <v>385</v>
      </c>
      <c r="M27" s="332" t="s">
        <v>385</v>
      </c>
      <c r="N27" s="155"/>
      <c r="O27" s="297"/>
      <c r="P27" s="155"/>
      <c r="Q27" s="155"/>
      <c r="R27" s="155"/>
      <c r="S27" s="155"/>
      <c r="T27" s="155"/>
      <c r="U27" s="155"/>
      <c r="V27" s="155"/>
      <c r="W27" s="155"/>
      <c r="X27" s="155"/>
      <c r="Y27" s="155"/>
      <c r="Z27" s="155"/>
    </row>
    <row r="28" spans="1:50" s="134" customFormat="1" x14ac:dyDescent="0.2">
      <c r="A28" s="592" t="s">
        <v>634</v>
      </c>
      <c r="B28" s="110"/>
      <c r="C28" s="110"/>
      <c r="D28" s="110"/>
      <c r="E28" s="110"/>
      <c r="F28" s="110"/>
      <c r="G28" s="110"/>
      <c r="H28" s="110"/>
      <c r="I28" s="110"/>
      <c r="J28" s="110"/>
      <c r="K28" s="110"/>
      <c r="L28" s="110"/>
      <c r="M28" s="110"/>
      <c r="N28" s="333"/>
      <c r="O28" s="333"/>
      <c r="P28" s="333"/>
      <c r="Q28" s="333"/>
      <c r="R28" s="333"/>
      <c r="S28" s="333"/>
      <c r="T28" s="333"/>
      <c r="U28" s="333"/>
      <c r="V28" s="333"/>
      <c r="W28" s="333"/>
      <c r="X28" s="333"/>
      <c r="Y28" s="333"/>
      <c r="Z28" s="333"/>
    </row>
    <row r="29" spans="1:50" x14ac:dyDescent="0.2">
      <c r="A29" s="331" t="s">
        <v>635</v>
      </c>
      <c r="B29" s="331"/>
      <c r="C29" s="331"/>
      <c r="D29" s="331"/>
      <c r="E29" s="155"/>
      <c r="F29" s="155"/>
      <c r="G29" s="155"/>
      <c r="H29" s="155"/>
      <c r="I29" s="155"/>
      <c r="J29" s="155"/>
      <c r="K29" s="155"/>
      <c r="L29" s="155"/>
      <c r="M29" s="155"/>
      <c r="N29" s="155"/>
      <c r="O29" s="155"/>
      <c r="P29" s="155"/>
      <c r="Q29" s="155"/>
      <c r="R29" s="155"/>
      <c r="S29" s="155"/>
      <c r="T29" s="155"/>
      <c r="U29" s="335" t="s">
        <v>385</v>
      </c>
      <c r="V29" s="155"/>
      <c r="W29" s="155"/>
      <c r="X29" s="155"/>
    </row>
    <row r="30" spans="1:50" x14ac:dyDescent="0.2">
      <c r="A30" s="331" t="s">
        <v>636</v>
      </c>
      <c r="B30" s="331"/>
      <c r="C30" s="331"/>
      <c r="D30" s="331"/>
      <c r="E30" s="155"/>
      <c r="F30" s="155"/>
      <c r="G30" s="155"/>
      <c r="H30" s="155"/>
      <c r="I30" s="155"/>
      <c r="J30" s="155"/>
      <c r="K30" s="155"/>
      <c r="L30" s="155"/>
      <c r="M30" s="155"/>
      <c r="N30" s="155"/>
      <c r="P30" s="155"/>
      <c r="Q30" s="155"/>
      <c r="R30" s="155"/>
      <c r="S30" s="155"/>
      <c r="T30" s="155"/>
      <c r="U30" s="334"/>
      <c r="V30" s="155"/>
      <c r="W30" s="155"/>
      <c r="X30" s="155"/>
      <c r="Y30" s="155"/>
      <c r="Z30" s="155"/>
    </row>
    <row r="31" spans="1:50" x14ac:dyDescent="0.2">
      <c r="A31" s="331"/>
      <c r="B31" s="331"/>
      <c r="C31" s="331"/>
      <c r="D31" s="331"/>
      <c r="E31" s="155"/>
      <c r="F31" s="155"/>
      <c r="G31" s="155"/>
      <c r="H31" s="155"/>
      <c r="I31" s="155"/>
      <c r="J31" s="155"/>
      <c r="K31" s="155"/>
      <c r="L31" s="155"/>
      <c r="M31" s="155"/>
      <c r="N31" s="155"/>
      <c r="P31" s="155"/>
      <c r="Q31" s="155"/>
      <c r="R31" s="155"/>
      <c r="S31" s="155"/>
      <c r="T31" s="155"/>
      <c r="U31" s="334"/>
      <c r="V31" s="155"/>
      <c r="W31" s="155"/>
      <c r="X31" s="155"/>
      <c r="Y31" s="155"/>
      <c r="Z31" s="155"/>
    </row>
    <row r="32" spans="1:50" x14ac:dyDescent="0.2">
      <c r="A32" s="597" t="s">
        <v>432</v>
      </c>
      <c r="B32" s="337"/>
      <c r="C32" s="337"/>
      <c r="D32" s="337"/>
      <c r="M32" s="451"/>
      <c r="U32" s="247"/>
    </row>
    <row r="33" spans="1:21" x14ac:dyDescent="0.2">
      <c r="A33" s="337"/>
      <c r="B33" s="337"/>
      <c r="C33" s="337"/>
      <c r="D33" s="337"/>
      <c r="U33" s="247"/>
    </row>
    <row r="34" spans="1:21" x14ac:dyDescent="0.2">
      <c r="U34" s="247"/>
    </row>
    <row r="57" spans="1:28" ht="15.75" x14ac:dyDescent="0.25">
      <c r="A57" s="307" t="s">
        <v>646</v>
      </c>
      <c r="P57" s="155" t="s">
        <v>385</v>
      </c>
      <c r="AB57" s="428" t="s">
        <v>479</v>
      </c>
    </row>
    <row r="58" spans="1:28" x14ac:dyDescent="0.2">
      <c r="A58" s="137" t="s">
        <v>358</v>
      </c>
      <c r="M58" s="137" t="s">
        <v>433</v>
      </c>
      <c r="AB58" s="428"/>
    </row>
    <row r="59" spans="1:28" x14ac:dyDescent="0.2">
      <c r="AB59" s="428" t="s">
        <v>480</v>
      </c>
    </row>
    <row r="60" spans="1:28" x14ac:dyDescent="0.2">
      <c r="AB60" s="452" t="s">
        <v>481</v>
      </c>
    </row>
    <row r="61" spans="1:28" x14ac:dyDescent="0.2">
      <c r="AB61" s="452" t="s">
        <v>482</v>
      </c>
    </row>
    <row r="83" spans="1:13" x14ac:dyDescent="0.2">
      <c r="A83" s="137" t="s">
        <v>434</v>
      </c>
      <c r="M83" s="137" t="s">
        <v>435</v>
      </c>
    </row>
    <row r="108" spans="1:1" x14ac:dyDescent="0.2">
      <c r="A108" s="137" t="s">
        <v>436</v>
      </c>
    </row>
    <row r="133" spans="1:13" x14ac:dyDescent="0.2">
      <c r="A133" s="137" t="s">
        <v>637</v>
      </c>
      <c r="M133" s="137" t="s">
        <v>638</v>
      </c>
    </row>
    <row r="158" spans="1:28" ht="15.75" x14ac:dyDescent="0.25">
      <c r="A158" s="307" t="s">
        <v>640</v>
      </c>
    </row>
    <row r="159" spans="1:28" x14ac:dyDescent="0.2">
      <c r="A159" s="137" t="s">
        <v>358</v>
      </c>
      <c r="M159" s="137" t="s">
        <v>433</v>
      </c>
      <c r="AB159" s="452"/>
    </row>
    <row r="184" spans="1:13" x14ac:dyDescent="0.2">
      <c r="A184" s="137" t="s">
        <v>434</v>
      </c>
      <c r="M184" s="137" t="s">
        <v>435</v>
      </c>
    </row>
    <row r="209" spans="1:1" x14ac:dyDescent="0.2">
      <c r="A209" s="137" t="s">
        <v>436</v>
      </c>
    </row>
    <row r="234" spans="1:28" ht="15.75" x14ac:dyDescent="0.25">
      <c r="A234" s="596" t="s">
        <v>639</v>
      </c>
    </row>
    <row r="235" spans="1:28" x14ac:dyDescent="0.2">
      <c r="A235" s="137" t="s">
        <v>358</v>
      </c>
      <c r="M235" s="137" t="s">
        <v>433</v>
      </c>
      <c r="AB235" s="451"/>
    </row>
    <row r="242" s="459" customFormat="1" x14ac:dyDescent="0.2"/>
    <row r="260" spans="1:13" x14ac:dyDescent="0.2">
      <c r="A260" s="137" t="s">
        <v>434</v>
      </c>
      <c r="M260" s="137" t="s">
        <v>435</v>
      </c>
    </row>
    <row r="269" spans="1:13" s="459" customFormat="1" x14ac:dyDescent="0.2">
      <c r="B269" s="459" t="s">
        <v>385</v>
      </c>
    </row>
    <row r="285" spans="1:1" x14ac:dyDescent="0.2">
      <c r="A285" s="137" t="s">
        <v>436</v>
      </c>
    </row>
    <row r="310" spans="1:49" s="683" customFormat="1" x14ac:dyDescent="0.2"/>
    <row r="311" spans="1:49" s="683" customFormat="1" ht="25.5" x14ac:dyDescent="0.2">
      <c r="A311" s="684" t="s">
        <v>503</v>
      </c>
      <c r="B311" s="687">
        <v>42095</v>
      </c>
      <c r="C311" s="687">
        <v>42125</v>
      </c>
      <c r="D311" s="687">
        <v>42156</v>
      </c>
      <c r="E311" s="687">
        <v>42186</v>
      </c>
      <c r="F311" s="687">
        <v>42217</v>
      </c>
      <c r="G311" s="687">
        <v>42248</v>
      </c>
      <c r="H311" s="687">
        <v>42278</v>
      </c>
      <c r="I311" s="687">
        <v>42309</v>
      </c>
      <c r="J311" s="687">
        <v>42339</v>
      </c>
      <c r="K311" s="687">
        <v>42370</v>
      </c>
      <c r="L311" s="687">
        <v>42401</v>
      </c>
      <c r="M311" s="687">
        <v>42430</v>
      </c>
      <c r="N311" s="687">
        <v>42461</v>
      </c>
      <c r="O311" s="687">
        <v>42491</v>
      </c>
      <c r="P311" s="687">
        <v>42522</v>
      </c>
      <c r="Q311" s="687">
        <v>42552</v>
      </c>
      <c r="R311" s="687">
        <v>42583</v>
      </c>
      <c r="S311" s="687">
        <v>42614</v>
      </c>
      <c r="T311" s="687">
        <v>42644</v>
      </c>
      <c r="U311" s="687">
        <v>42675</v>
      </c>
      <c r="V311" s="687">
        <v>42705</v>
      </c>
      <c r="W311" s="687">
        <v>42736</v>
      </c>
      <c r="X311" s="687">
        <v>42767</v>
      </c>
      <c r="Y311" s="687">
        <v>42795</v>
      </c>
      <c r="Z311" s="687">
        <v>42826</v>
      </c>
      <c r="AA311" s="687">
        <v>42856</v>
      </c>
      <c r="AB311" s="687">
        <v>42887</v>
      </c>
      <c r="AC311" s="687"/>
      <c r="AD311" s="687"/>
      <c r="AE311" s="687"/>
      <c r="AF311" s="687"/>
      <c r="AG311" s="687"/>
      <c r="AH311" s="687"/>
      <c r="AI311" s="687"/>
      <c r="AJ311" s="687"/>
      <c r="AK311" s="687"/>
      <c r="AL311" s="687"/>
      <c r="AM311" s="687"/>
      <c r="AN311" s="687"/>
      <c r="AO311" s="687"/>
      <c r="AP311" s="687"/>
      <c r="AQ311" s="687"/>
      <c r="AR311" s="687"/>
      <c r="AS311" s="687"/>
      <c r="AT311" s="687"/>
      <c r="AU311" s="687"/>
      <c r="AV311" s="687"/>
      <c r="AW311" s="687"/>
    </row>
    <row r="312" spans="1:49" s="683" customFormat="1" x14ac:dyDescent="0.2">
      <c r="A312" s="702" t="s">
        <v>432</v>
      </c>
      <c r="B312" s="728">
        <f t="shared" ref="B312:AB312" si="2">B17</f>
        <v>0.66972477064220182</v>
      </c>
      <c r="C312" s="728">
        <f t="shared" si="2"/>
        <v>0.58730158730158732</v>
      </c>
      <c r="D312" s="728">
        <f t="shared" si="2"/>
        <v>0.57731958762886593</v>
      </c>
      <c r="E312" s="728">
        <f t="shared" si="2"/>
        <v>0.51546391752577314</v>
      </c>
      <c r="F312" s="728">
        <f t="shared" si="2"/>
        <v>0.64705882352941169</v>
      </c>
      <c r="G312" s="728">
        <f t="shared" si="2"/>
        <v>0.66346153846153844</v>
      </c>
      <c r="H312" s="728">
        <f t="shared" si="2"/>
        <v>0.7899159663865547</v>
      </c>
      <c r="I312" s="728">
        <f t="shared" si="2"/>
        <v>0.65116279069767447</v>
      </c>
      <c r="J312" s="728">
        <f t="shared" si="2"/>
        <v>0.65048543689320393</v>
      </c>
      <c r="K312" s="728">
        <f t="shared" si="2"/>
        <v>0.71311475409836067</v>
      </c>
      <c r="L312" s="728">
        <f t="shared" si="2"/>
        <v>0.66101694915254239</v>
      </c>
      <c r="M312" s="728">
        <f t="shared" si="2"/>
        <v>0.6767676767676768</v>
      </c>
      <c r="N312" s="728">
        <f t="shared" si="2"/>
        <v>0.57099999999999995</v>
      </c>
      <c r="O312" s="728">
        <f t="shared" si="2"/>
        <v>0.54400000000000004</v>
      </c>
      <c r="P312" s="728">
        <f t="shared" si="2"/>
        <v>0.72</v>
      </c>
      <c r="Q312" s="728">
        <f t="shared" si="2"/>
        <v>0.69299999999999995</v>
      </c>
      <c r="R312" s="728">
        <f t="shared" si="2"/>
        <v>0.72727272727272729</v>
      </c>
      <c r="S312" s="728">
        <f t="shared" si="2"/>
        <v>0.6717557251908397</v>
      </c>
      <c r="T312" s="728">
        <f t="shared" si="2"/>
        <v>0.6428571428571429</v>
      </c>
      <c r="U312" s="728">
        <f t="shared" si="2"/>
        <v>0.7289719626168224</v>
      </c>
      <c r="V312" s="728">
        <f t="shared" si="2"/>
        <v>0.61702127659574468</v>
      </c>
      <c r="W312" s="728">
        <f t="shared" si="2"/>
        <v>0.71186440677966101</v>
      </c>
      <c r="X312" s="728">
        <f t="shared" si="2"/>
        <v>0.72549019607843135</v>
      </c>
      <c r="Y312" s="728">
        <f t="shared" si="2"/>
        <v>0.77372262773722644</v>
      </c>
      <c r="Z312" s="728">
        <f t="shared" si="2"/>
        <v>0.6328125</v>
      </c>
      <c r="AA312" s="728">
        <f t="shared" si="2"/>
        <v>0.73722627737226276</v>
      </c>
      <c r="AB312" s="728">
        <f t="shared" si="2"/>
        <v>0.74436090225563911</v>
      </c>
      <c r="AC312" s="728"/>
      <c r="AD312" s="728"/>
      <c r="AE312" s="728"/>
      <c r="AF312" s="728"/>
      <c r="AG312" s="728"/>
      <c r="AH312" s="728"/>
      <c r="AI312" s="728"/>
      <c r="AJ312" s="728"/>
      <c r="AK312" s="728"/>
      <c r="AL312" s="728"/>
      <c r="AM312" s="728"/>
      <c r="AN312" s="728"/>
      <c r="AO312" s="728"/>
      <c r="AP312" s="728"/>
      <c r="AQ312" s="728"/>
      <c r="AR312" s="728"/>
      <c r="AS312" s="728"/>
      <c r="AT312" s="728"/>
      <c r="AU312" s="728"/>
      <c r="AV312" s="728"/>
      <c r="AW312" s="728"/>
    </row>
    <row r="313" spans="1:49" s="683" customFormat="1" x14ac:dyDescent="0.2"/>
    <row r="314" spans="1:49" s="683" customFormat="1" x14ac:dyDescent="0.2">
      <c r="A314" s="702" t="s">
        <v>490</v>
      </c>
      <c r="B314" s="729"/>
      <c r="C314" s="729">
        <f>(C312-B312)*-1</f>
        <v>8.2423183340614492E-2</v>
      </c>
      <c r="D314" s="729">
        <f>(D312-C312)*-1</f>
        <v>9.9819996727213978E-3</v>
      </c>
      <c r="E314" s="729">
        <f>(E312-D312)*-1</f>
        <v>6.1855670103092786E-2</v>
      </c>
      <c r="F314" s="729">
        <f t="shared" ref="F314:R314" si="3">F312-E312</f>
        <v>0.13159490600363855</v>
      </c>
      <c r="G314" s="729">
        <f t="shared" si="3"/>
        <v>1.640271493212675E-2</v>
      </c>
      <c r="H314" s="729">
        <f t="shared" si="3"/>
        <v>0.12645442792501627</v>
      </c>
      <c r="I314" s="729">
        <f>(I312-H312)*-1</f>
        <v>0.13875317568888024</v>
      </c>
      <c r="J314" s="729">
        <f>(J312-I312)*-1</f>
        <v>6.7735380447053739E-4</v>
      </c>
      <c r="K314" s="729">
        <f t="shared" si="3"/>
        <v>6.2629317205156743E-2</v>
      </c>
      <c r="L314" s="729">
        <f>(L312-K312)*-1</f>
        <v>5.2097804945818282E-2</v>
      </c>
      <c r="M314" s="729">
        <f t="shared" si="3"/>
        <v>1.5750727615134408E-2</v>
      </c>
      <c r="N314" s="729">
        <f>(N312-M312)*-1</f>
        <v>0.10576767676767684</v>
      </c>
      <c r="O314" s="729">
        <f>(O312-N312)*-1</f>
        <v>2.6999999999999913E-2</v>
      </c>
      <c r="P314" s="729">
        <f t="shared" si="3"/>
        <v>0.17599999999999993</v>
      </c>
      <c r="Q314" s="729">
        <f>(Q312-P312)*-1</f>
        <v>2.7000000000000024E-2</v>
      </c>
      <c r="R314" s="729">
        <f t="shared" si="3"/>
        <v>3.4272727272727344E-2</v>
      </c>
      <c r="S314" s="729">
        <f>(S312-R312)*-1</f>
        <v>5.551700208188759E-2</v>
      </c>
      <c r="T314" s="729">
        <f>(T312-S312)*-1</f>
        <v>2.8898582333696798E-2</v>
      </c>
      <c r="U314" s="729">
        <f>U312-T312</f>
        <v>8.6114819759679495E-2</v>
      </c>
      <c r="V314" s="729">
        <f>(V312-U312)*-1</f>
        <v>0.11195068602107772</v>
      </c>
      <c r="W314" s="729">
        <f>W312-V312</f>
        <v>9.4843130183916324E-2</v>
      </c>
      <c r="X314" s="729">
        <f>(X312-W312)</f>
        <v>1.3625789298770341E-2</v>
      </c>
      <c r="Y314" s="729">
        <f>Y312-X312</f>
        <v>4.8232431658795094E-2</v>
      </c>
      <c r="Z314" s="729">
        <f>(Z312-Y312)*-1</f>
        <v>0.14091012773722644</v>
      </c>
      <c r="AA314" s="729">
        <f>(AA312-Z312)</f>
        <v>0.10441377737226276</v>
      </c>
      <c r="AB314" s="729">
        <f>(AB312-AA312)</f>
        <v>7.1346248833763504E-3</v>
      </c>
      <c r="AC314" s="689"/>
      <c r="AD314" s="689"/>
      <c r="AE314" s="689"/>
      <c r="AF314" s="689"/>
      <c r="AG314" s="689"/>
      <c r="AH314" s="689"/>
      <c r="AI314" s="689"/>
      <c r="AJ314" s="689"/>
      <c r="AK314" s="689"/>
      <c r="AL314" s="689"/>
      <c r="AM314" s="689"/>
      <c r="AN314" s="689"/>
      <c r="AO314" s="689"/>
      <c r="AP314" s="689"/>
      <c r="AQ314" s="689"/>
      <c r="AR314" s="689"/>
      <c r="AS314" s="689"/>
      <c r="AT314" s="689"/>
      <c r="AU314" s="689"/>
      <c r="AV314" s="689"/>
      <c r="AW314" s="689"/>
    </row>
    <row r="315" spans="1:49" s="683" customFormat="1" ht="21.75" x14ac:dyDescent="0.2">
      <c r="A315" s="703" t="s">
        <v>493</v>
      </c>
      <c r="B315" s="729"/>
      <c r="C315" s="729"/>
      <c r="D315" s="729"/>
      <c r="E315" s="729"/>
      <c r="F315" s="729"/>
      <c r="G315" s="729"/>
      <c r="H315" s="729"/>
      <c r="I315" s="729"/>
      <c r="J315" s="729"/>
      <c r="K315" s="729"/>
      <c r="L315" s="729"/>
      <c r="M315" s="729"/>
      <c r="N315" s="689"/>
      <c r="O315" s="689"/>
      <c r="P315" s="689"/>
      <c r="Q315" s="689"/>
      <c r="R315" s="689"/>
      <c r="S315" s="689"/>
      <c r="T315" s="689"/>
      <c r="U315" s="689"/>
      <c r="V315" s="689"/>
      <c r="W315" s="689"/>
      <c r="X315" s="689"/>
      <c r="Y315" s="689"/>
      <c r="Z315" s="689"/>
      <c r="AA315" s="689"/>
      <c r="AB315" s="689"/>
      <c r="AC315" s="689"/>
      <c r="AD315" s="689"/>
      <c r="AE315" s="689"/>
      <c r="AF315" s="689"/>
      <c r="AG315" s="689"/>
      <c r="AH315" s="689"/>
      <c r="AI315" s="689"/>
      <c r="AJ315" s="689"/>
      <c r="AK315" s="689"/>
      <c r="AL315" s="689"/>
      <c r="AM315" s="689"/>
      <c r="AN315" s="689"/>
      <c r="AO315" s="689"/>
      <c r="AP315" s="689"/>
      <c r="AQ315" s="689"/>
      <c r="AR315" s="689"/>
      <c r="AS315" s="689"/>
      <c r="AT315" s="689"/>
      <c r="AU315" s="689"/>
      <c r="AV315" s="689"/>
      <c r="AW315" s="689"/>
    </row>
    <row r="316" spans="1:49" s="683" customFormat="1" x14ac:dyDescent="0.2">
      <c r="A316" s="674" t="s">
        <v>492</v>
      </c>
      <c r="B316" s="729">
        <f t="shared" ref="B316:AW316" si="4">AVERAGE($B$312:$AW$312)</f>
        <v>0.66830183495710704</v>
      </c>
      <c r="C316" s="729">
        <f t="shared" si="4"/>
        <v>0.66830183495710704</v>
      </c>
      <c r="D316" s="729">
        <f t="shared" si="4"/>
        <v>0.66830183495710704</v>
      </c>
      <c r="E316" s="729">
        <f t="shared" si="4"/>
        <v>0.66830183495710704</v>
      </c>
      <c r="F316" s="729">
        <f t="shared" si="4"/>
        <v>0.66830183495710704</v>
      </c>
      <c r="G316" s="729">
        <f t="shared" si="4"/>
        <v>0.66830183495710704</v>
      </c>
      <c r="H316" s="729">
        <f t="shared" si="4"/>
        <v>0.66830183495710704</v>
      </c>
      <c r="I316" s="729">
        <f t="shared" si="4"/>
        <v>0.66830183495710704</v>
      </c>
      <c r="J316" s="729">
        <f t="shared" si="4"/>
        <v>0.66830183495710704</v>
      </c>
      <c r="K316" s="729">
        <f t="shared" si="4"/>
        <v>0.66830183495710704</v>
      </c>
      <c r="L316" s="729">
        <f t="shared" si="4"/>
        <v>0.66830183495710704</v>
      </c>
      <c r="M316" s="729">
        <f t="shared" si="4"/>
        <v>0.66830183495710704</v>
      </c>
      <c r="N316" s="729">
        <f t="shared" si="4"/>
        <v>0.66830183495710704</v>
      </c>
      <c r="O316" s="729">
        <f t="shared" si="4"/>
        <v>0.66830183495710704</v>
      </c>
      <c r="P316" s="729">
        <f t="shared" si="4"/>
        <v>0.66830183495710704</v>
      </c>
      <c r="Q316" s="729">
        <f t="shared" si="4"/>
        <v>0.66830183495710704</v>
      </c>
      <c r="R316" s="729">
        <f t="shared" si="4"/>
        <v>0.66830183495710704</v>
      </c>
      <c r="S316" s="729">
        <f t="shared" si="4"/>
        <v>0.66830183495710704</v>
      </c>
      <c r="T316" s="729">
        <f t="shared" si="4"/>
        <v>0.66830183495710704</v>
      </c>
      <c r="U316" s="729">
        <f t="shared" si="4"/>
        <v>0.66830183495710704</v>
      </c>
      <c r="V316" s="729">
        <f t="shared" si="4"/>
        <v>0.66830183495710704</v>
      </c>
      <c r="W316" s="729">
        <f t="shared" si="4"/>
        <v>0.66830183495710704</v>
      </c>
      <c r="X316" s="729">
        <f t="shared" si="4"/>
        <v>0.66830183495710704</v>
      </c>
      <c r="Y316" s="729">
        <f t="shared" si="4"/>
        <v>0.66830183495710704</v>
      </c>
      <c r="Z316" s="729">
        <f t="shared" si="4"/>
        <v>0.66830183495710704</v>
      </c>
      <c r="AA316" s="729">
        <f t="shared" si="4"/>
        <v>0.66830183495710704</v>
      </c>
      <c r="AB316" s="729">
        <f t="shared" si="4"/>
        <v>0.66830183495710704</v>
      </c>
      <c r="AC316" s="729">
        <f t="shared" si="4"/>
        <v>0.66830183495710704</v>
      </c>
      <c r="AD316" s="729">
        <f t="shared" si="4"/>
        <v>0.66830183495710704</v>
      </c>
      <c r="AE316" s="729">
        <f t="shared" si="4"/>
        <v>0.66830183495710704</v>
      </c>
      <c r="AF316" s="729">
        <f t="shared" si="4"/>
        <v>0.66830183495710704</v>
      </c>
      <c r="AG316" s="729">
        <f t="shared" si="4"/>
        <v>0.66830183495710704</v>
      </c>
      <c r="AH316" s="729">
        <f t="shared" si="4"/>
        <v>0.66830183495710704</v>
      </c>
      <c r="AI316" s="729">
        <f t="shared" si="4"/>
        <v>0.66830183495710704</v>
      </c>
      <c r="AJ316" s="729">
        <f t="shared" si="4"/>
        <v>0.66830183495710704</v>
      </c>
      <c r="AK316" s="729">
        <f t="shared" si="4"/>
        <v>0.66830183495710704</v>
      </c>
      <c r="AL316" s="729">
        <f t="shared" si="4"/>
        <v>0.66830183495710704</v>
      </c>
      <c r="AM316" s="729">
        <f t="shared" si="4"/>
        <v>0.66830183495710704</v>
      </c>
      <c r="AN316" s="729">
        <f t="shared" si="4"/>
        <v>0.66830183495710704</v>
      </c>
      <c r="AO316" s="729">
        <f t="shared" si="4"/>
        <v>0.66830183495710704</v>
      </c>
      <c r="AP316" s="729">
        <f t="shared" si="4"/>
        <v>0.66830183495710704</v>
      </c>
      <c r="AQ316" s="729">
        <f t="shared" si="4"/>
        <v>0.66830183495710704</v>
      </c>
      <c r="AR316" s="729">
        <f t="shared" si="4"/>
        <v>0.66830183495710704</v>
      </c>
      <c r="AS316" s="729">
        <f t="shared" si="4"/>
        <v>0.66830183495710704</v>
      </c>
      <c r="AT316" s="729">
        <f t="shared" si="4"/>
        <v>0.66830183495710704</v>
      </c>
      <c r="AU316" s="729">
        <f t="shared" si="4"/>
        <v>0.66830183495710704</v>
      </c>
      <c r="AV316" s="729">
        <f t="shared" si="4"/>
        <v>0.66830183495710704</v>
      </c>
      <c r="AW316" s="729">
        <f t="shared" si="4"/>
        <v>0.66830183495710704</v>
      </c>
    </row>
    <row r="317" spans="1:49" s="683" customFormat="1" x14ac:dyDescent="0.2">
      <c r="A317" s="702" t="s">
        <v>491</v>
      </c>
      <c r="B317" s="729"/>
      <c r="C317" s="729">
        <f t="shared" ref="C317:AW317" si="5">SUM($C$314:$AW$314)/22</f>
        <v>8.0013757118534701E-2</v>
      </c>
      <c r="D317" s="729">
        <f t="shared" si="5"/>
        <v>8.0013757118534701E-2</v>
      </c>
      <c r="E317" s="729">
        <f t="shared" si="5"/>
        <v>8.0013757118534701E-2</v>
      </c>
      <c r="F317" s="729">
        <f t="shared" si="5"/>
        <v>8.0013757118534701E-2</v>
      </c>
      <c r="G317" s="729">
        <f t="shared" si="5"/>
        <v>8.0013757118534701E-2</v>
      </c>
      <c r="H317" s="729">
        <f t="shared" si="5"/>
        <v>8.0013757118534701E-2</v>
      </c>
      <c r="I317" s="729">
        <f t="shared" si="5"/>
        <v>8.0013757118534701E-2</v>
      </c>
      <c r="J317" s="729">
        <f t="shared" si="5"/>
        <v>8.0013757118534701E-2</v>
      </c>
      <c r="K317" s="729">
        <f t="shared" si="5"/>
        <v>8.0013757118534701E-2</v>
      </c>
      <c r="L317" s="729">
        <f t="shared" si="5"/>
        <v>8.0013757118534701E-2</v>
      </c>
      <c r="M317" s="729">
        <f t="shared" si="5"/>
        <v>8.0013757118534701E-2</v>
      </c>
      <c r="N317" s="729">
        <f t="shared" si="5"/>
        <v>8.0013757118534701E-2</v>
      </c>
      <c r="O317" s="729">
        <f t="shared" si="5"/>
        <v>8.0013757118534701E-2</v>
      </c>
      <c r="P317" s="729">
        <f t="shared" si="5"/>
        <v>8.0013757118534701E-2</v>
      </c>
      <c r="Q317" s="729">
        <f t="shared" si="5"/>
        <v>8.0013757118534701E-2</v>
      </c>
      <c r="R317" s="729">
        <f t="shared" si="5"/>
        <v>8.0013757118534701E-2</v>
      </c>
      <c r="S317" s="729">
        <f t="shared" si="5"/>
        <v>8.0013757118534701E-2</v>
      </c>
      <c r="T317" s="729">
        <f t="shared" si="5"/>
        <v>8.0013757118534701E-2</v>
      </c>
      <c r="U317" s="729">
        <f t="shared" si="5"/>
        <v>8.0013757118534701E-2</v>
      </c>
      <c r="V317" s="729">
        <f t="shared" si="5"/>
        <v>8.0013757118534701E-2</v>
      </c>
      <c r="W317" s="729">
        <f t="shared" si="5"/>
        <v>8.0013757118534701E-2</v>
      </c>
      <c r="X317" s="729">
        <f t="shared" si="5"/>
        <v>8.0013757118534701E-2</v>
      </c>
      <c r="Y317" s="729">
        <f t="shared" si="5"/>
        <v>8.0013757118534701E-2</v>
      </c>
      <c r="Z317" s="729">
        <f t="shared" si="5"/>
        <v>8.0013757118534701E-2</v>
      </c>
      <c r="AA317" s="729">
        <f t="shared" si="5"/>
        <v>8.0013757118534701E-2</v>
      </c>
      <c r="AB317" s="729">
        <f t="shared" si="5"/>
        <v>8.0013757118534701E-2</v>
      </c>
      <c r="AC317" s="729">
        <f t="shared" si="5"/>
        <v>8.0013757118534701E-2</v>
      </c>
      <c r="AD317" s="729">
        <f t="shared" si="5"/>
        <v>8.0013757118534701E-2</v>
      </c>
      <c r="AE317" s="729">
        <f t="shared" si="5"/>
        <v>8.0013757118534701E-2</v>
      </c>
      <c r="AF317" s="729">
        <f t="shared" si="5"/>
        <v>8.0013757118534701E-2</v>
      </c>
      <c r="AG317" s="729">
        <f t="shared" si="5"/>
        <v>8.0013757118534701E-2</v>
      </c>
      <c r="AH317" s="729">
        <f t="shared" si="5"/>
        <v>8.0013757118534701E-2</v>
      </c>
      <c r="AI317" s="729">
        <f t="shared" si="5"/>
        <v>8.0013757118534701E-2</v>
      </c>
      <c r="AJ317" s="729">
        <f t="shared" si="5"/>
        <v>8.0013757118534701E-2</v>
      </c>
      <c r="AK317" s="729">
        <f t="shared" si="5"/>
        <v>8.0013757118534701E-2</v>
      </c>
      <c r="AL317" s="729">
        <f t="shared" si="5"/>
        <v>8.0013757118534701E-2</v>
      </c>
      <c r="AM317" s="729">
        <f t="shared" si="5"/>
        <v>8.0013757118534701E-2</v>
      </c>
      <c r="AN317" s="729">
        <f t="shared" si="5"/>
        <v>8.0013757118534701E-2</v>
      </c>
      <c r="AO317" s="729">
        <f t="shared" si="5"/>
        <v>8.0013757118534701E-2</v>
      </c>
      <c r="AP317" s="729">
        <f t="shared" si="5"/>
        <v>8.0013757118534701E-2</v>
      </c>
      <c r="AQ317" s="729">
        <f t="shared" si="5"/>
        <v>8.0013757118534701E-2</v>
      </c>
      <c r="AR317" s="729">
        <f t="shared" si="5"/>
        <v>8.0013757118534701E-2</v>
      </c>
      <c r="AS317" s="729">
        <f t="shared" si="5"/>
        <v>8.0013757118534701E-2</v>
      </c>
      <c r="AT317" s="729">
        <f t="shared" si="5"/>
        <v>8.0013757118534701E-2</v>
      </c>
      <c r="AU317" s="729">
        <f t="shared" si="5"/>
        <v>8.0013757118534701E-2</v>
      </c>
      <c r="AV317" s="729">
        <f t="shared" si="5"/>
        <v>8.0013757118534701E-2</v>
      </c>
      <c r="AW317" s="729">
        <f t="shared" si="5"/>
        <v>8.0013757118534701E-2</v>
      </c>
    </row>
    <row r="318" spans="1:49" s="683" customFormat="1" ht="25.5" x14ac:dyDescent="0.2">
      <c r="A318" s="702" t="s">
        <v>494</v>
      </c>
      <c r="B318" s="729"/>
      <c r="C318" s="729">
        <f t="shared" ref="C318:AW318" si="6">SUM($C$317)/1.128</f>
        <v>7.0934181842672611E-2</v>
      </c>
      <c r="D318" s="729">
        <f t="shared" si="6"/>
        <v>7.0934181842672611E-2</v>
      </c>
      <c r="E318" s="729">
        <f t="shared" si="6"/>
        <v>7.0934181842672611E-2</v>
      </c>
      <c r="F318" s="729">
        <f t="shared" si="6"/>
        <v>7.0934181842672611E-2</v>
      </c>
      <c r="G318" s="729">
        <f t="shared" si="6"/>
        <v>7.0934181842672611E-2</v>
      </c>
      <c r="H318" s="729">
        <f t="shared" si="6"/>
        <v>7.0934181842672611E-2</v>
      </c>
      <c r="I318" s="729">
        <f t="shared" si="6"/>
        <v>7.0934181842672611E-2</v>
      </c>
      <c r="J318" s="729">
        <f t="shared" si="6"/>
        <v>7.0934181842672611E-2</v>
      </c>
      <c r="K318" s="729">
        <f t="shared" si="6"/>
        <v>7.0934181842672611E-2</v>
      </c>
      <c r="L318" s="729">
        <f t="shared" si="6"/>
        <v>7.0934181842672611E-2</v>
      </c>
      <c r="M318" s="729">
        <f t="shared" si="6"/>
        <v>7.0934181842672611E-2</v>
      </c>
      <c r="N318" s="729">
        <f t="shared" si="6"/>
        <v>7.0934181842672611E-2</v>
      </c>
      <c r="O318" s="729">
        <f t="shared" si="6"/>
        <v>7.0934181842672611E-2</v>
      </c>
      <c r="P318" s="729">
        <f t="shared" si="6"/>
        <v>7.0934181842672611E-2</v>
      </c>
      <c r="Q318" s="729">
        <f t="shared" si="6"/>
        <v>7.0934181842672611E-2</v>
      </c>
      <c r="R318" s="729">
        <f t="shared" si="6"/>
        <v>7.0934181842672611E-2</v>
      </c>
      <c r="S318" s="729">
        <f t="shared" si="6"/>
        <v>7.0934181842672611E-2</v>
      </c>
      <c r="T318" s="729">
        <f t="shared" si="6"/>
        <v>7.0934181842672611E-2</v>
      </c>
      <c r="U318" s="729">
        <f t="shared" si="6"/>
        <v>7.0934181842672611E-2</v>
      </c>
      <c r="V318" s="729">
        <f t="shared" si="6"/>
        <v>7.0934181842672611E-2</v>
      </c>
      <c r="W318" s="729">
        <f t="shared" si="6"/>
        <v>7.0934181842672611E-2</v>
      </c>
      <c r="X318" s="729">
        <f t="shared" si="6"/>
        <v>7.0934181842672611E-2</v>
      </c>
      <c r="Y318" s="729">
        <f t="shared" si="6"/>
        <v>7.0934181842672611E-2</v>
      </c>
      <c r="Z318" s="729">
        <f t="shared" si="6"/>
        <v>7.0934181842672611E-2</v>
      </c>
      <c r="AA318" s="729">
        <f t="shared" si="6"/>
        <v>7.0934181842672611E-2</v>
      </c>
      <c r="AB318" s="729">
        <f t="shared" si="6"/>
        <v>7.0934181842672611E-2</v>
      </c>
      <c r="AC318" s="729">
        <f t="shared" si="6"/>
        <v>7.0934181842672611E-2</v>
      </c>
      <c r="AD318" s="729">
        <f t="shared" si="6"/>
        <v>7.0934181842672611E-2</v>
      </c>
      <c r="AE318" s="729">
        <f t="shared" si="6"/>
        <v>7.0934181842672611E-2</v>
      </c>
      <c r="AF318" s="729">
        <f t="shared" si="6"/>
        <v>7.0934181842672611E-2</v>
      </c>
      <c r="AG318" s="729">
        <f t="shared" si="6"/>
        <v>7.0934181842672611E-2</v>
      </c>
      <c r="AH318" s="729">
        <f t="shared" si="6"/>
        <v>7.0934181842672611E-2</v>
      </c>
      <c r="AI318" s="729">
        <f t="shared" si="6"/>
        <v>7.0934181842672611E-2</v>
      </c>
      <c r="AJ318" s="729">
        <f t="shared" si="6"/>
        <v>7.0934181842672611E-2</v>
      </c>
      <c r="AK318" s="729">
        <f t="shared" si="6"/>
        <v>7.0934181842672611E-2</v>
      </c>
      <c r="AL318" s="729">
        <f t="shared" si="6"/>
        <v>7.0934181842672611E-2</v>
      </c>
      <c r="AM318" s="729">
        <f t="shared" si="6"/>
        <v>7.0934181842672611E-2</v>
      </c>
      <c r="AN318" s="729">
        <f t="shared" si="6"/>
        <v>7.0934181842672611E-2</v>
      </c>
      <c r="AO318" s="729">
        <f t="shared" si="6"/>
        <v>7.0934181842672611E-2</v>
      </c>
      <c r="AP318" s="729">
        <f t="shared" si="6"/>
        <v>7.0934181842672611E-2</v>
      </c>
      <c r="AQ318" s="729">
        <f t="shared" si="6"/>
        <v>7.0934181842672611E-2</v>
      </c>
      <c r="AR318" s="729">
        <f t="shared" si="6"/>
        <v>7.0934181842672611E-2</v>
      </c>
      <c r="AS318" s="729">
        <f t="shared" si="6"/>
        <v>7.0934181842672611E-2</v>
      </c>
      <c r="AT318" s="729">
        <f t="shared" si="6"/>
        <v>7.0934181842672611E-2</v>
      </c>
      <c r="AU318" s="729">
        <f t="shared" si="6"/>
        <v>7.0934181842672611E-2</v>
      </c>
      <c r="AV318" s="729">
        <f t="shared" si="6"/>
        <v>7.0934181842672611E-2</v>
      </c>
      <c r="AW318" s="729">
        <f t="shared" si="6"/>
        <v>7.0934181842672611E-2</v>
      </c>
    </row>
    <row r="319" spans="1:49" s="683" customFormat="1" x14ac:dyDescent="0.2">
      <c r="A319" s="702" t="s">
        <v>497</v>
      </c>
      <c r="B319" s="729">
        <f t="shared" ref="B319:AW319" si="7">$C$316+ (3*$C$318)</f>
        <v>0.88110438048512485</v>
      </c>
      <c r="C319" s="729">
        <f t="shared" si="7"/>
        <v>0.88110438048512485</v>
      </c>
      <c r="D319" s="729">
        <f t="shared" si="7"/>
        <v>0.88110438048512485</v>
      </c>
      <c r="E319" s="729">
        <f t="shared" si="7"/>
        <v>0.88110438048512485</v>
      </c>
      <c r="F319" s="729">
        <f t="shared" si="7"/>
        <v>0.88110438048512485</v>
      </c>
      <c r="G319" s="729">
        <f t="shared" si="7"/>
        <v>0.88110438048512485</v>
      </c>
      <c r="H319" s="729">
        <f t="shared" si="7"/>
        <v>0.88110438048512485</v>
      </c>
      <c r="I319" s="729">
        <f t="shared" si="7"/>
        <v>0.88110438048512485</v>
      </c>
      <c r="J319" s="729">
        <f t="shared" si="7"/>
        <v>0.88110438048512485</v>
      </c>
      <c r="K319" s="729">
        <f t="shared" si="7"/>
        <v>0.88110438048512485</v>
      </c>
      <c r="L319" s="729">
        <f t="shared" si="7"/>
        <v>0.88110438048512485</v>
      </c>
      <c r="M319" s="729">
        <f t="shared" si="7"/>
        <v>0.88110438048512485</v>
      </c>
      <c r="N319" s="729">
        <f t="shared" si="7"/>
        <v>0.88110438048512485</v>
      </c>
      <c r="O319" s="729">
        <f t="shared" si="7"/>
        <v>0.88110438048512485</v>
      </c>
      <c r="P319" s="729">
        <f t="shared" si="7"/>
        <v>0.88110438048512485</v>
      </c>
      <c r="Q319" s="729">
        <f t="shared" si="7"/>
        <v>0.88110438048512485</v>
      </c>
      <c r="R319" s="729">
        <f t="shared" si="7"/>
        <v>0.88110438048512485</v>
      </c>
      <c r="S319" s="729">
        <f t="shared" si="7"/>
        <v>0.88110438048512485</v>
      </c>
      <c r="T319" s="729">
        <f t="shared" si="7"/>
        <v>0.88110438048512485</v>
      </c>
      <c r="U319" s="729">
        <f t="shared" si="7"/>
        <v>0.88110438048512485</v>
      </c>
      <c r="V319" s="729">
        <f t="shared" si="7"/>
        <v>0.88110438048512485</v>
      </c>
      <c r="W319" s="729">
        <f t="shared" si="7"/>
        <v>0.88110438048512485</v>
      </c>
      <c r="X319" s="729">
        <f t="shared" si="7"/>
        <v>0.88110438048512485</v>
      </c>
      <c r="Y319" s="729">
        <f t="shared" si="7"/>
        <v>0.88110438048512485</v>
      </c>
      <c r="Z319" s="729">
        <f t="shared" si="7"/>
        <v>0.88110438048512485</v>
      </c>
      <c r="AA319" s="729">
        <f t="shared" si="7"/>
        <v>0.88110438048512485</v>
      </c>
      <c r="AB319" s="729">
        <f t="shared" si="7"/>
        <v>0.88110438048512485</v>
      </c>
      <c r="AC319" s="729">
        <f t="shared" si="7"/>
        <v>0.88110438048512485</v>
      </c>
      <c r="AD319" s="729">
        <f t="shared" si="7"/>
        <v>0.88110438048512485</v>
      </c>
      <c r="AE319" s="729">
        <f t="shared" si="7"/>
        <v>0.88110438048512485</v>
      </c>
      <c r="AF319" s="729">
        <f t="shared" si="7"/>
        <v>0.88110438048512485</v>
      </c>
      <c r="AG319" s="729">
        <f t="shared" si="7"/>
        <v>0.88110438048512485</v>
      </c>
      <c r="AH319" s="729">
        <f t="shared" si="7"/>
        <v>0.88110438048512485</v>
      </c>
      <c r="AI319" s="729">
        <f t="shared" si="7"/>
        <v>0.88110438048512485</v>
      </c>
      <c r="AJ319" s="729">
        <f t="shared" si="7"/>
        <v>0.88110438048512485</v>
      </c>
      <c r="AK319" s="729">
        <f t="shared" si="7"/>
        <v>0.88110438048512485</v>
      </c>
      <c r="AL319" s="729">
        <f t="shared" si="7"/>
        <v>0.88110438048512485</v>
      </c>
      <c r="AM319" s="729">
        <f t="shared" si="7"/>
        <v>0.88110438048512485</v>
      </c>
      <c r="AN319" s="729">
        <f t="shared" si="7"/>
        <v>0.88110438048512485</v>
      </c>
      <c r="AO319" s="729">
        <f t="shared" si="7"/>
        <v>0.88110438048512485</v>
      </c>
      <c r="AP319" s="729">
        <f t="shared" si="7"/>
        <v>0.88110438048512485</v>
      </c>
      <c r="AQ319" s="729">
        <f t="shared" si="7"/>
        <v>0.88110438048512485</v>
      </c>
      <c r="AR319" s="729">
        <f t="shared" si="7"/>
        <v>0.88110438048512485</v>
      </c>
      <c r="AS319" s="729">
        <f t="shared" si="7"/>
        <v>0.88110438048512485</v>
      </c>
      <c r="AT319" s="729">
        <f t="shared" si="7"/>
        <v>0.88110438048512485</v>
      </c>
      <c r="AU319" s="729">
        <f t="shared" si="7"/>
        <v>0.88110438048512485</v>
      </c>
      <c r="AV319" s="729">
        <f t="shared" si="7"/>
        <v>0.88110438048512485</v>
      </c>
      <c r="AW319" s="729">
        <f t="shared" si="7"/>
        <v>0.88110438048512485</v>
      </c>
    </row>
    <row r="320" spans="1:49" s="683" customFormat="1" x14ac:dyDescent="0.2">
      <c r="A320" s="702" t="s">
        <v>498</v>
      </c>
      <c r="B320" s="729">
        <f t="shared" ref="B320:AW320" si="8">$C$316- (3*$C$318)</f>
        <v>0.45549928942908924</v>
      </c>
      <c r="C320" s="729">
        <f t="shared" si="8"/>
        <v>0.45549928942908924</v>
      </c>
      <c r="D320" s="729">
        <f t="shared" si="8"/>
        <v>0.45549928942908924</v>
      </c>
      <c r="E320" s="729">
        <f t="shared" si="8"/>
        <v>0.45549928942908924</v>
      </c>
      <c r="F320" s="729">
        <f t="shared" si="8"/>
        <v>0.45549928942908924</v>
      </c>
      <c r="G320" s="729">
        <f t="shared" si="8"/>
        <v>0.45549928942908924</v>
      </c>
      <c r="H320" s="729">
        <f t="shared" si="8"/>
        <v>0.45549928942908924</v>
      </c>
      <c r="I320" s="729">
        <f t="shared" si="8"/>
        <v>0.45549928942908924</v>
      </c>
      <c r="J320" s="729">
        <f t="shared" si="8"/>
        <v>0.45549928942908924</v>
      </c>
      <c r="K320" s="729">
        <f t="shared" si="8"/>
        <v>0.45549928942908924</v>
      </c>
      <c r="L320" s="729">
        <f t="shared" si="8"/>
        <v>0.45549928942908924</v>
      </c>
      <c r="M320" s="729">
        <f t="shared" si="8"/>
        <v>0.45549928942908924</v>
      </c>
      <c r="N320" s="729">
        <f t="shared" si="8"/>
        <v>0.45549928942908924</v>
      </c>
      <c r="O320" s="729">
        <f t="shared" si="8"/>
        <v>0.45549928942908924</v>
      </c>
      <c r="P320" s="729">
        <f t="shared" si="8"/>
        <v>0.45549928942908924</v>
      </c>
      <c r="Q320" s="729">
        <f t="shared" si="8"/>
        <v>0.45549928942908924</v>
      </c>
      <c r="R320" s="729">
        <f t="shared" si="8"/>
        <v>0.45549928942908924</v>
      </c>
      <c r="S320" s="729">
        <f t="shared" si="8"/>
        <v>0.45549928942908924</v>
      </c>
      <c r="T320" s="729">
        <f t="shared" si="8"/>
        <v>0.45549928942908924</v>
      </c>
      <c r="U320" s="729">
        <f t="shared" si="8"/>
        <v>0.45549928942908924</v>
      </c>
      <c r="V320" s="729">
        <f t="shared" si="8"/>
        <v>0.45549928942908924</v>
      </c>
      <c r="W320" s="729">
        <f t="shared" si="8"/>
        <v>0.45549928942908924</v>
      </c>
      <c r="X320" s="729">
        <f t="shared" si="8"/>
        <v>0.45549928942908924</v>
      </c>
      <c r="Y320" s="729">
        <f t="shared" si="8"/>
        <v>0.45549928942908924</v>
      </c>
      <c r="Z320" s="729">
        <f t="shared" si="8"/>
        <v>0.45549928942908924</v>
      </c>
      <c r="AA320" s="729">
        <f t="shared" si="8"/>
        <v>0.45549928942908924</v>
      </c>
      <c r="AB320" s="729">
        <f t="shared" si="8"/>
        <v>0.45549928942908924</v>
      </c>
      <c r="AC320" s="729">
        <f t="shared" si="8"/>
        <v>0.45549928942908924</v>
      </c>
      <c r="AD320" s="729">
        <f t="shared" si="8"/>
        <v>0.45549928942908924</v>
      </c>
      <c r="AE320" s="729">
        <f t="shared" si="8"/>
        <v>0.45549928942908924</v>
      </c>
      <c r="AF320" s="729">
        <f t="shared" si="8"/>
        <v>0.45549928942908924</v>
      </c>
      <c r="AG320" s="729">
        <f t="shared" si="8"/>
        <v>0.45549928942908924</v>
      </c>
      <c r="AH320" s="729">
        <f t="shared" si="8"/>
        <v>0.45549928942908924</v>
      </c>
      <c r="AI320" s="729">
        <f t="shared" si="8"/>
        <v>0.45549928942908924</v>
      </c>
      <c r="AJ320" s="729">
        <f t="shared" si="8"/>
        <v>0.45549928942908924</v>
      </c>
      <c r="AK320" s="729">
        <f t="shared" si="8"/>
        <v>0.45549928942908924</v>
      </c>
      <c r="AL320" s="729">
        <f t="shared" si="8"/>
        <v>0.45549928942908924</v>
      </c>
      <c r="AM320" s="729">
        <f t="shared" si="8"/>
        <v>0.45549928942908924</v>
      </c>
      <c r="AN320" s="729">
        <f t="shared" si="8"/>
        <v>0.45549928942908924</v>
      </c>
      <c r="AO320" s="729">
        <f t="shared" si="8"/>
        <v>0.45549928942908924</v>
      </c>
      <c r="AP320" s="729">
        <f t="shared" si="8"/>
        <v>0.45549928942908924</v>
      </c>
      <c r="AQ320" s="729">
        <f t="shared" si="8"/>
        <v>0.45549928942908924</v>
      </c>
      <c r="AR320" s="729">
        <f t="shared" si="8"/>
        <v>0.45549928942908924</v>
      </c>
      <c r="AS320" s="729">
        <f t="shared" si="8"/>
        <v>0.45549928942908924</v>
      </c>
      <c r="AT320" s="729">
        <f t="shared" si="8"/>
        <v>0.45549928942908924</v>
      </c>
      <c r="AU320" s="729">
        <f t="shared" si="8"/>
        <v>0.45549928942908924</v>
      </c>
      <c r="AV320" s="729">
        <f t="shared" si="8"/>
        <v>0.45549928942908924</v>
      </c>
      <c r="AW320" s="729">
        <f t="shared" si="8"/>
        <v>0.45549928942908924</v>
      </c>
    </row>
    <row r="321" spans="1:49" s="683" customFormat="1" ht="25.5" x14ac:dyDescent="0.2">
      <c r="A321" s="730" t="s">
        <v>502</v>
      </c>
      <c r="B321" s="689">
        <v>73</v>
      </c>
      <c r="C321" s="689">
        <v>74</v>
      </c>
      <c r="D321" s="689">
        <v>56</v>
      </c>
      <c r="E321" s="689">
        <v>50</v>
      </c>
      <c r="F321" s="689">
        <v>66</v>
      </c>
      <c r="G321" s="689">
        <v>69</v>
      </c>
      <c r="H321" s="689">
        <v>94</v>
      </c>
      <c r="I321" s="689">
        <v>84</v>
      </c>
      <c r="J321" s="689">
        <v>67</v>
      </c>
      <c r="K321" s="689">
        <v>87</v>
      </c>
      <c r="L321" s="689">
        <v>78</v>
      </c>
      <c r="M321" s="689">
        <v>67</v>
      </c>
      <c r="N321" s="689">
        <v>76</v>
      </c>
      <c r="O321" s="689">
        <v>68</v>
      </c>
      <c r="P321" s="689">
        <v>90</v>
      </c>
      <c r="Q321" s="689">
        <v>88</v>
      </c>
      <c r="R321" s="689">
        <v>88</v>
      </c>
      <c r="S321" s="689">
        <v>88</v>
      </c>
      <c r="T321" s="689">
        <v>81</v>
      </c>
      <c r="U321" s="689">
        <v>78</v>
      </c>
      <c r="V321" s="689">
        <v>87</v>
      </c>
      <c r="W321" s="689">
        <v>84</v>
      </c>
      <c r="X321" s="689">
        <v>74</v>
      </c>
      <c r="Y321" s="689">
        <v>106</v>
      </c>
      <c r="Z321" s="689">
        <v>81</v>
      </c>
      <c r="AA321" s="689">
        <v>101</v>
      </c>
      <c r="AB321" s="689">
        <v>99</v>
      </c>
      <c r="AC321" s="689"/>
      <c r="AD321" s="689"/>
      <c r="AE321" s="689"/>
      <c r="AF321" s="689"/>
      <c r="AG321" s="689"/>
      <c r="AH321" s="689"/>
      <c r="AI321" s="689"/>
      <c r="AJ321" s="689"/>
      <c r="AK321" s="689"/>
      <c r="AL321" s="689"/>
      <c r="AM321" s="689"/>
      <c r="AN321" s="689"/>
      <c r="AO321" s="689"/>
      <c r="AP321" s="689"/>
      <c r="AQ321" s="689"/>
      <c r="AR321" s="689"/>
      <c r="AS321" s="689"/>
      <c r="AT321" s="689"/>
      <c r="AU321" s="689"/>
      <c r="AV321" s="689"/>
      <c r="AW321" s="689"/>
    </row>
    <row r="322" spans="1:49" s="683" customFormat="1" x14ac:dyDescent="0.2">
      <c r="A322" s="730" t="s">
        <v>131</v>
      </c>
      <c r="B322" s="689" t="s">
        <v>243</v>
      </c>
      <c r="C322" s="689" t="s">
        <v>243</v>
      </c>
      <c r="D322" s="689" t="s">
        <v>243</v>
      </c>
      <c r="E322" s="689" t="s">
        <v>243</v>
      </c>
      <c r="F322" s="689" t="s">
        <v>243</v>
      </c>
      <c r="G322" s="689" t="s">
        <v>243</v>
      </c>
      <c r="H322" s="689" t="s">
        <v>243</v>
      </c>
      <c r="I322" s="689" t="s">
        <v>243</v>
      </c>
      <c r="J322" s="689" t="s">
        <v>243</v>
      </c>
      <c r="K322" s="689" t="s">
        <v>243</v>
      </c>
      <c r="L322" s="689" t="s">
        <v>243</v>
      </c>
      <c r="M322" s="689" t="s">
        <v>243</v>
      </c>
      <c r="N322" s="689">
        <f t="shared" ref="N322:AW322" si="9">MEDIAN($N$321:$Y$321)</f>
        <v>85.5</v>
      </c>
      <c r="O322" s="689">
        <f t="shared" si="9"/>
        <v>85.5</v>
      </c>
      <c r="P322" s="689">
        <f t="shared" si="9"/>
        <v>85.5</v>
      </c>
      <c r="Q322" s="689">
        <f t="shared" si="9"/>
        <v>85.5</v>
      </c>
      <c r="R322" s="689">
        <f t="shared" si="9"/>
        <v>85.5</v>
      </c>
      <c r="S322" s="689">
        <f t="shared" si="9"/>
        <v>85.5</v>
      </c>
      <c r="T322" s="689">
        <f t="shared" si="9"/>
        <v>85.5</v>
      </c>
      <c r="U322" s="689">
        <f t="shared" si="9"/>
        <v>85.5</v>
      </c>
      <c r="V322" s="689">
        <f t="shared" si="9"/>
        <v>85.5</v>
      </c>
      <c r="W322" s="689">
        <f t="shared" si="9"/>
        <v>85.5</v>
      </c>
      <c r="X322" s="689">
        <f t="shared" si="9"/>
        <v>85.5</v>
      </c>
      <c r="Y322" s="689">
        <f t="shared" si="9"/>
        <v>85.5</v>
      </c>
      <c r="Z322" s="689">
        <f t="shared" si="9"/>
        <v>85.5</v>
      </c>
      <c r="AA322" s="689">
        <f t="shared" si="9"/>
        <v>85.5</v>
      </c>
      <c r="AB322" s="689">
        <f t="shared" si="9"/>
        <v>85.5</v>
      </c>
      <c r="AC322" s="689">
        <f t="shared" si="9"/>
        <v>85.5</v>
      </c>
      <c r="AD322" s="689">
        <f t="shared" si="9"/>
        <v>85.5</v>
      </c>
      <c r="AE322" s="689">
        <f t="shared" si="9"/>
        <v>85.5</v>
      </c>
      <c r="AF322" s="689">
        <f t="shared" si="9"/>
        <v>85.5</v>
      </c>
      <c r="AG322" s="689">
        <f t="shared" si="9"/>
        <v>85.5</v>
      </c>
      <c r="AH322" s="689">
        <f t="shared" si="9"/>
        <v>85.5</v>
      </c>
      <c r="AI322" s="689">
        <f t="shared" si="9"/>
        <v>85.5</v>
      </c>
      <c r="AJ322" s="689">
        <f t="shared" si="9"/>
        <v>85.5</v>
      </c>
      <c r="AK322" s="689">
        <f t="shared" si="9"/>
        <v>85.5</v>
      </c>
      <c r="AL322" s="689">
        <f t="shared" si="9"/>
        <v>85.5</v>
      </c>
      <c r="AM322" s="689">
        <f t="shared" si="9"/>
        <v>85.5</v>
      </c>
      <c r="AN322" s="689">
        <f t="shared" si="9"/>
        <v>85.5</v>
      </c>
      <c r="AO322" s="689">
        <f t="shared" si="9"/>
        <v>85.5</v>
      </c>
      <c r="AP322" s="689">
        <f t="shared" si="9"/>
        <v>85.5</v>
      </c>
      <c r="AQ322" s="689">
        <f t="shared" si="9"/>
        <v>85.5</v>
      </c>
      <c r="AR322" s="689">
        <f t="shared" si="9"/>
        <v>85.5</v>
      </c>
      <c r="AS322" s="689">
        <f t="shared" si="9"/>
        <v>85.5</v>
      </c>
      <c r="AT322" s="689">
        <f t="shared" si="9"/>
        <v>85.5</v>
      </c>
      <c r="AU322" s="689">
        <f t="shared" si="9"/>
        <v>85.5</v>
      </c>
      <c r="AV322" s="689">
        <f t="shared" si="9"/>
        <v>85.5</v>
      </c>
      <c r="AW322" s="689">
        <f t="shared" si="9"/>
        <v>85.5</v>
      </c>
    </row>
    <row r="323" spans="1:49" s="683" customFormat="1" x14ac:dyDescent="0.2">
      <c r="A323" s="730" t="s">
        <v>184</v>
      </c>
      <c r="B323" s="689"/>
      <c r="C323" s="689"/>
      <c r="D323" s="689"/>
      <c r="E323" s="689"/>
      <c r="F323" s="689"/>
      <c r="G323" s="689"/>
      <c r="H323" s="689"/>
      <c r="I323" s="689"/>
      <c r="J323" s="689"/>
      <c r="K323" s="689"/>
      <c r="L323" s="689"/>
      <c r="M323" s="689"/>
      <c r="N323" s="689"/>
      <c r="O323" s="689"/>
      <c r="P323" s="689"/>
      <c r="Q323" s="689"/>
      <c r="R323" s="689"/>
      <c r="S323" s="689"/>
      <c r="T323" s="689"/>
      <c r="U323" s="689"/>
      <c r="V323" s="689"/>
      <c r="W323" s="689"/>
      <c r="X323" s="689"/>
      <c r="Y323" s="689">
        <f t="shared" ref="Y323:AW323" si="10">MEDIAN($N$321:$Y$321)</f>
        <v>85.5</v>
      </c>
      <c r="Z323" s="689">
        <f t="shared" si="10"/>
        <v>85.5</v>
      </c>
      <c r="AA323" s="689">
        <f t="shared" si="10"/>
        <v>85.5</v>
      </c>
      <c r="AB323" s="689">
        <f t="shared" si="10"/>
        <v>85.5</v>
      </c>
      <c r="AC323" s="689">
        <f t="shared" si="10"/>
        <v>85.5</v>
      </c>
      <c r="AD323" s="689">
        <f t="shared" si="10"/>
        <v>85.5</v>
      </c>
      <c r="AE323" s="689">
        <f t="shared" si="10"/>
        <v>85.5</v>
      </c>
      <c r="AF323" s="689">
        <f t="shared" si="10"/>
        <v>85.5</v>
      </c>
      <c r="AG323" s="689">
        <f t="shared" si="10"/>
        <v>85.5</v>
      </c>
      <c r="AH323" s="689">
        <f t="shared" si="10"/>
        <v>85.5</v>
      </c>
      <c r="AI323" s="689">
        <f t="shared" si="10"/>
        <v>85.5</v>
      </c>
      <c r="AJ323" s="689">
        <f t="shared" si="10"/>
        <v>85.5</v>
      </c>
      <c r="AK323" s="689">
        <f t="shared" si="10"/>
        <v>85.5</v>
      </c>
      <c r="AL323" s="689">
        <f t="shared" si="10"/>
        <v>85.5</v>
      </c>
      <c r="AM323" s="689">
        <f t="shared" si="10"/>
        <v>85.5</v>
      </c>
      <c r="AN323" s="689">
        <f t="shared" si="10"/>
        <v>85.5</v>
      </c>
      <c r="AO323" s="689">
        <f t="shared" si="10"/>
        <v>85.5</v>
      </c>
      <c r="AP323" s="689">
        <f t="shared" si="10"/>
        <v>85.5</v>
      </c>
      <c r="AQ323" s="689">
        <f t="shared" si="10"/>
        <v>85.5</v>
      </c>
      <c r="AR323" s="689">
        <f t="shared" si="10"/>
        <v>85.5</v>
      </c>
      <c r="AS323" s="689">
        <f t="shared" si="10"/>
        <v>85.5</v>
      </c>
      <c r="AT323" s="689">
        <f t="shared" si="10"/>
        <v>85.5</v>
      </c>
      <c r="AU323" s="689">
        <f t="shared" si="10"/>
        <v>85.5</v>
      </c>
      <c r="AV323" s="689">
        <f t="shared" si="10"/>
        <v>85.5</v>
      </c>
      <c r="AW323" s="689">
        <f t="shared" si="10"/>
        <v>85.5</v>
      </c>
    </row>
    <row r="324" spans="1:49" s="683" customFormat="1" x14ac:dyDescent="0.2">
      <c r="A324" s="702" t="s">
        <v>490</v>
      </c>
      <c r="B324" s="689"/>
      <c r="C324" s="689">
        <f>SUM(C321-B321)</f>
        <v>1</v>
      </c>
      <c r="D324" s="689">
        <f>SUM(D321-C321)*-1</f>
        <v>18</v>
      </c>
      <c r="E324" s="689">
        <f>SUM(E321-D321)*-1</f>
        <v>6</v>
      </c>
      <c r="F324" s="689">
        <f t="shared" ref="F324:V324" si="11">SUM(F321-E321)</f>
        <v>16</v>
      </c>
      <c r="G324" s="689">
        <f t="shared" si="11"/>
        <v>3</v>
      </c>
      <c r="H324" s="689">
        <f t="shared" si="11"/>
        <v>25</v>
      </c>
      <c r="I324" s="689">
        <f>SUM(I321-H321)*-1</f>
        <v>10</v>
      </c>
      <c r="J324" s="689">
        <f>SUM(J321-I321)*-1</f>
        <v>17</v>
      </c>
      <c r="K324" s="689">
        <f t="shared" si="11"/>
        <v>20</v>
      </c>
      <c r="L324" s="689">
        <f>SUM(L321-K321)*-1</f>
        <v>9</v>
      </c>
      <c r="M324" s="689">
        <f>SUM(M321-L321)*-1</f>
        <v>11</v>
      </c>
      <c r="N324" s="689">
        <f t="shared" si="11"/>
        <v>9</v>
      </c>
      <c r="O324" s="689">
        <f>SUM(O321-N321)*-1</f>
        <v>8</v>
      </c>
      <c r="P324" s="689">
        <f t="shared" si="11"/>
        <v>22</v>
      </c>
      <c r="Q324" s="689">
        <f>SUM(Q321-P321)*-1</f>
        <v>2</v>
      </c>
      <c r="R324" s="689">
        <f t="shared" si="11"/>
        <v>0</v>
      </c>
      <c r="S324" s="689">
        <f t="shared" si="11"/>
        <v>0</v>
      </c>
      <c r="T324" s="689">
        <f>SUM(T321-S321)*-1</f>
        <v>7</v>
      </c>
      <c r="U324" s="689">
        <f>SUM(U321-T321)*-1</f>
        <v>3</v>
      </c>
      <c r="V324" s="689">
        <f t="shared" si="11"/>
        <v>9</v>
      </c>
      <c r="W324" s="689">
        <f>SUM(W321-V321)*-1</f>
        <v>3</v>
      </c>
      <c r="X324" s="689">
        <f>SUM(X321-W321)*-1</f>
        <v>10</v>
      </c>
      <c r="Y324" s="689">
        <f>SUM(Y321-X321)</f>
        <v>32</v>
      </c>
      <c r="Z324" s="689">
        <f>SUM(Z321-Y321)*-1</f>
        <v>25</v>
      </c>
      <c r="AA324" s="689">
        <f>SUM(AA321-Z321)</f>
        <v>20</v>
      </c>
      <c r="AB324" s="689">
        <f>SUM(AB321-AA321)*-1</f>
        <v>2</v>
      </c>
      <c r="AC324" s="689"/>
      <c r="AD324" s="689"/>
      <c r="AE324" s="689"/>
      <c r="AF324" s="689"/>
      <c r="AG324" s="689"/>
      <c r="AH324" s="689"/>
      <c r="AI324" s="689"/>
      <c r="AJ324" s="689"/>
      <c r="AK324" s="689"/>
      <c r="AL324" s="689"/>
      <c r="AM324" s="689"/>
      <c r="AN324" s="689"/>
      <c r="AO324" s="689"/>
      <c r="AP324" s="689"/>
      <c r="AQ324" s="689"/>
      <c r="AR324" s="689"/>
      <c r="AS324" s="689"/>
      <c r="AT324" s="689"/>
      <c r="AU324" s="689"/>
      <c r="AV324" s="689"/>
      <c r="AW324" s="689"/>
    </row>
    <row r="325" spans="1:49" s="683" customFormat="1" ht="21.75" x14ac:dyDescent="0.2">
      <c r="A325" s="703" t="s">
        <v>493</v>
      </c>
      <c r="B325" s="689"/>
      <c r="C325" s="689"/>
      <c r="D325" s="689"/>
      <c r="E325" s="689"/>
      <c r="F325" s="689"/>
      <c r="G325" s="689"/>
      <c r="H325" s="689"/>
      <c r="I325" s="689"/>
      <c r="J325" s="689"/>
      <c r="K325" s="689"/>
      <c r="L325" s="689"/>
      <c r="M325" s="689"/>
      <c r="N325" s="689"/>
      <c r="O325" s="689"/>
      <c r="P325" s="689"/>
      <c r="Q325" s="689"/>
      <c r="R325" s="689"/>
      <c r="S325" s="689"/>
      <c r="T325" s="689"/>
      <c r="U325" s="689"/>
      <c r="V325" s="689"/>
      <c r="W325" s="689"/>
      <c r="X325" s="689"/>
      <c r="Y325" s="689"/>
      <c r="Z325" s="689"/>
      <c r="AA325" s="689"/>
      <c r="AB325" s="689"/>
      <c r="AC325" s="689"/>
      <c r="AD325" s="689"/>
      <c r="AE325" s="689"/>
      <c r="AF325" s="689"/>
      <c r="AG325" s="689"/>
      <c r="AH325" s="689"/>
      <c r="AI325" s="689"/>
      <c r="AJ325" s="689"/>
      <c r="AK325" s="689"/>
      <c r="AL325" s="689"/>
      <c r="AM325" s="689"/>
      <c r="AN325" s="689"/>
      <c r="AO325" s="689"/>
      <c r="AP325" s="689"/>
      <c r="AQ325" s="689"/>
      <c r="AR325" s="689"/>
      <c r="AS325" s="689"/>
      <c r="AT325" s="689"/>
      <c r="AU325" s="689"/>
      <c r="AV325" s="689"/>
      <c r="AW325" s="689"/>
    </row>
    <row r="326" spans="1:49" s="683" customFormat="1" x14ac:dyDescent="0.2">
      <c r="A326" s="674" t="s">
        <v>492</v>
      </c>
      <c r="B326" s="689">
        <f t="shared" ref="B326:AW326" si="12">AVERAGE($B$321:$AW$321)</f>
        <v>79.777777777777771</v>
      </c>
      <c r="C326" s="689">
        <f t="shared" si="12"/>
        <v>79.777777777777771</v>
      </c>
      <c r="D326" s="689">
        <f t="shared" si="12"/>
        <v>79.777777777777771</v>
      </c>
      <c r="E326" s="689">
        <f t="shared" si="12"/>
        <v>79.777777777777771</v>
      </c>
      <c r="F326" s="689">
        <f t="shared" si="12"/>
        <v>79.777777777777771</v>
      </c>
      <c r="G326" s="689">
        <f t="shared" si="12"/>
        <v>79.777777777777771</v>
      </c>
      <c r="H326" s="689">
        <f t="shared" si="12"/>
        <v>79.777777777777771</v>
      </c>
      <c r="I326" s="689">
        <f t="shared" si="12"/>
        <v>79.777777777777771</v>
      </c>
      <c r="J326" s="689">
        <f t="shared" si="12"/>
        <v>79.777777777777771</v>
      </c>
      <c r="K326" s="689">
        <f t="shared" si="12"/>
        <v>79.777777777777771</v>
      </c>
      <c r="L326" s="689">
        <f t="shared" si="12"/>
        <v>79.777777777777771</v>
      </c>
      <c r="M326" s="689">
        <f t="shared" si="12"/>
        <v>79.777777777777771</v>
      </c>
      <c r="N326" s="689">
        <f t="shared" si="12"/>
        <v>79.777777777777771</v>
      </c>
      <c r="O326" s="689">
        <f t="shared" si="12"/>
        <v>79.777777777777771</v>
      </c>
      <c r="P326" s="689">
        <f t="shared" si="12"/>
        <v>79.777777777777771</v>
      </c>
      <c r="Q326" s="689">
        <f t="shared" si="12"/>
        <v>79.777777777777771</v>
      </c>
      <c r="R326" s="689">
        <f t="shared" si="12"/>
        <v>79.777777777777771</v>
      </c>
      <c r="S326" s="689">
        <f t="shared" si="12"/>
        <v>79.777777777777771</v>
      </c>
      <c r="T326" s="689">
        <f t="shared" si="12"/>
        <v>79.777777777777771</v>
      </c>
      <c r="U326" s="689">
        <f t="shared" si="12"/>
        <v>79.777777777777771</v>
      </c>
      <c r="V326" s="689">
        <f t="shared" si="12"/>
        <v>79.777777777777771</v>
      </c>
      <c r="W326" s="689">
        <f t="shared" si="12"/>
        <v>79.777777777777771</v>
      </c>
      <c r="X326" s="689">
        <f t="shared" si="12"/>
        <v>79.777777777777771</v>
      </c>
      <c r="Y326" s="689">
        <f t="shared" si="12"/>
        <v>79.777777777777771</v>
      </c>
      <c r="Z326" s="689">
        <f t="shared" si="12"/>
        <v>79.777777777777771</v>
      </c>
      <c r="AA326" s="689">
        <f t="shared" si="12"/>
        <v>79.777777777777771</v>
      </c>
      <c r="AB326" s="689">
        <f t="shared" si="12"/>
        <v>79.777777777777771</v>
      </c>
      <c r="AC326" s="689">
        <f t="shared" si="12"/>
        <v>79.777777777777771</v>
      </c>
      <c r="AD326" s="689">
        <f t="shared" si="12"/>
        <v>79.777777777777771</v>
      </c>
      <c r="AE326" s="689">
        <f t="shared" si="12"/>
        <v>79.777777777777771</v>
      </c>
      <c r="AF326" s="689">
        <f t="shared" si="12"/>
        <v>79.777777777777771</v>
      </c>
      <c r="AG326" s="689">
        <f t="shared" si="12"/>
        <v>79.777777777777771</v>
      </c>
      <c r="AH326" s="689">
        <f t="shared" si="12"/>
        <v>79.777777777777771</v>
      </c>
      <c r="AI326" s="689">
        <f t="shared" si="12"/>
        <v>79.777777777777771</v>
      </c>
      <c r="AJ326" s="689">
        <f t="shared" si="12"/>
        <v>79.777777777777771</v>
      </c>
      <c r="AK326" s="689">
        <f t="shared" si="12"/>
        <v>79.777777777777771</v>
      </c>
      <c r="AL326" s="689">
        <f t="shared" si="12"/>
        <v>79.777777777777771</v>
      </c>
      <c r="AM326" s="689">
        <f t="shared" si="12"/>
        <v>79.777777777777771</v>
      </c>
      <c r="AN326" s="689">
        <f t="shared" si="12"/>
        <v>79.777777777777771</v>
      </c>
      <c r="AO326" s="689">
        <f t="shared" si="12"/>
        <v>79.777777777777771</v>
      </c>
      <c r="AP326" s="689">
        <f t="shared" si="12"/>
        <v>79.777777777777771</v>
      </c>
      <c r="AQ326" s="689">
        <f t="shared" si="12"/>
        <v>79.777777777777771</v>
      </c>
      <c r="AR326" s="689">
        <f t="shared" si="12"/>
        <v>79.777777777777771</v>
      </c>
      <c r="AS326" s="689">
        <f t="shared" si="12"/>
        <v>79.777777777777771</v>
      </c>
      <c r="AT326" s="689">
        <f t="shared" si="12"/>
        <v>79.777777777777771</v>
      </c>
      <c r="AU326" s="689">
        <f t="shared" si="12"/>
        <v>79.777777777777771</v>
      </c>
      <c r="AV326" s="689">
        <f t="shared" si="12"/>
        <v>79.777777777777771</v>
      </c>
      <c r="AW326" s="689">
        <f t="shared" si="12"/>
        <v>79.777777777777771</v>
      </c>
    </row>
    <row r="327" spans="1:49" s="683" customFormat="1" x14ac:dyDescent="0.2">
      <c r="A327" s="702" t="s">
        <v>491</v>
      </c>
      <c r="B327" s="689">
        <f t="shared" ref="B327:AW327" si="13">SUM($C$324:$AW$324)/22</f>
        <v>13.090909090909092</v>
      </c>
      <c r="C327" s="689">
        <f t="shared" si="13"/>
        <v>13.090909090909092</v>
      </c>
      <c r="D327" s="689">
        <f t="shared" si="13"/>
        <v>13.090909090909092</v>
      </c>
      <c r="E327" s="689">
        <f t="shared" si="13"/>
        <v>13.090909090909092</v>
      </c>
      <c r="F327" s="689">
        <f t="shared" si="13"/>
        <v>13.090909090909092</v>
      </c>
      <c r="G327" s="689">
        <f t="shared" si="13"/>
        <v>13.090909090909092</v>
      </c>
      <c r="H327" s="689">
        <f t="shared" si="13"/>
        <v>13.090909090909092</v>
      </c>
      <c r="I327" s="689">
        <f t="shared" si="13"/>
        <v>13.090909090909092</v>
      </c>
      <c r="J327" s="689">
        <f t="shared" si="13"/>
        <v>13.090909090909092</v>
      </c>
      <c r="K327" s="689">
        <f t="shared" si="13"/>
        <v>13.090909090909092</v>
      </c>
      <c r="L327" s="689">
        <f t="shared" si="13"/>
        <v>13.090909090909092</v>
      </c>
      <c r="M327" s="689">
        <f t="shared" si="13"/>
        <v>13.090909090909092</v>
      </c>
      <c r="N327" s="689">
        <f t="shared" si="13"/>
        <v>13.090909090909092</v>
      </c>
      <c r="O327" s="689">
        <f t="shared" si="13"/>
        <v>13.090909090909092</v>
      </c>
      <c r="P327" s="689">
        <f t="shared" si="13"/>
        <v>13.090909090909092</v>
      </c>
      <c r="Q327" s="689">
        <f t="shared" si="13"/>
        <v>13.090909090909092</v>
      </c>
      <c r="R327" s="689">
        <f t="shared" si="13"/>
        <v>13.090909090909092</v>
      </c>
      <c r="S327" s="689">
        <f t="shared" si="13"/>
        <v>13.090909090909092</v>
      </c>
      <c r="T327" s="689">
        <f t="shared" si="13"/>
        <v>13.090909090909092</v>
      </c>
      <c r="U327" s="689">
        <f t="shared" si="13"/>
        <v>13.090909090909092</v>
      </c>
      <c r="V327" s="689">
        <f t="shared" si="13"/>
        <v>13.090909090909092</v>
      </c>
      <c r="W327" s="689">
        <f t="shared" si="13"/>
        <v>13.090909090909092</v>
      </c>
      <c r="X327" s="689">
        <f t="shared" si="13"/>
        <v>13.090909090909092</v>
      </c>
      <c r="Y327" s="689">
        <f t="shared" si="13"/>
        <v>13.090909090909092</v>
      </c>
      <c r="Z327" s="689">
        <f t="shared" si="13"/>
        <v>13.090909090909092</v>
      </c>
      <c r="AA327" s="689">
        <f t="shared" si="13"/>
        <v>13.090909090909092</v>
      </c>
      <c r="AB327" s="689">
        <f t="shared" si="13"/>
        <v>13.090909090909092</v>
      </c>
      <c r="AC327" s="689">
        <f t="shared" si="13"/>
        <v>13.090909090909092</v>
      </c>
      <c r="AD327" s="689">
        <f t="shared" si="13"/>
        <v>13.090909090909092</v>
      </c>
      <c r="AE327" s="689">
        <f t="shared" si="13"/>
        <v>13.090909090909092</v>
      </c>
      <c r="AF327" s="689">
        <f t="shared" si="13"/>
        <v>13.090909090909092</v>
      </c>
      <c r="AG327" s="689">
        <f t="shared" si="13"/>
        <v>13.090909090909092</v>
      </c>
      <c r="AH327" s="689">
        <f t="shared" si="13"/>
        <v>13.090909090909092</v>
      </c>
      <c r="AI327" s="689">
        <f t="shared" si="13"/>
        <v>13.090909090909092</v>
      </c>
      <c r="AJ327" s="689">
        <f t="shared" si="13"/>
        <v>13.090909090909092</v>
      </c>
      <c r="AK327" s="689">
        <f t="shared" si="13"/>
        <v>13.090909090909092</v>
      </c>
      <c r="AL327" s="689">
        <f t="shared" si="13"/>
        <v>13.090909090909092</v>
      </c>
      <c r="AM327" s="689">
        <f t="shared" si="13"/>
        <v>13.090909090909092</v>
      </c>
      <c r="AN327" s="689">
        <f t="shared" si="13"/>
        <v>13.090909090909092</v>
      </c>
      <c r="AO327" s="689">
        <f t="shared" si="13"/>
        <v>13.090909090909092</v>
      </c>
      <c r="AP327" s="689">
        <f t="shared" si="13"/>
        <v>13.090909090909092</v>
      </c>
      <c r="AQ327" s="689">
        <f t="shared" si="13"/>
        <v>13.090909090909092</v>
      </c>
      <c r="AR327" s="689">
        <f t="shared" si="13"/>
        <v>13.090909090909092</v>
      </c>
      <c r="AS327" s="689">
        <f t="shared" si="13"/>
        <v>13.090909090909092</v>
      </c>
      <c r="AT327" s="689">
        <f t="shared" si="13"/>
        <v>13.090909090909092</v>
      </c>
      <c r="AU327" s="689">
        <f t="shared" si="13"/>
        <v>13.090909090909092</v>
      </c>
      <c r="AV327" s="689">
        <f t="shared" si="13"/>
        <v>13.090909090909092</v>
      </c>
      <c r="AW327" s="689">
        <f t="shared" si="13"/>
        <v>13.090909090909092</v>
      </c>
    </row>
    <row r="328" spans="1:49" s="683" customFormat="1" ht="25.5" x14ac:dyDescent="0.2">
      <c r="A328" s="702" t="s">
        <v>494</v>
      </c>
      <c r="B328" s="689">
        <f t="shared" ref="B328:AW328" si="14">$B$327/1.128</f>
        <v>11.605415860735011</v>
      </c>
      <c r="C328" s="689">
        <f t="shared" si="14"/>
        <v>11.605415860735011</v>
      </c>
      <c r="D328" s="689">
        <f t="shared" si="14"/>
        <v>11.605415860735011</v>
      </c>
      <c r="E328" s="689">
        <f t="shared" si="14"/>
        <v>11.605415860735011</v>
      </c>
      <c r="F328" s="689">
        <f t="shared" si="14"/>
        <v>11.605415860735011</v>
      </c>
      <c r="G328" s="689">
        <f t="shared" si="14"/>
        <v>11.605415860735011</v>
      </c>
      <c r="H328" s="689">
        <f t="shared" si="14"/>
        <v>11.605415860735011</v>
      </c>
      <c r="I328" s="689">
        <f t="shared" si="14"/>
        <v>11.605415860735011</v>
      </c>
      <c r="J328" s="689">
        <f t="shared" si="14"/>
        <v>11.605415860735011</v>
      </c>
      <c r="K328" s="689">
        <f t="shared" si="14"/>
        <v>11.605415860735011</v>
      </c>
      <c r="L328" s="689">
        <f t="shared" si="14"/>
        <v>11.605415860735011</v>
      </c>
      <c r="M328" s="689">
        <f t="shared" si="14"/>
        <v>11.605415860735011</v>
      </c>
      <c r="N328" s="689">
        <f t="shared" si="14"/>
        <v>11.605415860735011</v>
      </c>
      <c r="O328" s="689">
        <f t="shared" si="14"/>
        <v>11.605415860735011</v>
      </c>
      <c r="P328" s="689">
        <f t="shared" si="14"/>
        <v>11.605415860735011</v>
      </c>
      <c r="Q328" s="689">
        <f t="shared" si="14"/>
        <v>11.605415860735011</v>
      </c>
      <c r="R328" s="689">
        <f t="shared" si="14"/>
        <v>11.605415860735011</v>
      </c>
      <c r="S328" s="689">
        <f t="shared" si="14"/>
        <v>11.605415860735011</v>
      </c>
      <c r="T328" s="689">
        <f t="shared" si="14"/>
        <v>11.605415860735011</v>
      </c>
      <c r="U328" s="689">
        <f t="shared" si="14"/>
        <v>11.605415860735011</v>
      </c>
      <c r="V328" s="689">
        <f t="shared" si="14"/>
        <v>11.605415860735011</v>
      </c>
      <c r="W328" s="689">
        <f t="shared" si="14"/>
        <v>11.605415860735011</v>
      </c>
      <c r="X328" s="689">
        <f t="shared" si="14"/>
        <v>11.605415860735011</v>
      </c>
      <c r="Y328" s="689">
        <f t="shared" si="14"/>
        <v>11.605415860735011</v>
      </c>
      <c r="Z328" s="689">
        <f t="shared" si="14"/>
        <v>11.605415860735011</v>
      </c>
      <c r="AA328" s="689">
        <f t="shared" si="14"/>
        <v>11.605415860735011</v>
      </c>
      <c r="AB328" s="689">
        <f t="shared" si="14"/>
        <v>11.605415860735011</v>
      </c>
      <c r="AC328" s="689">
        <f t="shared" si="14"/>
        <v>11.605415860735011</v>
      </c>
      <c r="AD328" s="689">
        <f t="shared" si="14"/>
        <v>11.605415860735011</v>
      </c>
      <c r="AE328" s="689">
        <f t="shared" si="14"/>
        <v>11.605415860735011</v>
      </c>
      <c r="AF328" s="689">
        <f t="shared" si="14"/>
        <v>11.605415860735011</v>
      </c>
      <c r="AG328" s="689">
        <f t="shared" si="14"/>
        <v>11.605415860735011</v>
      </c>
      <c r="AH328" s="689">
        <f t="shared" si="14"/>
        <v>11.605415860735011</v>
      </c>
      <c r="AI328" s="689">
        <f t="shared" si="14"/>
        <v>11.605415860735011</v>
      </c>
      <c r="AJ328" s="689">
        <f t="shared" si="14"/>
        <v>11.605415860735011</v>
      </c>
      <c r="AK328" s="689">
        <f t="shared" si="14"/>
        <v>11.605415860735011</v>
      </c>
      <c r="AL328" s="689">
        <f t="shared" si="14"/>
        <v>11.605415860735011</v>
      </c>
      <c r="AM328" s="689">
        <f t="shared" si="14"/>
        <v>11.605415860735011</v>
      </c>
      <c r="AN328" s="689">
        <f t="shared" si="14"/>
        <v>11.605415860735011</v>
      </c>
      <c r="AO328" s="689">
        <f t="shared" si="14"/>
        <v>11.605415860735011</v>
      </c>
      <c r="AP328" s="689">
        <f t="shared" si="14"/>
        <v>11.605415860735011</v>
      </c>
      <c r="AQ328" s="689">
        <f t="shared" si="14"/>
        <v>11.605415860735011</v>
      </c>
      <c r="AR328" s="689">
        <f t="shared" si="14"/>
        <v>11.605415860735011</v>
      </c>
      <c r="AS328" s="689">
        <f t="shared" si="14"/>
        <v>11.605415860735011</v>
      </c>
      <c r="AT328" s="689">
        <f t="shared" si="14"/>
        <v>11.605415860735011</v>
      </c>
      <c r="AU328" s="689">
        <f t="shared" si="14"/>
        <v>11.605415860735011</v>
      </c>
      <c r="AV328" s="689">
        <f t="shared" si="14"/>
        <v>11.605415860735011</v>
      </c>
      <c r="AW328" s="689">
        <f t="shared" si="14"/>
        <v>11.605415860735011</v>
      </c>
    </row>
    <row r="329" spans="1:49" s="683" customFormat="1" x14ac:dyDescent="0.2">
      <c r="A329" s="702" t="s">
        <v>497</v>
      </c>
      <c r="B329" s="689">
        <f t="shared" ref="B329:AW329" si="15">$B$326+(3*$B$328)</f>
        <v>114.59402535998281</v>
      </c>
      <c r="C329" s="689">
        <f t="shared" si="15"/>
        <v>114.59402535998281</v>
      </c>
      <c r="D329" s="689">
        <f t="shared" si="15"/>
        <v>114.59402535998281</v>
      </c>
      <c r="E329" s="689">
        <f t="shared" si="15"/>
        <v>114.59402535998281</v>
      </c>
      <c r="F329" s="689">
        <f t="shared" si="15"/>
        <v>114.59402535998281</v>
      </c>
      <c r="G329" s="689">
        <f t="shared" si="15"/>
        <v>114.59402535998281</v>
      </c>
      <c r="H329" s="689">
        <f t="shared" si="15"/>
        <v>114.59402535998281</v>
      </c>
      <c r="I329" s="689">
        <f t="shared" si="15"/>
        <v>114.59402535998281</v>
      </c>
      <c r="J329" s="689">
        <f t="shared" si="15"/>
        <v>114.59402535998281</v>
      </c>
      <c r="K329" s="689">
        <f t="shared" si="15"/>
        <v>114.59402535998281</v>
      </c>
      <c r="L329" s="689">
        <f t="shared" si="15"/>
        <v>114.59402535998281</v>
      </c>
      <c r="M329" s="689">
        <f t="shared" si="15"/>
        <v>114.59402535998281</v>
      </c>
      <c r="N329" s="689">
        <f t="shared" si="15"/>
        <v>114.59402535998281</v>
      </c>
      <c r="O329" s="689">
        <f t="shared" si="15"/>
        <v>114.59402535998281</v>
      </c>
      <c r="P329" s="689">
        <f t="shared" si="15"/>
        <v>114.59402535998281</v>
      </c>
      <c r="Q329" s="689">
        <f t="shared" si="15"/>
        <v>114.59402535998281</v>
      </c>
      <c r="R329" s="689">
        <f t="shared" si="15"/>
        <v>114.59402535998281</v>
      </c>
      <c r="S329" s="689">
        <f t="shared" si="15"/>
        <v>114.59402535998281</v>
      </c>
      <c r="T329" s="689">
        <f t="shared" si="15"/>
        <v>114.59402535998281</v>
      </c>
      <c r="U329" s="689">
        <f t="shared" si="15"/>
        <v>114.59402535998281</v>
      </c>
      <c r="V329" s="689">
        <f t="shared" si="15"/>
        <v>114.59402535998281</v>
      </c>
      <c r="W329" s="689">
        <f t="shared" si="15"/>
        <v>114.59402535998281</v>
      </c>
      <c r="X329" s="689">
        <f t="shared" si="15"/>
        <v>114.59402535998281</v>
      </c>
      <c r="Y329" s="689">
        <f t="shared" si="15"/>
        <v>114.59402535998281</v>
      </c>
      <c r="Z329" s="689">
        <f t="shared" si="15"/>
        <v>114.59402535998281</v>
      </c>
      <c r="AA329" s="689">
        <f t="shared" si="15"/>
        <v>114.59402535998281</v>
      </c>
      <c r="AB329" s="689">
        <f t="shared" si="15"/>
        <v>114.59402535998281</v>
      </c>
      <c r="AC329" s="689">
        <f t="shared" si="15"/>
        <v>114.59402535998281</v>
      </c>
      <c r="AD329" s="689">
        <f t="shared" si="15"/>
        <v>114.59402535998281</v>
      </c>
      <c r="AE329" s="689">
        <f t="shared" si="15"/>
        <v>114.59402535998281</v>
      </c>
      <c r="AF329" s="689">
        <f t="shared" si="15"/>
        <v>114.59402535998281</v>
      </c>
      <c r="AG329" s="689">
        <f t="shared" si="15"/>
        <v>114.59402535998281</v>
      </c>
      <c r="AH329" s="689">
        <f t="shared" si="15"/>
        <v>114.59402535998281</v>
      </c>
      <c r="AI329" s="689">
        <f t="shared" si="15"/>
        <v>114.59402535998281</v>
      </c>
      <c r="AJ329" s="689">
        <f t="shared" si="15"/>
        <v>114.59402535998281</v>
      </c>
      <c r="AK329" s="689">
        <f t="shared" si="15"/>
        <v>114.59402535998281</v>
      </c>
      <c r="AL329" s="689">
        <f t="shared" si="15"/>
        <v>114.59402535998281</v>
      </c>
      <c r="AM329" s="689">
        <f t="shared" si="15"/>
        <v>114.59402535998281</v>
      </c>
      <c r="AN329" s="689">
        <f t="shared" si="15"/>
        <v>114.59402535998281</v>
      </c>
      <c r="AO329" s="689">
        <f t="shared" si="15"/>
        <v>114.59402535998281</v>
      </c>
      <c r="AP329" s="689">
        <f t="shared" si="15"/>
        <v>114.59402535998281</v>
      </c>
      <c r="AQ329" s="689">
        <f t="shared" si="15"/>
        <v>114.59402535998281</v>
      </c>
      <c r="AR329" s="689">
        <f t="shared" si="15"/>
        <v>114.59402535998281</v>
      </c>
      <c r="AS329" s="689">
        <f t="shared" si="15"/>
        <v>114.59402535998281</v>
      </c>
      <c r="AT329" s="689">
        <f t="shared" si="15"/>
        <v>114.59402535998281</v>
      </c>
      <c r="AU329" s="689">
        <f t="shared" si="15"/>
        <v>114.59402535998281</v>
      </c>
      <c r="AV329" s="689">
        <f t="shared" si="15"/>
        <v>114.59402535998281</v>
      </c>
      <c r="AW329" s="689">
        <f t="shared" si="15"/>
        <v>114.59402535998281</v>
      </c>
    </row>
    <row r="330" spans="1:49" s="683" customFormat="1" x14ac:dyDescent="0.2">
      <c r="A330" s="702" t="s">
        <v>498</v>
      </c>
      <c r="B330" s="689">
        <f t="shared" ref="B330:AW330" si="16">$B$326-(3*$B$328)</f>
        <v>44.961530195572735</v>
      </c>
      <c r="C330" s="689">
        <f t="shared" si="16"/>
        <v>44.961530195572735</v>
      </c>
      <c r="D330" s="689">
        <f t="shared" si="16"/>
        <v>44.961530195572735</v>
      </c>
      <c r="E330" s="689">
        <f t="shared" si="16"/>
        <v>44.961530195572735</v>
      </c>
      <c r="F330" s="689">
        <f t="shared" si="16"/>
        <v>44.961530195572735</v>
      </c>
      <c r="G330" s="689">
        <f t="shared" si="16"/>
        <v>44.961530195572735</v>
      </c>
      <c r="H330" s="689">
        <f t="shared" si="16"/>
        <v>44.961530195572735</v>
      </c>
      <c r="I330" s="689">
        <f t="shared" si="16"/>
        <v>44.961530195572735</v>
      </c>
      <c r="J330" s="689">
        <f t="shared" si="16"/>
        <v>44.961530195572735</v>
      </c>
      <c r="K330" s="689">
        <f t="shared" si="16"/>
        <v>44.961530195572735</v>
      </c>
      <c r="L330" s="689">
        <f t="shared" si="16"/>
        <v>44.961530195572735</v>
      </c>
      <c r="M330" s="689">
        <f t="shared" si="16"/>
        <v>44.961530195572735</v>
      </c>
      <c r="N330" s="689">
        <f t="shared" si="16"/>
        <v>44.961530195572735</v>
      </c>
      <c r="O330" s="689">
        <f t="shared" si="16"/>
        <v>44.961530195572735</v>
      </c>
      <c r="P330" s="689">
        <f t="shared" si="16"/>
        <v>44.961530195572735</v>
      </c>
      <c r="Q330" s="689">
        <f t="shared" si="16"/>
        <v>44.961530195572735</v>
      </c>
      <c r="R330" s="689">
        <f t="shared" si="16"/>
        <v>44.961530195572735</v>
      </c>
      <c r="S330" s="689">
        <f t="shared" si="16"/>
        <v>44.961530195572735</v>
      </c>
      <c r="T330" s="689">
        <f t="shared" si="16"/>
        <v>44.961530195572735</v>
      </c>
      <c r="U330" s="689">
        <f t="shared" si="16"/>
        <v>44.961530195572735</v>
      </c>
      <c r="V330" s="689">
        <f t="shared" si="16"/>
        <v>44.961530195572735</v>
      </c>
      <c r="W330" s="689">
        <f t="shared" si="16"/>
        <v>44.961530195572735</v>
      </c>
      <c r="X330" s="689">
        <f t="shared" si="16"/>
        <v>44.961530195572735</v>
      </c>
      <c r="Y330" s="689">
        <f t="shared" si="16"/>
        <v>44.961530195572735</v>
      </c>
      <c r="Z330" s="689">
        <f t="shared" si="16"/>
        <v>44.961530195572735</v>
      </c>
      <c r="AA330" s="689">
        <f t="shared" si="16"/>
        <v>44.961530195572735</v>
      </c>
      <c r="AB330" s="689">
        <f t="shared" si="16"/>
        <v>44.961530195572735</v>
      </c>
      <c r="AC330" s="689">
        <f t="shared" si="16"/>
        <v>44.961530195572735</v>
      </c>
      <c r="AD330" s="689">
        <f t="shared" si="16"/>
        <v>44.961530195572735</v>
      </c>
      <c r="AE330" s="689">
        <f t="shared" si="16"/>
        <v>44.961530195572735</v>
      </c>
      <c r="AF330" s="689">
        <f t="shared" si="16"/>
        <v>44.961530195572735</v>
      </c>
      <c r="AG330" s="689">
        <f t="shared" si="16"/>
        <v>44.961530195572735</v>
      </c>
      <c r="AH330" s="689">
        <f t="shared" si="16"/>
        <v>44.961530195572735</v>
      </c>
      <c r="AI330" s="689">
        <f t="shared" si="16"/>
        <v>44.961530195572735</v>
      </c>
      <c r="AJ330" s="689">
        <f t="shared" si="16"/>
        <v>44.961530195572735</v>
      </c>
      <c r="AK330" s="689">
        <f t="shared" si="16"/>
        <v>44.961530195572735</v>
      </c>
      <c r="AL330" s="689">
        <f t="shared" si="16"/>
        <v>44.961530195572735</v>
      </c>
      <c r="AM330" s="689">
        <f t="shared" si="16"/>
        <v>44.961530195572735</v>
      </c>
      <c r="AN330" s="689">
        <f t="shared" si="16"/>
        <v>44.961530195572735</v>
      </c>
      <c r="AO330" s="689">
        <f t="shared" si="16"/>
        <v>44.961530195572735</v>
      </c>
      <c r="AP330" s="689">
        <f t="shared" si="16"/>
        <v>44.961530195572735</v>
      </c>
      <c r="AQ330" s="689">
        <f t="shared" si="16"/>
        <v>44.961530195572735</v>
      </c>
      <c r="AR330" s="689">
        <f t="shared" si="16"/>
        <v>44.961530195572735</v>
      </c>
      <c r="AS330" s="689">
        <f t="shared" si="16"/>
        <v>44.961530195572735</v>
      </c>
      <c r="AT330" s="689">
        <f t="shared" si="16"/>
        <v>44.961530195572735</v>
      </c>
      <c r="AU330" s="689">
        <f t="shared" si="16"/>
        <v>44.961530195572735</v>
      </c>
      <c r="AV330" s="689">
        <f t="shared" si="16"/>
        <v>44.961530195572735</v>
      </c>
      <c r="AW330" s="689">
        <f t="shared" si="16"/>
        <v>44.961530195572735</v>
      </c>
    </row>
    <row r="331" spans="1:49" s="683" customFormat="1" ht="38.25" x14ac:dyDescent="0.2">
      <c r="A331" s="702" t="s">
        <v>504</v>
      </c>
      <c r="B331" s="728">
        <f t="shared" ref="B331:AB331" si="17">B18</f>
        <v>0.74698795180722888</v>
      </c>
      <c r="C331" s="728">
        <f t="shared" si="17"/>
        <v>0.66346153846153844</v>
      </c>
      <c r="D331" s="728">
        <f t="shared" si="17"/>
        <v>0.66249999999999998</v>
      </c>
      <c r="E331" s="728">
        <f t="shared" si="17"/>
        <v>0.48484848484848486</v>
      </c>
      <c r="F331" s="728">
        <f t="shared" si="17"/>
        <v>0.6875</v>
      </c>
      <c r="G331" s="728">
        <f t="shared" si="17"/>
        <v>0.71052631578947367</v>
      </c>
      <c r="H331" s="728">
        <f t="shared" si="17"/>
        <v>0.82954545454545459</v>
      </c>
      <c r="I331" s="728">
        <f t="shared" si="17"/>
        <v>0.7578947368421054</v>
      </c>
      <c r="J331" s="728">
        <f t="shared" si="17"/>
        <v>0.67100000000000004</v>
      </c>
      <c r="K331" s="728">
        <f t="shared" si="17"/>
        <v>0.77272727272727271</v>
      </c>
      <c r="L331" s="728">
        <f t="shared" si="17"/>
        <v>0.65</v>
      </c>
      <c r="M331" s="728">
        <f t="shared" si="17"/>
        <v>0.71250000000000002</v>
      </c>
      <c r="N331" s="728">
        <f t="shared" si="17"/>
        <v>0.72289156626506024</v>
      </c>
      <c r="O331" s="728">
        <f t="shared" si="17"/>
        <v>0.64130434782608692</v>
      </c>
      <c r="P331" s="728">
        <f t="shared" si="17"/>
        <v>0.83333333333333348</v>
      </c>
      <c r="Q331" s="728">
        <f t="shared" si="17"/>
        <v>0.7857142857142857</v>
      </c>
      <c r="R331" s="728">
        <f t="shared" si="17"/>
        <v>0.83561643835616439</v>
      </c>
      <c r="S331" s="728">
        <f t="shared" si="17"/>
        <v>0.82417582417582413</v>
      </c>
      <c r="T331" s="728">
        <f t="shared" si="17"/>
        <v>0.68831168831168843</v>
      </c>
      <c r="U331" s="728">
        <f t="shared" si="17"/>
        <v>0.85526315789473684</v>
      </c>
      <c r="V331" s="728">
        <f t="shared" si="17"/>
        <v>0.68932038834951459</v>
      </c>
      <c r="W331" s="728">
        <f t="shared" si="17"/>
        <v>0.77215189873417733</v>
      </c>
      <c r="X331" s="728">
        <f t="shared" si="17"/>
        <v>0.80597014925373134</v>
      </c>
      <c r="Y331" s="728">
        <f t="shared" si="17"/>
        <v>0.85869565217391308</v>
      </c>
      <c r="Z331" s="728">
        <f t="shared" si="17"/>
        <v>0.67816091954022983</v>
      </c>
      <c r="AA331" s="728">
        <f t="shared" si="17"/>
        <v>0.8</v>
      </c>
      <c r="AB331" s="728">
        <f t="shared" si="17"/>
        <v>0.80645161290322576</v>
      </c>
      <c r="AC331" s="728"/>
      <c r="AD331" s="728"/>
      <c r="AE331" s="728"/>
      <c r="AF331" s="728"/>
      <c r="AG331" s="728"/>
      <c r="AH331" s="728"/>
      <c r="AI331" s="728"/>
      <c r="AJ331" s="728"/>
      <c r="AK331" s="728"/>
      <c r="AL331" s="728"/>
      <c r="AM331" s="728"/>
      <c r="AN331" s="728"/>
      <c r="AO331" s="728"/>
      <c r="AP331" s="728"/>
      <c r="AQ331" s="728"/>
      <c r="AR331" s="728"/>
      <c r="AS331" s="728"/>
      <c r="AT331" s="728"/>
      <c r="AU331" s="728"/>
      <c r="AV331" s="728"/>
      <c r="AW331" s="728"/>
    </row>
    <row r="332" spans="1:49" s="683" customFormat="1" x14ac:dyDescent="0.2">
      <c r="A332" s="702" t="s">
        <v>488</v>
      </c>
      <c r="B332" s="729">
        <v>0.9</v>
      </c>
      <c r="C332" s="729">
        <v>0.9</v>
      </c>
      <c r="D332" s="729">
        <v>0.9</v>
      </c>
      <c r="E332" s="729">
        <v>0.9</v>
      </c>
      <c r="F332" s="729">
        <v>0.9</v>
      </c>
      <c r="G332" s="729">
        <v>0.9</v>
      </c>
      <c r="H332" s="729">
        <v>0.9</v>
      </c>
      <c r="I332" s="729">
        <v>0.9</v>
      </c>
      <c r="J332" s="729">
        <v>0.9</v>
      </c>
      <c r="K332" s="729">
        <v>0.9</v>
      </c>
      <c r="L332" s="729">
        <v>0.9</v>
      </c>
      <c r="M332" s="729">
        <v>0.9</v>
      </c>
      <c r="N332" s="729">
        <v>0.9</v>
      </c>
      <c r="O332" s="729">
        <v>0.9</v>
      </c>
      <c r="P332" s="729">
        <v>0.9</v>
      </c>
      <c r="Q332" s="729">
        <v>0.9</v>
      </c>
      <c r="R332" s="729">
        <v>0.9</v>
      </c>
      <c r="S332" s="729">
        <v>0.9</v>
      </c>
      <c r="T332" s="729">
        <v>0.9</v>
      </c>
      <c r="U332" s="729">
        <v>0.9</v>
      </c>
      <c r="V332" s="729">
        <v>0.9</v>
      </c>
      <c r="W332" s="729">
        <v>0.9</v>
      </c>
      <c r="X332" s="729">
        <v>0.9</v>
      </c>
      <c r="Y332" s="729">
        <v>0.9</v>
      </c>
      <c r="Z332" s="729">
        <v>0.9</v>
      </c>
      <c r="AA332" s="729">
        <v>0.9</v>
      </c>
      <c r="AB332" s="729">
        <v>0.9</v>
      </c>
      <c r="AC332" s="729">
        <v>0.9</v>
      </c>
      <c r="AD332" s="729">
        <v>0.9</v>
      </c>
      <c r="AE332" s="729">
        <v>0.9</v>
      </c>
      <c r="AF332" s="729">
        <v>0.9</v>
      </c>
      <c r="AG332" s="729">
        <v>0.9</v>
      </c>
      <c r="AH332" s="729">
        <v>0.9</v>
      </c>
      <c r="AI332" s="729">
        <v>0.9</v>
      </c>
      <c r="AJ332" s="729">
        <v>0.9</v>
      </c>
      <c r="AK332" s="729">
        <v>0.9</v>
      </c>
      <c r="AL332" s="729">
        <v>0.9</v>
      </c>
      <c r="AM332" s="729">
        <v>0.9</v>
      </c>
      <c r="AN332" s="729">
        <v>0.9</v>
      </c>
      <c r="AO332" s="729">
        <v>0.9</v>
      </c>
      <c r="AP332" s="729">
        <v>0.9</v>
      </c>
      <c r="AQ332" s="729">
        <v>0.9</v>
      </c>
      <c r="AR332" s="729">
        <v>0.9</v>
      </c>
      <c r="AS332" s="729">
        <v>0.9</v>
      </c>
      <c r="AT332" s="729">
        <v>0.9</v>
      </c>
      <c r="AU332" s="729">
        <v>0.9</v>
      </c>
      <c r="AV332" s="729">
        <v>0.9</v>
      </c>
      <c r="AW332" s="729">
        <v>0.9</v>
      </c>
    </row>
    <row r="333" spans="1:49" s="683" customFormat="1" x14ac:dyDescent="0.2">
      <c r="A333" s="702" t="s">
        <v>131</v>
      </c>
      <c r="B333" s="729">
        <f t="shared" ref="B333:M333" si="18">MEDIAN($B$331:$M$331)</f>
        <v>0.69901315789473684</v>
      </c>
      <c r="C333" s="729">
        <f t="shared" si="18"/>
        <v>0.69901315789473684</v>
      </c>
      <c r="D333" s="729">
        <f t="shared" si="18"/>
        <v>0.69901315789473684</v>
      </c>
      <c r="E333" s="729">
        <f t="shared" si="18"/>
        <v>0.69901315789473684</v>
      </c>
      <c r="F333" s="729">
        <f t="shared" si="18"/>
        <v>0.69901315789473684</v>
      </c>
      <c r="G333" s="729">
        <f t="shared" si="18"/>
        <v>0.69901315789473684</v>
      </c>
      <c r="H333" s="729">
        <f t="shared" si="18"/>
        <v>0.69901315789473684</v>
      </c>
      <c r="I333" s="729">
        <f t="shared" si="18"/>
        <v>0.69901315789473684</v>
      </c>
      <c r="J333" s="729">
        <f t="shared" si="18"/>
        <v>0.69901315789473684</v>
      </c>
      <c r="K333" s="729">
        <f t="shared" si="18"/>
        <v>0.69901315789473684</v>
      </c>
      <c r="L333" s="729">
        <f t="shared" si="18"/>
        <v>0.69901315789473684</v>
      </c>
      <c r="M333" s="729">
        <f t="shared" si="18"/>
        <v>0.69901315789473684</v>
      </c>
      <c r="N333" s="729" t="s">
        <v>385</v>
      </c>
      <c r="O333" s="729" t="s">
        <v>385</v>
      </c>
      <c r="P333" s="729" t="s">
        <v>385</v>
      </c>
      <c r="Q333" s="729" t="s">
        <v>385</v>
      </c>
      <c r="R333" s="729" t="s">
        <v>385</v>
      </c>
      <c r="S333" s="729" t="s">
        <v>385</v>
      </c>
      <c r="T333" s="729" t="s">
        <v>385</v>
      </c>
      <c r="U333" s="729" t="s">
        <v>385</v>
      </c>
      <c r="V333" s="729" t="s">
        <v>385</v>
      </c>
      <c r="W333" s="729" t="s">
        <v>385</v>
      </c>
      <c r="X333" s="729" t="s">
        <v>385</v>
      </c>
      <c r="Y333" s="729"/>
      <c r="Z333" s="729" t="s">
        <v>385</v>
      </c>
      <c r="AA333" s="729"/>
      <c r="AB333" s="729" t="s">
        <v>385</v>
      </c>
      <c r="AC333" s="729"/>
      <c r="AD333" s="729" t="s">
        <v>385</v>
      </c>
      <c r="AE333" s="729"/>
      <c r="AF333" s="729" t="s">
        <v>385</v>
      </c>
      <c r="AG333" s="729"/>
      <c r="AH333" s="729" t="s">
        <v>385</v>
      </c>
      <c r="AI333" s="729"/>
      <c r="AJ333" s="729" t="s">
        <v>385</v>
      </c>
      <c r="AK333" s="729"/>
      <c r="AL333" s="729" t="s">
        <v>385</v>
      </c>
      <c r="AM333" s="729"/>
      <c r="AN333" s="729" t="s">
        <v>385</v>
      </c>
      <c r="AO333" s="729"/>
      <c r="AP333" s="729" t="s">
        <v>385</v>
      </c>
      <c r="AQ333" s="729"/>
      <c r="AR333" s="729" t="s">
        <v>385</v>
      </c>
      <c r="AS333" s="729"/>
      <c r="AT333" s="729" t="s">
        <v>385</v>
      </c>
      <c r="AU333" s="729"/>
      <c r="AV333" s="729" t="s">
        <v>385</v>
      </c>
      <c r="AW333" s="729"/>
    </row>
    <row r="334" spans="1:49" s="683" customFormat="1" x14ac:dyDescent="0.2">
      <c r="A334" s="702" t="s">
        <v>184</v>
      </c>
      <c r="B334" s="729"/>
      <c r="C334" s="729" t="s">
        <v>385</v>
      </c>
      <c r="D334" s="729"/>
      <c r="E334" s="729"/>
      <c r="F334" s="729"/>
      <c r="G334" s="729"/>
      <c r="H334" s="729"/>
      <c r="I334" s="729"/>
      <c r="J334" s="729"/>
      <c r="K334" s="729"/>
      <c r="L334" s="729"/>
      <c r="M334" s="729">
        <f t="shared" ref="M334:AW334" si="19">MEDIAN($B$331:$M$331)</f>
        <v>0.69901315789473684</v>
      </c>
      <c r="N334" s="729">
        <f t="shared" si="19"/>
        <v>0.69901315789473684</v>
      </c>
      <c r="O334" s="729">
        <f t="shared" si="19"/>
        <v>0.69901315789473684</v>
      </c>
      <c r="P334" s="729">
        <f t="shared" si="19"/>
        <v>0.69901315789473684</v>
      </c>
      <c r="Q334" s="729">
        <f t="shared" si="19"/>
        <v>0.69901315789473684</v>
      </c>
      <c r="R334" s="729">
        <f t="shared" si="19"/>
        <v>0.69901315789473684</v>
      </c>
      <c r="S334" s="729">
        <f t="shared" si="19"/>
        <v>0.69901315789473684</v>
      </c>
      <c r="T334" s="729">
        <f t="shared" si="19"/>
        <v>0.69901315789473684</v>
      </c>
      <c r="U334" s="729">
        <f t="shared" si="19"/>
        <v>0.69901315789473684</v>
      </c>
      <c r="V334" s="729">
        <f t="shared" si="19"/>
        <v>0.69901315789473684</v>
      </c>
      <c r="W334" s="729">
        <f t="shared" si="19"/>
        <v>0.69901315789473684</v>
      </c>
      <c r="X334" s="729">
        <f t="shared" si="19"/>
        <v>0.69901315789473684</v>
      </c>
      <c r="Y334" s="729">
        <f t="shared" si="19"/>
        <v>0.69901315789473684</v>
      </c>
      <c r="Z334" s="729">
        <f t="shared" si="19"/>
        <v>0.69901315789473684</v>
      </c>
      <c r="AA334" s="729">
        <f t="shared" si="19"/>
        <v>0.69901315789473684</v>
      </c>
      <c r="AB334" s="729">
        <f t="shared" si="19"/>
        <v>0.69901315789473684</v>
      </c>
      <c r="AC334" s="729">
        <f t="shared" si="19"/>
        <v>0.69901315789473684</v>
      </c>
      <c r="AD334" s="729">
        <f t="shared" si="19"/>
        <v>0.69901315789473684</v>
      </c>
      <c r="AE334" s="729">
        <f t="shared" si="19"/>
        <v>0.69901315789473684</v>
      </c>
      <c r="AF334" s="729">
        <f t="shared" si="19"/>
        <v>0.69901315789473684</v>
      </c>
      <c r="AG334" s="729">
        <f t="shared" si="19"/>
        <v>0.69901315789473684</v>
      </c>
      <c r="AH334" s="729">
        <f t="shared" si="19"/>
        <v>0.69901315789473684</v>
      </c>
      <c r="AI334" s="729">
        <f t="shared" si="19"/>
        <v>0.69901315789473684</v>
      </c>
      <c r="AJ334" s="729">
        <f t="shared" si="19"/>
        <v>0.69901315789473684</v>
      </c>
      <c r="AK334" s="729">
        <f t="shared" si="19"/>
        <v>0.69901315789473684</v>
      </c>
      <c r="AL334" s="729">
        <f t="shared" si="19"/>
        <v>0.69901315789473684</v>
      </c>
      <c r="AM334" s="729">
        <f t="shared" si="19"/>
        <v>0.69901315789473684</v>
      </c>
      <c r="AN334" s="729">
        <f t="shared" si="19"/>
        <v>0.69901315789473684</v>
      </c>
      <c r="AO334" s="729">
        <f t="shared" si="19"/>
        <v>0.69901315789473684</v>
      </c>
      <c r="AP334" s="729">
        <f t="shared" si="19"/>
        <v>0.69901315789473684</v>
      </c>
      <c r="AQ334" s="729">
        <f t="shared" si="19"/>
        <v>0.69901315789473684</v>
      </c>
      <c r="AR334" s="729">
        <f t="shared" si="19"/>
        <v>0.69901315789473684</v>
      </c>
      <c r="AS334" s="729">
        <f t="shared" si="19"/>
        <v>0.69901315789473684</v>
      </c>
      <c r="AT334" s="729">
        <f t="shared" si="19"/>
        <v>0.69901315789473684</v>
      </c>
      <c r="AU334" s="729">
        <f t="shared" si="19"/>
        <v>0.69901315789473684</v>
      </c>
      <c r="AV334" s="729">
        <f t="shared" si="19"/>
        <v>0.69901315789473684</v>
      </c>
      <c r="AW334" s="729">
        <f t="shared" si="19"/>
        <v>0.69901315789473684</v>
      </c>
    </row>
    <row r="335" spans="1:49" s="683" customFormat="1" x14ac:dyDescent="0.2">
      <c r="A335" s="702"/>
      <c r="B335" s="729"/>
      <c r="C335" s="729"/>
      <c r="D335" s="729"/>
      <c r="E335" s="729"/>
      <c r="F335" s="729"/>
      <c r="G335" s="729"/>
      <c r="H335" s="729"/>
      <c r="I335" s="729"/>
      <c r="J335" s="729"/>
      <c r="K335" s="729"/>
      <c r="L335" s="729"/>
      <c r="M335" s="729"/>
      <c r="N335" s="729"/>
      <c r="O335" s="729"/>
      <c r="P335" s="729"/>
      <c r="Q335" s="729"/>
      <c r="R335" s="729"/>
      <c r="S335" s="729"/>
      <c r="T335" s="729"/>
      <c r="U335" s="729"/>
      <c r="V335" s="729"/>
      <c r="W335" s="729"/>
      <c r="X335" s="729"/>
      <c r="Y335" s="729"/>
      <c r="Z335" s="729"/>
      <c r="AA335" s="729"/>
      <c r="AB335" s="729"/>
      <c r="AC335" s="729"/>
      <c r="AD335" s="729"/>
      <c r="AE335" s="729"/>
      <c r="AF335" s="729"/>
      <c r="AG335" s="729"/>
      <c r="AH335" s="729"/>
      <c r="AI335" s="729"/>
      <c r="AJ335" s="729"/>
      <c r="AK335" s="729"/>
      <c r="AL335" s="729"/>
      <c r="AM335" s="729"/>
      <c r="AN335" s="729"/>
      <c r="AO335" s="729"/>
      <c r="AP335" s="729"/>
      <c r="AQ335" s="729"/>
      <c r="AR335" s="729"/>
      <c r="AS335" s="729"/>
      <c r="AT335" s="729"/>
      <c r="AU335" s="729"/>
      <c r="AV335" s="729"/>
      <c r="AW335" s="729"/>
    </row>
    <row r="336" spans="1:49" s="683" customFormat="1" x14ac:dyDescent="0.2">
      <c r="A336" s="702" t="s">
        <v>490</v>
      </c>
      <c r="B336" s="729"/>
      <c r="C336" s="729">
        <f>SUM(C331-B331)*-1</f>
        <v>8.3526413345690442E-2</v>
      </c>
      <c r="D336" s="729">
        <f>SUM(D331-C331)*-1</f>
        <v>9.6153846153845812E-4</v>
      </c>
      <c r="E336" s="729">
        <f>SUM(E331-D331)*-1</f>
        <v>0.17765151515151512</v>
      </c>
      <c r="F336" s="729">
        <f t="shared" ref="F336:W336" si="20">SUM(F331-E331)</f>
        <v>0.20265151515151514</v>
      </c>
      <c r="G336" s="729">
        <f t="shared" si="20"/>
        <v>2.3026315789473673E-2</v>
      </c>
      <c r="H336" s="729">
        <f t="shared" si="20"/>
        <v>0.11901913875598091</v>
      </c>
      <c r="I336" s="729">
        <f>SUM(I331-H331)*-1</f>
        <v>7.1650717703349187E-2</v>
      </c>
      <c r="J336" s="729">
        <f>SUM(J331-I331)*-1</f>
        <v>8.6894736842105358E-2</v>
      </c>
      <c r="K336" s="729">
        <f t="shared" si="20"/>
        <v>0.10172727272727267</v>
      </c>
      <c r="L336" s="729">
        <f>SUM(L331-K331)*-1</f>
        <v>0.12272727272727268</v>
      </c>
      <c r="M336" s="729">
        <f t="shared" si="20"/>
        <v>6.25E-2</v>
      </c>
      <c r="N336" s="729">
        <f t="shared" si="20"/>
        <v>1.0391566265060215E-2</v>
      </c>
      <c r="O336" s="729">
        <f>SUM(O331-N331)*-1</f>
        <v>8.1587218438973319E-2</v>
      </c>
      <c r="P336" s="729">
        <f t="shared" si="20"/>
        <v>0.19202898550724656</v>
      </c>
      <c r="Q336" s="729">
        <f>SUM(Q331-P331)*-1</f>
        <v>4.7619047619047783E-2</v>
      </c>
      <c r="R336" s="729">
        <f t="shared" si="20"/>
        <v>4.9902152641878694E-2</v>
      </c>
      <c r="S336" s="729">
        <f>SUM(S331-R331)*-1</f>
        <v>1.1440614180340258E-2</v>
      </c>
      <c r="T336" s="729">
        <f>SUM(T331-S331)*-1</f>
        <v>0.1358641358641357</v>
      </c>
      <c r="U336" s="729">
        <f t="shared" si="20"/>
        <v>0.16695146958304841</v>
      </c>
      <c r="V336" s="729">
        <f>SUM(V331-U331)*-1</f>
        <v>0.16594276954522225</v>
      </c>
      <c r="W336" s="729">
        <f t="shared" si="20"/>
        <v>8.2831510384662743E-2</v>
      </c>
      <c r="X336" s="729">
        <f>SUM(X331-W331)</f>
        <v>3.3818250519554005E-2</v>
      </c>
      <c r="Y336" s="729">
        <f>SUM(Y331-X331)</f>
        <v>5.2725502920181744E-2</v>
      </c>
      <c r="Z336" s="729">
        <f>SUM(Z331-Y331)*-1</f>
        <v>0.18053473263368325</v>
      </c>
      <c r="AA336" s="729">
        <f>SUM(AA331-Z331)</f>
        <v>0.12183908045977021</v>
      </c>
      <c r="AB336" s="729">
        <f>SUM(AB331-AA331)</f>
        <v>6.4516129032257119E-3</v>
      </c>
      <c r="AC336" s="729"/>
      <c r="AD336" s="729"/>
      <c r="AE336" s="729"/>
      <c r="AF336" s="729"/>
      <c r="AG336" s="729"/>
      <c r="AH336" s="729"/>
      <c r="AI336" s="729"/>
      <c r="AJ336" s="729"/>
      <c r="AK336" s="729"/>
      <c r="AL336" s="729"/>
      <c r="AM336" s="729"/>
      <c r="AN336" s="729"/>
      <c r="AO336" s="729"/>
      <c r="AP336" s="729"/>
      <c r="AQ336" s="729"/>
      <c r="AR336" s="729"/>
      <c r="AS336" s="729"/>
      <c r="AT336" s="729"/>
      <c r="AU336" s="729"/>
      <c r="AV336" s="729"/>
      <c r="AW336" s="729"/>
    </row>
    <row r="337" spans="1:49" s="683" customFormat="1" ht="21.75" x14ac:dyDescent="0.2">
      <c r="A337" s="703" t="s">
        <v>493</v>
      </c>
      <c r="B337" s="729"/>
      <c r="C337" s="729"/>
      <c r="D337" s="729"/>
      <c r="E337" s="729"/>
      <c r="F337" s="729"/>
      <c r="G337" s="729"/>
      <c r="H337" s="729"/>
      <c r="I337" s="729"/>
      <c r="J337" s="729"/>
      <c r="K337" s="729"/>
      <c r="L337" s="729"/>
      <c r="M337" s="729"/>
      <c r="N337" s="729"/>
      <c r="O337" s="729"/>
      <c r="P337" s="729"/>
      <c r="Q337" s="729"/>
      <c r="R337" s="729"/>
      <c r="S337" s="729"/>
      <c r="T337" s="729"/>
      <c r="U337" s="729"/>
      <c r="V337" s="729"/>
      <c r="W337" s="729"/>
      <c r="X337" s="729"/>
      <c r="Y337" s="729"/>
      <c r="Z337" s="729"/>
      <c r="AA337" s="729"/>
      <c r="AB337" s="729"/>
      <c r="AC337" s="729"/>
      <c r="AD337" s="729"/>
      <c r="AE337" s="729"/>
      <c r="AF337" s="729"/>
      <c r="AG337" s="729"/>
      <c r="AH337" s="729"/>
      <c r="AI337" s="729"/>
      <c r="AJ337" s="729"/>
      <c r="AK337" s="729"/>
      <c r="AL337" s="729"/>
      <c r="AM337" s="729"/>
      <c r="AN337" s="729"/>
      <c r="AO337" s="729"/>
      <c r="AP337" s="729"/>
      <c r="AQ337" s="729"/>
      <c r="AR337" s="729"/>
      <c r="AS337" s="729"/>
      <c r="AT337" s="729"/>
      <c r="AU337" s="729"/>
      <c r="AV337" s="729"/>
      <c r="AW337" s="729"/>
    </row>
    <row r="338" spans="1:49" s="683" customFormat="1" x14ac:dyDescent="0.2">
      <c r="A338" s="683" t="s">
        <v>492</v>
      </c>
      <c r="B338" s="729">
        <f t="shared" ref="B338:AW338" si="21">AVERAGE($B$331:$AW$331)</f>
        <v>0.73877233399457531</v>
      </c>
      <c r="C338" s="729">
        <f t="shared" si="21"/>
        <v>0.73877233399457531</v>
      </c>
      <c r="D338" s="729">
        <f t="shared" si="21"/>
        <v>0.73877233399457531</v>
      </c>
      <c r="E338" s="729">
        <f t="shared" si="21"/>
        <v>0.73877233399457531</v>
      </c>
      <c r="F338" s="729">
        <f t="shared" si="21"/>
        <v>0.73877233399457531</v>
      </c>
      <c r="G338" s="729">
        <f t="shared" si="21"/>
        <v>0.73877233399457531</v>
      </c>
      <c r="H338" s="729">
        <f t="shared" si="21"/>
        <v>0.73877233399457531</v>
      </c>
      <c r="I338" s="729">
        <f t="shared" si="21"/>
        <v>0.73877233399457531</v>
      </c>
      <c r="J338" s="729">
        <f t="shared" si="21"/>
        <v>0.73877233399457531</v>
      </c>
      <c r="K338" s="729">
        <f t="shared" si="21"/>
        <v>0.73877233399457531</v>
      </c>
      <c r="L338" s="729">
        <f t="shared" si="21"/>
        <v>0.73877233399457531</v>
      </c>
      <c r="M338" s="729">
        <f t="shared" si="21"/>
        <v>0.73877233399457531</v>
      </c>
      <c r="N338" s="729">
        <f t="shared" si="21"/>
        <v>0.73877233399457531</v>
      </c>
      <c r="O338" s="729">
        <f t="shared" si="21"/>
        <v>0.73877233399457531</v>
      </c>
      <c r="P338" s="729">
        <f t="shared" si="21"/>
        <v>0.73877233399457531</v>
      </c>
      <c r="Q338" s="729">
        <f t="shared" si="21"/>
        <v>0.73877233399457531</v>
      </c>
      <c r="R338" s="729">
        <f t="shared" si="21"/>
        <v>0.73877233399457531</v>
      </c>
      <c r="S338" s="729">
        <f t="shared" si="21"/>
        <v>0.73877233399457531</v>
      </c>
      <c r="T338" s="729">
        <f t="shared" si="21"/>
        <v>0.73877233399457531</v>
      </c>
      <c r="U338" s="729">
        <f t="shared" si="21"/>
        <v>0.73877233399457531</v>
      </c>
      <c r="V338" s="729">
        <f t="shared" si="21"/>
        <v>0.73877233399457531</v>
      </c>
      <c r="W338" s="729">
        <f t="shared" si="21"/>
        <v>0.73877233399457531</v>
      </c>
      <c r="X338" s="729">
        <f t="shared" si="21"/>
        <v>0.73877233399457531</v>
      </c>
      <c r="Y338" s="729">
        <f t="shared" si="21"/>
        <v>0.73877233399457531</v>
      </c>
      <c r="Z338" s="729">
        <f t="shared" si="21"/>
        <v>0.73877233399457531</v>
      </c>
      <c r="AA338" s="729">
        <f t="shared" si="21"/>
        <v>0.73877233399457531</v>
      </c>
      <c r="AB338" s="729">
        <f t="shared" si="21"/>
        <v>0.73877233399457531</v>
      </c>
      <c r="AC338" s="729">
        <f t="shared" si="21"/>
        <v>0.73877233399457531</v>
      </c>
      <c r="AD338" s="729">
        <f t="shared" si="21"/>
        <v>0.73877233399457531</v>
      </c>
      <c r="AE338" s="729">
        <f t="shared" si="21"/>
        <v>0.73877233399457531</v>
      </c>
      <c r="AF338" s="729">
        <f t="shared" si="21"/>
        <v>0.73877233399457531</v>
      </c>
      <c r="AG338" s="729">
        <f t="shared" si="21"/>
        <v>0.73877233399457531</v>
      </c>
      <c r="AH338" s="729">
        <f t="shared" si="21"/>
        <v>0.73877233399457531</v>
      </c>
      <c r="AI338" s="729">
        <f t="shared" si="21"/>
        <v>0.73877233399457531</v>
      </c>
      <c r="AJ338" s="729">
        <f t="shared" si="21"/>
        <v>0.73877233399457531</v>
      </c>
      <c r="AK338" s="729">
        <f t="shared" si="21"/>
        <v>0.73877233399457531</v>
      </c>
      <c r="AL338" s="729">
        <f t="shared" si="21"/>
        <v>0.73877233399457531</v>
      </c>
      <c r="AM338" s="729">
        <f t="shared" si="21"/>
        <v>0.73877233399457531</v>
      </c>
      <c r="AN338" s="729">
        <f t="shared" si="21"/>
        <v>0.73877233399457531</v>
      </c>
      <c r="AO338" s="729">
        <f t="shared" si="21"/>
        <v>0.73877233399457531</v>
      </c>
      <c r="AP338" s="729">
        <f t="shared" si="21"/>
        <v>0.73877233399457531</v>
      </c>
      <c r="AQ338" s="729">
        <f t="shared" si="21"/>
        <v>0.73877233399457531</v>
      </c>
      <c r="AR338" s="729">
        <f t="shared" si="21"/>
        <v>0.73877233399457531</v>
      </c>
      <c r="AS338" s="729">
        <f t="shared" si="21"/>
        <v>0.73877233399457531</v>
      </c>
      <c r="AT338" s="729">
        <f t="shared" si="21"/>
        <v>0.73877233399457531</v>
      </c>
      <c r="AU338" s="729">
        <f t="shared" si="21"/>
        <v>0.73877233399457531</v>
      </c>
      <c r="AV338" s="729">
        <f t="shared" si="21"/>
        <v>0.73877233399457531</v>
      </c>
      <c r="AW338" s="729">
        <f t="shared" si="21"/>
        <v>0.73877233399457531</v>
      </c>
    </row>
    <row r="339" spans="1:49" s="683" customFormat="1" x14ac:dyDescent="0.2">
      <c r="A339" s="702" t="s">
        <v>491</v>
      </c>
      <c r="B339" s="729">
        <f t="shared" ref="B339:AW339" si="22">SUM($C$336:$AW$336)/22</f>
        <v>0.10873932209644295</v>
      </c>
      <c r="C339" s="729">
        <f t="shared" si="22"/>
        <v>0.10873932209644295</v>
      </c>
      <c r="D339" s="729">
        <f t="shared" si="22"/>
        <v>0.10873932209644295</v>
      </c>
      <c r="E339" s="729">
        <f t="shared" si="22"/>
        <v>0.10873932209644295</v>
      </c>
      <c r="F339" s="729">
        <f t="shared" si="22"/>
        <v>0.10873932209644295</v>
      </c>
      <c r="G339" s="729">
        <f t="shared" si="22"/>
        <v>0.10873932209644295</v>
      </c>
      <c r="H339" s="729">
        <f t="shared" si="22"/>
        <v>0.10873932209644295</v>
      </c>
      <c r="I339" s="729">
        <f t="shared" si="22"/>
        <v>0.10873932209644295</v>
      </c>
      <c r="J339" s="729">
        <f t="shared" si="22"/>
        <v>0.10873932209644295</v>
      </c>
      <c r="K339" s="729">
        <f t="shared" si="22"/>
        <v>0.10873932209644295</v>
      </c>
      <c r="L339" s="729">
        <f t="shared" si="22"/>
        <v>0.10873932209644295</v>
      </c>
      <c r="M339" s="729">
        <f t="shared" si="22"/>
        <v>0.10873932209644295</v>
      </c>
      <c r="N339" s="729">
        <f t="shared" si="22"/>
        <v>0.10873932209644295</v>
      </c>
      <c r="O339" s="729">
        <f t="shared" si="22"/>
        <v>0.10873932209644295</v>
      </c>
      <c r="P339" s="729">
        <f t="shared" si="22"/>
        <v>0.10873932209644295</v>
      </c>
      <c r="Q339" s="729">
        <f t="shared" si="22"/>
        <v>0.10873932209644295</v>
      </c>
      <c r="R339" s="729">
        <f t="shared" si="22"/>
        <v>0.10873932209644295</v>
      </c>
      <c r="S339" s="729">
        <f t="shared" si="22"/>
        <v>0.10873932209644295</v>
      </c>
      <c r="T339" s="729">
        <f t="shared" si="22"/>
        <v>0.10873932209644295</v>
      </c>
      <c r="U339" s="729">
        <f t="shared" si="22"/>
        <v>0.10873932209644295</v>
      </c>
      <c r="V339" s="729">
        <f t="shared" si="22"/>
        <v>0.10873932209644295</v>
      </c>
      <c r="W339" s="729">
        <f t="shared" si="22"/>
        <v>0.10873932209644295</v>
      </c>
      <c r="X339" s="729">
        <f t="shared" si="22"/>
        <v>0.10873932209644295</v>
      </c>
      <c r="Y339" s="729">
        <f t="shared" si="22"/>
        <v>0.10873932209644295</v>
      </c>
      <c r="Z339" s="729">
        <f t="shared" si="22"/>
        <v>0.10873932209644295</v>
      </c>
      <c r="AA339" s="729">
        <f t="shared" si="22"/>
        <v>0.10873932209644295</v>
      </c>
      <c r="AB339" s="729">
        <f t="shared" si="22"/>
        <v>0.10873932209644295</v>
      </c>
      <c r="AC339" s="729">
        <f t="shared" si="22"/>
        <v>0.10873932209644295</v>
      </c>
      <c r="AD339" s="729">
        <f t="shared" si="22"/>
        <v>0.10873932209644295</v>
      </c>
      <c r="AE339" s="729">
        <f t="shared" si="22"/>
        <v>0.10873932209644295</v>
      </c>
      <c r="AF339" s="729">
        <f t="shared" si="22"/>
        <v>0.10873932209644295</v>
      </c>
      <c r="AG339" s="729">
        <f t="shared" si="22"/>
        <v>0.10873932209644295</v>
      </c>
      <c r="AH339" s="729">
        <f t="shared" si="22"/>
        <v>0.10873932209644295</v>
      </c>
      <c r="AI339" s="729">
        <f t="shared" si="22"/>
        <v>0.10873932209644295</v>
      </c>
      <c r="AJ339" s="729">
        <f t="shared" si="22"/>
        <v>0.10873932209644295</v>
      </c>
      <c r="AK339" s="729">
        <f t="shared" si="22"/>
        <v>0.10873932209644295</v>
      </c>
      <c r="AL339" s="729">
        <f t="shared" si="22"/>
        <v>0.10873932209644295</v>
      </c>
      <c r="AM339" s="729">
        <f t="shared" si="22"/>
        <v>0.10873932209644295</v>
      </c>
      <c r="AN339" s="729">
        <f t="shared" si="22"/>
        <v>0.10873932209644295</v>
      </c>
      <c r="AO339" s="729">
        <f t="shared" si="22"/>
        <v>0.10873932209644295</v>
      </c>
      <c r="AP339" s="729">
        <f t="shared" si="22"/>
        <v>0.10873932209644295</v>
      </c>
      <c r="AQ339" s="729">
        <f t="shared" si="22"/>
        <v>0.10873932209644295</v>
      </c>
      <c r="AR339" s="729">
        <f t="shared" si="22"/>
        <v>0.10873932209644295</v>
      </c>
      <c r="AS339" s="729">
        <f t="shared" si="22"/>
        <v>0.10873932209644295</v>
      </c>
      <c r="AT339" s="729">
        <f t="shared" si="22"/>
        <v>0.10873932209644295</v>
      </c>
      <c r="AU339" s="729">
        <f t="shared" si="22"/>
        <v>0.10873932209644295</v>
      </c>
      <c r="AV339" s="729">
        <f t="shared" si="22"/>
        <v>0.10873932209644295</v>
      </c>
      <c r="AW339" s="729">
        <f t="shared" si="22"/>
        <v>0.10873932209644295</v>
      </c>
    </row>
    <row r="340" spans="1:49" s="683" customFormat="1" ht="25.5" x14ac:dyDescent="0.2">
      <c r="A340" s="702" t="s">
        <v>494</v>
      </c>
      <c r="B340" s="729">
        <f t="shared" ref="B340:AW340" si="23">$B$339/1.128</f>
        <v>9.6400108241527449E-2</v>
      </c>
      <c r="C340" s="729">
        <f t="shared" si="23"/>
        <v>9.6400108241527449E-2</v>
      </c>
      <c r="D340" s="729">
        <f t="shared" si="23"/>
        <v>9.6400108241527449E-2</v>
      </c>
      <c r="E340" s="729">
        <f t="shared" si="23"/>
        <v>9.6400108241527449E-2</v>
      </c>
      <c r="F340" s="729">
        <f t="shared" si="23"/>
        <v>9.6400108241527449E-2</v>
      </c>
      <c r="G340" s="729">
        <f t="shared" si="23"/>
        <v>9.6400108241527449E-2</v>
      </c>
      <c r="H340" s="729">
        <f t="shared" si="23"/>
        <v>9.6400108241527449E-2</v>
      </c>
      <c r="I340" s="729">
        <f t="shared" si="23"/>
        <v>9.6400108241527449E-2</v>
      </c>
      <c r="J340" s="729">
        <f t="shared" si="23"/>
        <v>9.6400108241527449E-2</v>
      </c>
      <c r="K340" s="729">
        <f t="shared" si="23"/>
        <v>9.6400108241527449E-2</v>
      </c>
      <c r="L340" s="729">
        <f t="shared" si="23"/>
        <v>9.6400108241527449E-2</v>
      </c>
      <c r="M340" s="729">
        <f t="shared" si="23"/>
        <v>9.6400108241527449E-2</v>
      </c>
      <c r="N340" s="729">
        <f t="shared" si="23"/>
        <v>9.6400108241527449E-2</v>
      </c>
      <c r="O340" s="729">
        <f t="shared" si="23"/>
        <v>9.6400108241527449E-2</v>
      </c>
      <c r="P340" s="729">
        <f t="shared" si="23"/>
        <v>9.6400108241527449E-2</v>
      </c>
      <c r="Q340" s="729">
        <f t="shared" si="23"/>
        <v>9.6400108241527449E-2</v>
      </c>
      <c r="R340" s="729">
        <f t="shared" si="23"/>
        <v>9.6400108241527449E-2</v>
      </c>
      <c r="S340" s="729">
        <f t="shared" si="23"/>
        <v>9.6400108241527449E-2</v>
      </c>
      <c r="T340" s="729">
        <f t="shared" si="23"/>
        <v>9.6400108241527449E-2</v>
      </c>
      <c r="U340" s="729">
        <f t="shared" si="23"/>
        <v>9.6400108241527449E-2</v>
      </c>
      <c r="V340" s="729">
        <f t="shared" si="23"/>
        <v>9.6400108241527449E-2</v>
      </c>
      <c r="W340" s="729">
        <f t="shared" si="23"/>
        <v>9.6400108241527449E-2</v>
      </c>
      <c r="X340" s="729">
        <f t="shared" si="23"/>
        <v>9.6400108241527449E-2</v>
      </c>
      <c r="Y340" s="729">
        <f t="shared" si="23"/>
        <v>9.6400108241527449E-2</v>
      </c>
      <c r="Z340" s="729">
        <f t="shared" si="23"/>
        <v>9.6400108241527449E-2</v>
      </c>
      <c r="AA340" s="729">
        <f t="shared" si="23"/>
        <v>9.6400108241527449E-2</v>
      </c>
      <c r="AB340" s="729">
        <f t="shared" si="23"/>
        <v>9.6400108241527449E-2</v>
      </c>
      <c r="AC340" s="729">
        <f t="shared" si="23"/>
        <v>9.6400108241527449E-2</v>
      </c>
      <c r="AD340" s="729">
        <f t="shared" si="23"/>
        <v>9.6400108241527449E-2</v>
      </c>
      <c r="AE340" s="729">
        <f t="shared" si="23"/>
        <v>9.6400108241527449E-2</v>
      </c>
      <c r="AF340" s="729">
        <f t="shared" si="23"/>
        <v>9.6400108241527449E-2</v>
      </c>
      <c r="AG340" s="729">
        <f t="shared" si="23"/>
        <v>9.6400108241527449E-2</v>
      </c>
      <c r="AH340" s="729">
        <f t="shared" si="23"/>
        <v>9.6400108241527449E-2</v>
      </c>
      <c r="AI340" s="729">
        <f t="shared" si="23"/>
        <v>9.6400108241527449E-2</v>
      </c>
      <c r="AJ340" s="729">
        <f t="shared" si="23"/>
        <v>9.6400108241527449E-2</v>
      </c>
      <c r="AK340" s="729">
        <f t="shared" si="23"/>
        <v>9.6400108241527449E-2</v>
      </c>
      <c r="AL340" s="729">
        <f t="shared" si="23"/>
        <v>9.6400108241527449E-2</v>
      </c>
      <c r="AM340" s="729">
        <f t="shared" si="23"/>
        <v>9.6400108241527449E-2</v>
      </c>
      <c r="AN340" s="729">
        <f t="shared" si="23"/>
        <v>9.6400108241527449E-2</v>
      </c>
      <c r="AO340" s="729">
        <f t="shared" si="23"/>
        <v>9.6400108241527449E-2</v>
      </c>
      <c r="AP340" s="729">
        <f t="shared" si="23"/>
        <v>9.6400108241527449E-2</v>
      </c>
      <c r="AQ340" s="729">
        <f t="shared" si="23"/>
        <v>9.6400108241527449E-2</v>
      </c>
      <c r="AR340" s="729">
        <f t="shared" si="23"/>
        <v>9.6400108241527449E-2</v>
      </c>
      <c r="AS340" s="729">
        <f t="shared" si="23"/>
        <v>9.6400108241527449E-2</v>
      </c>
      <c r="AT340" s="729">
        <f t="shared" si="23"/>
        <v>9.6400108241527449E-2</v>
      </c>
      <c r="AU340" s="729">
        <f t="shared" si="23"/>
        <v>9.6400108241527449E-2</v>
      </c>
      <c r="AV340" s="729">
        <f t="shared" si="23"/>
        <v>9.6400108241527449E-2</v>
      </c>
      <c r="AW340" s="729">
        <f t="shared" si="23"/>
        <v>9.6400108241527449E-2</v>
      </c>
    </row>
    <row r="341" spans="1:49" s="683" customFormat="1" x14ac:dyDescent="0.2">
      <c r="A341" s="702" t="s">
        <v>497</v>
      </c>
      <c r="B341" s="729">
        <f t="shared" ref="B341:AW341" si="24">$B$338+ (3*$B$340)</f>
        <v>1.0279726587191576</v>
      </c>
      <c r="C341" s="729">
        <f t="shared" si="24"/>
        <v>1.0279726587191576</v>
      </c>
      <c r="D341" s="729">
        <f t="shared" si="24"/>
        <v>1.0279726587191576</v>
      </c>
      <c r="E341" s="729">
        <f t="shared" si="24"/>
        <v>1.0279726587191576</v>
      </c>
      <c r="F341" s="729">
        <f t="shared" si="24"/>
        <v>1.0279726587191576</v>
      </c>
      <c r="G341" s="729">
        <f t="shared" si="24"/>
        <v>1.0279726587191576</v>
      </c>
      <c r="H341" s="729">
        <f t="shared" si="24"/>
        <v>1.0279726587191576</v>
      </c>
      <c r="I341" s="729">
        <f t="shared" si="24"/>
        <v>1.0279726587191576</v>
      </c>
      <c r="J341" s="729">
        <f t="shared" si="24"/>
        <v>1.0279726587191576</v>
      </c>
      <c r="K341" s="729">
        <f t="shared" si="24"/>
        <v>1.0279726587191576</v>
      </c>
      <c r="L341" s="729">
        <f t="shared" si="24"/>
        <v>1.0279726587191576</v>
      </c>
      <c r="M341" s="729">
        <f t="shared" si="24"/>
        <v>1.0279726587191576</v>
      </c>
      <c r="N341" s="729">
        <f t="shared" si="24"/>
        <v>1.0279726587191576</v>
      </c>
      <c r="O341" s="729">
        <f t="shared" si="24"/>
        <v>1.0279726587191576</v>
      </c>
      <c r="P341" s="729">
        <f t="shared" si="24"/>
        <v>1.0279726587191576</v>
      </c>
      <c r="Q341" s="729">
        <f t="shared" si="24"/>
        <v>1.0279726587191576</v>
      </c>
      <c r="R341" s="729">
        <f t="shared" si="24"/>
        <v>1.0279726587191576</v>
      </c>
      <c r="S341" s="729">
        <f t="shared" si="24"/>
        <v>1.0279726587191576</v>
      </c>
      <c r="T341" s="729">
        <f t="shared" si="24"/>
        <v>1.0279726587191576</v>
      </c>
      <c r="U341" s="729">
        <f t="shared" si="24"/>
        <v>1.0279726587191576</v>
      </c>
      <c r="V341" s="729">
        <f t="shared" si="24"/>
        <v>1.0279726587191576</v>
      </c>
      <c r="W341" s="729">
        <f t="shared" si="24"/>
        <v>1.0279726587191576</v>
      </c>
      <c r="X341" s="729">
        <f t="shared" si="24"/>
        <v>1.0279726587191576</v>
      </c>
      <c r="Y341" s="729">
        <f t="shared" si="24"/>
        <v>1.0279726587191576</v>
      </c>
      <c r="Z341" s="729">
        <f t="shared" si="24"/>
        <v>1.0279726587191576</v>
      </c>
      <c r="AA341" s="729">
        <f t="shared" si="24"/>
        <v>1.0279726587191576</v>
      </c>
      <c r="AB341" s="729">
        <f t="shared" si="24"/>
        <v>1.0279726587191576</v>
      </c>
      <c r="AC341" s="729">
        <f t="shared" si="24"/>
        <v>1.0279726587191576</v>
      </c>
      <c r="AD341" s="729">
        <f t="shared" si="24"/>
        <v>1.0279726587191576</v>
      </c>
      <c r="AE341" s="729">
        <f t="shared" si="24"/>
        <v>1.0279726587191576</v>
      </c>
      <c r="AF341" s="729">
        <f t="shared" si="24"/>
        <v>1.0279726587191576</v>
      </c>
      <c r="AG341" s="729">
        <f t="shared" si="24"/>
        <v>1.0279726587191576</v>
      </c>
      <c r="AH341" s="729">
        <f t="shared" si="24"/>
        <v>1.0279726587191576</v>
      </c>
      <c r="AI341" s="729">
        <f t="shared" si="24"/>
        <v>1.0279726587191576</v>
      </c>
      <c r="AJ341" s="729">
        <f t="shared" si="24"/>
        <v>1.0279726587191576</v>
      </c>
      <c r="AK341" s="729">
        <f t="shared" si="24"/>
        <v>1.0279726587191576</v>
      </c>
      <c r="AL341" s="729">
        <f t="shared" si="24"/>
        <v>1.0279726587191576</v>
      </c>
      <c r="AM341" s="729">
        <f t="shared" si="24"/>
        <v>1.0279726587191576</v>
      </c>
      <c r="AN341" s="729">
        <f t="shared" si="24"/>
        <v>1.0279726587191576</v>
      </c>
      <c r="AO341" s="729">
        <f t="shared" si="24"/>
        <v>1.0279726587191576</v>
      </c>
      <c r="AP341" s="729">
        <f t="shared" si="24"/>
        <v>1.0279726587191576</v>
      </c>
      <c r="AQ341" s="729">
        <f t="shared" si="24"/>
        <v>1.0279726587191576</v>
      </c>
      <c r="AR341" s="729">
        <f t="shared" si="24"/>
        <v>1.0279726587191576</v>
      </c>
      <c r="AS341" s="729">
        <f t="shared" si="24"/>
        <v>1.0279726587191576</v>
      </c>
      <c r="AT341" s="729">
        <f t="shared" si="24"/>
        <v>1.0279726587191576</v>
      </c>
      <c r="AU341" s="729">
        <f t="shared" si="24"/>
        <v>1.0279726587191576</v>
      </c>
      <c r="AV341" s="729">
        <f t="shared" si="24"/>
        <v>1.0279726587191576</v>
      </c>
      <c r="AW341" s="729">
        <f t="shared" si="24"/>
        <v>1.0279726587191576</v>
      </c>
    </row>
    <row r="342" spans="1:49" s="683" customFormat="1" x14ac:dyDescent="0.2">
      <c r="A342" s="702" t="s">
        <v>499</v>
      </c>
      <c r="B342" s="729">
        <f t="shared" ref="B342:AW342" si="25">$B$338- (3*$B$340)</f>
        <v>0.44957200926999297</v>
      </c>
      <c r="C342" s="729">
        <f t="shared" si="25"/>
        <v>0.44957200926999297</v>
      </c>
      <c r="D342" s="729">
        <f t="shared" si="25"/>
        <v>0.44957200926999297</v>
      </c>
      <c r="E342" s="729">
        <f t="shared" si="25"/>
        <v>0.44957200926999297</v>
      </c>
      <c r="F342" s="729">
        <f t="shared" si="25"/>
        <v>0.44957200926999297</v>
      </c>
      <c r="G342" s="729">
        <f t="shared" si="25"/>
        <v>0.44957200926999297</v>
      </c>
      <c r="H342" s="729">
        <f t="shared" si="25"/>
        <v>0.44957200926999297</v>
      </c>
      <c r="I342" s="729">
        <f t="shared" si="25"/>
        <v>0.44957200926999297</v>
      </c>
      <c r="J342" s="729">
        <f t="shared" si="25"/>
        <v>0.44957200926999297</v>
      </c>
      <c r="K342" s="729">
        <f t="shared" si="25"/>
        <v>0.44957200926999297</v>
      </c>
      <c r="L342" s="729">
        <f t="shared" si="25"/>
        <v>0.44957200926999297</v>
      </c>
      <c r="M342" s="729">
        <f t="shared" si="25"/>
        <v>0.44957200926999297</v>
      </c>
      <c r="N342" s="729">
        <f t="shared" si="25"/>
        <v>0.44957200926999297</v>
      </c>
      <c r="O342" s="729">
        <f t="shared" si="25"/>
        <v>0.44957200926999297</v>
      </c>
      <c r="P342" s="729">
        <f t="shared" si="25"/>
        <v>0.44957200926999297</v>
      </c>
      <c r="Q342" s="729">
        <f t="shared" si="25"/>
        <v>0.44957200926999297</v>
      </c>
      <c r="R342" s="729">
        <f t="shared" si="25"/>
        <v>0.44957200926999297</v>
      </c>
      <c r="S342" s="729">
        <f t="shared" si="25"/>
        <v>0.44957200926999297</v>
      </c>
      <c r="T342" s="729">
        <f t="shared" si="25"/>
        <v>0.44957200926999297</v>
      </c>
      <c r="U342" s="729">
        <f t="shared" si="25"/>
        <v>0.44957200926999297</v>
      </c>
      <c r="V342" s="729">
        <f t="shared" si="25"/>
        <v>0.44957200926999297</v>
      </c>
      <c r="W342" s="729">
        <f t="shared" si="25"/>
        <v>0.44957200926999297</v>
      </c>
      <c r="X342" s="729">
        <f t="shared" si="25"/>
        <v>0.44957200926999297</v>
      </c>
      <c r="Y342" s="729">
        <f t="shared" si="25"/>
        <v>0.44957200926999297</v>
      </c>
      <c r="Z342" s="729">
        <f t="shared" si="25"/>
        <v>0.44957200926999297</v>
      </c>
      <c r="AA342" s="729">
        <f t="shared" si="25"/>
        <v>0.44957200926999297</v>
      </c>
      <c r="AB342" s="729">
        <f t="shared" si="25"/>
        <v>0.44957200926999297</v>
      </c>
      <c r="AC342" s="729">
        <f t="shared" si="25"/>
        <v>0.44957200926999297</v>
      </c>
      <c r="AD342" s="729">
        <f t="shared" si="25"/>
        <v>0.44957200926999297</v>
      </c>
      <c r="AE342" s="729">
        <f t="shared" si="25"/>
        <v>0.44957200926999297</v>
      </c>
      <c r="AF342" s="729">
        <f t="shared" si="25"/>
        <v>0.44957200926999297</v>
      </c>
      <c r="AG342" s="729">
        <f t="shared" si="25"/>
        <v>0.44957200926999297</v>
      </c>
      <c r="AH342" s="729">
        <f t="shared" si="25"/>
        <v>0.44957200926999297</v>
      </c>
      <c r="AI342" s="729">
        <f t="shared" si="25"/>
        <v>0.44957200926999297</v>
      </c>
      <c r="AJ342" s="729">
        <f t="shared" si="25"/>
        <v>0.44957200926999297</v>
      </c>
      <c r="AK342" s="729">
        <f t="shared" si="25"/>
        <v>0.44957200926999297</v>
      </c>
      <c r="AL342" s="729">
        <f t="shared" si="25"/>
        <v>0.44957200926999297</v>
      </c>
      <c r="AM342" s="729">
        <f t="shared" si="25"/>
        <v>0.44957200926999297</v>
      </c>
      <c r="AN342" s="729">
        <f t="shared" si="25"/>
        <v>0.44957200926999297</v>
      </c>
      <c r="AO342" s="729">
        <f t="shared" si="25"/>
        <v>0.44957200926999297</v>
      </c>
      <c r="AP342" s="729">
        <f t="shared" si="25"/>
        <v>0.44957200926999297</v>
      </c>
      <c r="AQ342" s="729">
        <f t="shared" si="25"/>
        <v>0.44957200926999297</v>
      </c>
      <c r="AR342" s="729">
        <f t="shared" si="25"/>
        <v>0.44957200926999297</v>
      </c>
      <c r="AS342" s="729">
        <f t="shared" si="25"/>
        <v>0.44957200926999297</v>
      </c>
      <c r="AT342" s="729">
        <f t="shared" si="25"/>
        <v>0.44957200926999297</v>
      </c>
      <c r="AU342" s="729">
        <f t="shared" si="25"/>
        <v>0.44957200926999297</v>
      </c>
      <c r="AV342" s="729">
        <f t="shared" si="25"/>
        <v>0.44957200926999297</v>
      </c>
      <c r="AW342" s="729">
        <f t="shared" si="25"/>
        <v>0.44957200926999297</v>
      </c>
    </row>
    <row r="343" spans="1:49" s="683" customFormat="1" ht="25.5" x14ac:dyDescent="0.2">
      <c r="A343" s="702" t="s">
        <v>510</v>
      </c>
      <c r="B343" s="731">
        <v>62</v>
      </c>
      <c r="C343" s="731">
        <v>69</v>
      </c>
      <c r="D343" s="689">
        <v>53</v>
      </c>
      <c r="E343" s="689">
        <v>32</v>
      </c>
      <c r="F343" s="689">
        <v>44</v>
      </c>
      <c r="G343" s="689">
        <v>54</v>
      </c>
      <c r="H343" s="689">
        <v>73</v>
      </c>
      <c r="I343" s="689">
        <v>72</v>
      </c>
      <c r="J343" s="689">
        <v>49</v>
      </c>
      <c r="K343" s="689">
        <v>68</v>
      </c>
      <c r="L343" s="689">
        <v>52</v>
      </c>
      <c r="M343" s="689">
        <v>57</v>
      </c>
      <c r="N343" s="689">
        <v>60</v>
      </c>
      <c r="O343" s="689">
        <v>59</v>
      </c>
      <c r="P343" s="689">
        <v>65</v>
      </c>
      <c r="Q343" s="689">
        <v>66</v>
      </c>
      <c r="R343" s="689">
        <v>61</v>
      </c>
      <c r="S343" s="689">
        <v>75</v>
      </c>
      <c r="T343" s="689">
        <v>53</v>
      </c>
      <c r="U343" s="689">
        <v>65</v>
      </c>
      <c r="V343" s="689">
        <v>71</v>
      </c>
      <c r="W343" s="689">
        <v>61</v>
      </c>
      <c r="X343" s="689">
        <v>54</v>
      </c>
      <c r="Y343" s="689">
        <v>79</v>
      </c>
      <c r="Z343" s="689">
        <v>59</v>
      </c>
      <c r="AA343" s="689">
        <v>80</v>
      </c>
      <c r="AB343" s="689">
        <v>75</v>
      </c>
      <c r="AC343" s="689"/>
      <c r="AD343" s="689"/>
      <c r="AE343" s="689"/>
      <c r="AF343" s="689"/>
      <c r="AG343" s="689"/>
      <c r="AH343" s="689"/>
      <c r="AI343" s="689"/>
      <c r="AJ343" s="689"/>
      <c r="AK343" s="689"/>
      <c r="AL343" s="689"/>
      <c r="AM343" s="689"/>
      <c r="AN343" s="689"/>
      <c r="AO343" s="689"/>
      <c r="AP343" s="689"/>
      <c r="AQ343" s="689"/>
      <c r="AR343" s="689"/>
      <c r="AS343" s="689"/>
      <c r="AT343" s="689"/>
      <c r="AU343" s="689"/>
      <c r="AV343" s="689"/>
      <c r="AW343" s="689"/>
    </row>
    <row r="344" spans="1:49" s="683" customFormat="1" x14ac:dyDescent="0.2">
      <c r="A344" s="702" t="s">
        <v>490</v>
      </c>
      <c r="B344" s="689" t="s">
        <v>243</v>
      </c>
      <c r="C344" s="689">
        <f>SUM(C343-B343)</f>
        <v>7</v>
      </c>
      <c r="D344" s="689">
        <f>SUM(D343-C343)*-1</f>
        <v>16</v>
      </c>
      <c r="E344" s="689">
        <f>SUM(E343-D343)*-1</f>
        <v>21</v>
      </c>
      <c r="F344" s="689">
        <f t="shared" ref="F344:V344" si="26">SUM(F343-E343)</f>
        <v>12</v>
      </c>
      <c r="G344" s="689">
        <f t="shared" si="26"/>
        <v>10</v>
      </c>
      <c r="H344" s="689">
        <f t="shared" si="26"/>
        <v>19</v>
      </c>
      <c r="I344" s="689">
        <f>SUM(I343-H343)*-1</f>
        <v>1</v>
      </c>
      <c r="J344" s="689">
        <f>SUM(J343-I343)*-1</f>
        <v>23</v>
      </c>
      <c r="K344" s="689">
        <f t="shared" si="26"/>
        <v>19</v>
      </c>
      <c r="L344" s="689">
        <f>SUM(L343-K343)*-1</f>
        <v>16</v>
      </c>
      <c r="M344" s="689">
        <f t="shared" si="26"/>
        <v>5</v>
      </c>
      <c r="N344" s="689">
        <f t="shared" si="26"/>
        <v>3</v>
      </c>
      <c r="O344" s="689">
        <f>SUM(O343-N343)*-1</f>
        <v>1</v>
      </c>
      <c r="P344" s="689">
        <f t="shared" si="26"/>
        <v>6</v>
      </c>
      <c r="Q344" s="689">
        <f t="shared" si="26"/>
        <v>1</v>
      </c>
      <c r="R344" s="689">
        <f>SUM(R343-Q343)*-1</f>
        <v>5</v>
      </c>
      <c r="S344" s="689">
        <f t="shared" si="26"/>
        <v>14</v>
      </c>
      <c r="T344" s="689">
        <f>SUM(T343-S343)*-1</f>
        <v>22</v>
      </c>
      <c r="U344" s="689">
        <f t="shared" si="26"/>
        <v>12</v>
      </c>
      <c r="V344" s="689">
        <f t="shared" si="26"/>
        <v>6</v>
      </c>
      <c r="W344" s="689">
        <f>SUM(W343-V343)*-1</f>
        <v>10</v>
      </c>
      <c r="X344" s="689">
        <f>SUM(X343-W343)*-1</f>
        <v>7</v>
      </c>
      <c r="Y344" s="689">
        <f>SUM(Y343-X343)</f>
        <v>25</v>
      </c>
      <c r="Z344" s="689">
        <f>SUM(Z343-Y343)*-1</f>
        <v>20</v>
      </c>
      <c r="AA344" s="689">
        <f>SUM(AA343-Z343)</f>
        <v>21</v>
      </c>
      <c r="AB344" s="689">
        <f>SUM(AB343-AA343)*-1</f>
        <v>5</v>
      </c>
      <c r="AC344" s="689"/>
      <c r="AD344" s="689"/>
      <c r="AE344" s="689"/>
      <c r="AF344" s="689"/>
      <c r="AG344" s="689"/>
      <c r="AH344" s="689"/>
      <c r="AI344" s="689"/>
      <c r="AJ344" s="689"/>
      <c r="AK344" s="689"/>
      <c r="AL344" s="689"/>
      <c r="AM344" s="689"/>
      <c r="AN344" s="689"/>
      <c r="AO344" s="689"/>
      <c r="AP344" s="689"/>
      <c r="AQ344" s="689"/>
      <c r="AR344" s="689"/>
      <c r="AS344" s="689"/>
      <c r="AT344" s="689"/>
      <c r="AU344" s="689"/>
      <c r="AV344" s="689"/>
      <c r="AW344" s="689"/>
    </row>
    <row r="345" spans="1:49" s="683" customFormat="1" ht="21.75" x14ac:dyDescent="0.2">
      <c r="A345" s="703" t="s">
        <v>493</v>
      </c>
      <c r="B345" s="729"/>
      <c r="C345" s="729"/>
      <c r="D345" s="729"/>
      <c r="E345" s="729"/>
      <c r="F345" s="729"/>
      <c r="G345" s="729"/>
      <c r="H345" s="729"/>
      <c r="I345" s="729"/>
      <c r="J345" s="729"/>
      <c r="K345" s="729"/>
      <c r="L345" s="729"/>
      <c r="M345" s="729"/>
      <c r="N345" s="729"/>
      <c r="O345" s="729"/>
      <c r="P345" s="729"/>
      <c r="Q345" s="729"/>
      <c r="R345" s="729"/>
      <c r="S345" s="729"/>
      <c r="T345" s="729"/>
      <c r="U345" s="729"/>
      <c r="V345" s="729"/>
      <c r="W345" s="729"/>
      <c r="X345" s="729"/>
      <c r="Y345" s="729"/>
      <c r="Z345" s="729"/>
      <c r="AA345" s="729"/>
      <c r="AB345" s="729"/>
      <c r="AC345" s="729"/>
      <c r="AD345" s="729"/>
      <c r="AE345" s="729"/>
      <c r="AF345" s="729"/>
      <c r="AG345" s="729"/>
      <c r="AH345" s="729"/>
      <c r="AI345" s="729"/>
      <c r="AJ345" s="729"/>
      <c r="AK345" s="729"/>
      <c r="AL345" s="729"/>
      <c r="AM345" s="729"/>
      <c r="AN345" s="729"/>
      <c r="AO345" s="729"/>
      <c r="AP345" s="729"/>
      <c r="AQ345" s="729"/>
      <c r="AR345" s="729"/>
      <c r="AS345" s="729"/>
      <c r="AT345" s="729"/>
      <c r="AU345" s="729"/>
      <c r="AV345" s="729"/>
      <c r="AW345" s="729"/>
    </row>
    <row r="346" spans="1:49" s="683" customFormat="1" x14ac:dyDescent="0.2">
      <c r="A346" s="683" t="s">
        <v>492</v>
      </c>
      <c r="B346" s="731">
        <f t="shared" ref="B346:AW346" si="27">AVERAGE($B$343:$AW$343)</f>
        <v>61.777777777777779</v>
      </c>
      <c r="C346" s="731">
        <f t="shared" si="27"/>
        <v>61.777777777777779</v>
      </c>
      <c r="D346" s="731">
        <f t="shared" si="27"/>
        <v>61.777777777777779</v>
      </c>
      <c r="E346" s="731">
        <f t="shared" si="27"/>
        <v>61.777777777777779</v>
      </c>
      <c r="F346" s="731">
        <f t="shared" si="27"/>
        <v>61.777777777777779</v>
      </c>
      <c r="G346" s="731">
        <f t="shared" si="27"/>
        <v>61.777777777777779</v>
      </c>
      <c r="H346" s="731">
        <f t="shared" si="27"/>
        <v>61.777777777777779</v>
      </c>
      <c r="I346" s="731">
        <f t="shared" si="27"/>
        <v>61.777777777777779</v>
      </c>
      <c r="J346" s="731">
        <f t="shared" si="27"/>
        <v>61.777777777777779</v>
      </c>
      <c r="K346" s="731">
        <f t="shared" si="27"/>
        <v>61.777777777777779</v>
      </c>
      <c r="L346" s="731">
        <f t="shared" si="27"/>
        <v>61.777777777777779</v>
      </c>
      <c r="M346" s="731">
        <f t="shared" si="27"/>
        <v>61.777777777777779</v>
      </c>
      <c r="N346" s="731">
        <f t="shared" si="27"/>
        <v>61.777777777777779</v>
      </c>
      <c r="O346" s="731">
        <f t="shared" si="27"/>
        <v>61.777777777777779</v>
      </c>
      <c r="P346" s="731">
        <f t="shared" si="27"/>
        <v>61.777777777777779</v>
      </c>
      <c r="Q346" s="731">
        <f t="shared" si="27"/>
        <v>61.777777777777779</v>
      </c>
      <c r="R346" s="731">
        <f t="shared" si="27"/>
        <v>61.777777777777779</v>
      </c>
      <c r="S346" s="731">
        <f t="shared" si="27"/>
        <v>61.777777777777779</v>
      </c>
      <c r="T346" s="731">
        <f t="shared" si="27"/>
        <v>61.777777777777779</v>
      </c>
      <c r="U346" s="731">
        <f t="shared" si="27"/>
        <v>61.777777777777779</v>
      </c>
      <c r="V346" s="731">
        <f t="shared" si="27"/>
        <v>61.777777777777779</v>
      </c>
      <c r="W346" s="731">
        <f t="shared" si="27"/>
        <v>61.777777777777779</v>
      </c>
      <c r="X346" s="731">
        <f t="shared" si="27"/>
        <v>61.777777777777779</v>
      </c>
      <c r="Y346" s="731">
        <f t="shared" si="27"/>
        <v>61.777777777777779</v>
      </c>
      <c r="Z346" s="731">
        <f t="shared" si="27"/>
        <v>61.777777777777779</v>
      </c>
      <c r="AA346" s="731">
        <f t="shared" si="27"/>
        <v>61.777777777777779</v>
      </c>
      <c r="AB346" s="731">
        <f t="shared" si="27"/>
        <v>61.777777777777779</v>
      </c>
      <c r="AC346" s="731">
        <f t="shared" si="27"/>
        <v>61.777777777777779</v>
      </c>
      <c r="AD346" s="731">
        <f t="shared" si="27"/>
        <v>61.777777777777779</v>
      </c>
      <c r="AE346" s="731">
        <f t="shared" si="27"/>
        <v>61.777777777777779</v>
      </c>
      <c r="AF346" s="731">
        <f t="shared" si="27"/>
        <v>61.777777777777779</v>
      </c>
      <c r="AG346" s="731">
        <f t="shared" si="27"/>
        <v>61.777777777777779</v>
      </c>
      <c r="AH346" s="731">
        <f t="shared" si="27"/>
        <v>61.777777777777779</v>
      </c>
      <c r="AI346" s="731">
        <f t="shared" si="27"/>
        <v>61.777777777777779</v>
      </c>
      <c r="AJ346" s="731">
        <f t="shared" si="27"/>
        <v>61.777777777777779</v>
      </c>
      <c r="AK346" s="731">
        <f t="shared" si="27"/>
        <v>61.777777777777779</v>
      </c>
      <c r="AL346" s="731">
        <f t="shared" si="27"/>
        <v>61.777777777777779</v>
      </c>
      <c r="AM346" s="731">
        <f t="shared" si="27"/>
        <v>61.777777777777779</v>
      </c>
      <c r="AN346" s="731">
        <f t="shared" si="27"/>
        <v>61.777777777777779</v>
      </c>
      <c r="AO346" s="731">
        <f t="shared" si="27"/>
        <v>61.777777777777779</v>
      </c>
      <c r="AP346" s="731">
        <f t="shared" si="27"/>
        <v>61.777777777777779</v>
      </c>
      <c r="AQ346" s="731">
        <f t="shared" si="27"/>
        <v>61.777777777777779</v>
      </c>
      <c r="AR346" s="731">
        <f t="shared" si="27"/>
        <v>61.777777777777779</v>
      </c>
      <c r="AS346" s="731">
        <f t="shared" si="27"/>
        <v>61.777777777777779</v>
      </c>
      <c r="AT346" s="731">
        <f t="shared" si="27"/>
        <v>61.777777777777779</v>
      </c>
      <c r="AU346" s="731">
        <f t="shared" si="27"/>
        <v>61.777777777777779</v>
      </c>
      <c r="AV346" s="731">
        <f t="shared" si="27"/>
        <v>61.777777777777779</v>
      </c>
      <c r="AW346" s="731">
        <f t="shared" si="27"/>
        <v>61.777777777777779</v>
      </c>
    </row>
    <row r="347" spans="1:49" s="683" customFormat="1" x14ac:dyDescent="0.2">
      <c r="A347" s="702" t="s">
        <v>491</v>
      </c>
      <c r="B347" s="731" t="s">
        <v>243</v>
      </c>
      <c r="C347" s="731">
        <f t="shared" ref="C347:AW347" si="28">SUM($C$344:$AW$344)/22</f>
        <v>13.954545454545455</v>
      </c>
      <c r="D347" s="731">
        <f t="shared" si="28"/>
        <v>13.954545454545455</v>
      </c>
      <c r="E347" s="731">
        <f t="shared" si="28"/>
        <v>13.954545454545455</v>
      </c>
      <c r="F347" s="731">
        <f t="shared" si="28"/>
        <v>13.954545454545455</v>
      </c>
      <c r="G347" s="731">
        <f t="shared" si="28"/>
        <v>13.954545454545455</v>
      </c>
      <c r="H347" s="731">
        <f t="shared" si="28"/>
        <v>13.954545454545455</v>
      </c>
      <c r="I347" s="731">
        <f t="shared" si="28"/>
        <v>13.954545454545455</v>
      </c>
      <c r="J347" s="731">
        <f t="shared" si="28"/>
        <v>13.954545454545455</v>
      </c>
      <c r="K347" s="731">
        <f t="shared" si="28"/>
        <v>13.954545454545455</v>
      </c>
      <c r="L347" s="731">
        <f t="shared" si="28"/>
        <v>13.954545454545455</v>
      </c>
      <c r="M347" s="731">
        <f t="shared" si="28"/>
        <v>13.954545454545455</v>
      </c>
      <c r="N347" s="731">
        <f t="shared" si="28"/>
        <v>13.954545454545455</v>
      </c>
      <c r="O347" s="731">
        <f t="shared" si="28"/>
        <v>13.954545454545455</v>
      </c>
      <c r="P347" s="731">
        <f t="shared" si="28"/>
        <v>13.954545454545455</v>
      </c>
      <c r="Q347" s="731">
        <f t="shared" si="28"/>
        <v>13.954545454545455</v>
      </c>
      <c r="R347" s="731">
        <f t="shared" si="28"/>
        <v>13.954545454545455</v>
      </c>
      <c r="S347" s="731">
        <f t="shared" si="28"/>
        <v>13.954545454545455</v>
      </c>
      <c r="T347" s="731">
        <f t="shared" si="28"/>
        <v>13.954545454545455</v>
      </c>
      <c r="U347" s="731">
        <f t="shared" si="28"/>
        <v>13.954545454545455</v>
      </c>
      <c r="V347" s="731">
        <f t="shared" si="28"/>
        <v>13.954545454545455</v>
      </c>
      <c r="W347" s="731">
        <f t="shared" si="28"/>
        <v>13.954545454545455</v>
      </c>
      <c r="X347" s="731">
        <f t="shared" si="28"/>
        <v>13.954545454545455</v>
      </c>
      <c r="Y347" s="731">
        <f t="shared" si="28"/>
        <v>13.954545454545455</v>
      </c>
      <c r="Z347" s="731">
        <f t="shared" si="28"/>
        <v>13.954545454545455</v>
      </c>
      <c r="AA347" s="731">
        <f t="shared" si="28"/>
        <v>13.954545454545455</v>
      </c>
      <c r="AB347" s="731">
        <f t="shared" si="28"/>
        <v>13.954545454545455</v>
      </c>
      <c r="AC347" s="731">
        <f t="shared" si="28"/>
        <v>13.954545454545455</v>
      </c>
      <c r="AD347" s="731">
        <f t="shared" si="28"/>
        <v>13.954545454545455</v>
      </c>
      <c r="AE347" s="731">
        <f t="shared" si="28"/>
        <v>13.954545454545455</v>
      </c>
      <c r="AF347" s="731">
        <f t="shared" si="28"/>
        <v>13.954545454545455</v>
      </c>
      <c r="AG347" s="731">
        <f t="shared" si="28"/>
        <v>13.954545454545455</v>
      </c>
      <c r="AH347" s="731">
        <f t="shared" si="28"/>
        <v>13.954545454545455</v>
      </c>
      <c r="AI347" s="731">
        <f t="shared" si="28"/>
        <v>13.954545454545455</v>
      </c>
      <c r="AJ347" s="731">
        <f t="shared" si="28"/>
        <v>13.954545454545455</v>
      </c>
      <c r="AK347" s="731">
        <f t="shared" si="28"/>
        <v>13.954545454545455</v>
      </c>
      <c r="AL347" s="731">
        <f t="shared" si="28"/>
        <v>13.954545454545455</v>
      </c>
      <c r="AM347" s="731">
        <f t="shared" si="28"/>
        <v>13.954545454545455</v>
      </c>
      <c r="AN347" s="731">
        <f t="shared" si="28"/>
        <v>13.954545454545455</v>
      </c>
      <c r="AO347" s="731">
        <f t="shared" si="28"/>
        <v>13.954545454545455</v>
      </c>
      <c r="AP347" s="731">
        <f t="shared" si="28"/>
        <v>13.954545454545455</v>
      </c>
      <c r="AQ347" s="731">
        <f t="shared" si="28"/>
        <v>13.954545454545455</v>
      </c>
      <c r="AR347" s="731">
        <f t="shared" si="28"/>
        <v>13.954545454545455</v>
      </c>
      <c r="AS347" s="731">
        <f t="shared" si="28"/>
        <v>13.954545454545455</v>
      </c>
      <c r="AT347" s="731">
        <f t="shared" si="28"/>
        <v>13.954545454545455</v>
      </c>
      <c r="AU347" s="731">
        <f t="shared" si="28"/>
        <v>13.954545454545455</v>
      </c>
      <c r="AV347" s="731">
        <f t="shared" si="28"/>
        <v>13.954545454545455</v>
      </c>
      <c r="AW347" s="731">
        <f t="shared" si="28"/>
        <v>13.954545454545455</v>
      </c>
    </row>
    <row r="348" spans="1:49" s="683" customFormat="1" ht="25.5" x14ac:dyDescent="0.2">
      <c r="A348" s="702" t="s">
        <v>494</v>
      </c>
      <c r="B348" s="731">
        <f t="shared" ref="B348:AW348" si="29">SUM($C$347)/1.128</f>
        <v>12.371050934880724</v>
      </c>
      <c r="C348" s="731">
        <f t="shared" si="29"/>
        <v>12.371050934880724</v>
      </c>
      <c r="D348" s="731">
        <f t="shared" si="29"/>
        <v>12.371050934880724</v>
      </c>
      <c r="E348" s="731">
        <f t="shared" si="29"/>
        <v>12.371050934880724</v>
      </c>
      <c r="F348" s="731">
        <f t="shared" si="29"/>
        <v>12.371050934880724</v>
      </c>
      <c r="G348" s="731">
        <f t="shared" si="29"/>
        <v>12.371050934880724</v>
      </c>
      <c r="H348" s="731">
        <f t="shared" si="29"/>
        <v>12.371050934880724</v>
      </c>
      <c r="I348" s="731">
        <f t="shared" si="29"/>
        <v>12.371050934880724</v>
      </c>
      <c r="J348" s="731">
        <f t="shared" si="29"/>
        <v>12.371050934880724</v>
      </c>
      <c r="K348" s="731">
        <f t="shared" si="29"/>
        <v>12.371050934880724</v>
      </c>
      <c r="L348" s="731">
        <f t="shared" si="29"/>
        <v>12.371050934880724</v>
      </c>
      <c r="M348" s="731">
        <f t="shared" si="29"/>
        <v>12.371050934880724</v>
      </c>
      <c r="N348" s="731">
        <f t="shared" si="29"/>
        <v>12.371050934880724</v>
      </c>
      <c r="O348" s="731">
        <f t="shared" si="29"/>
        <v>12.371050934880724</v>
      </c>
      <c r="P348" s="731">
        <f t="shared" si="29"/>
        <v>12.371050934880724</v>
      </c>
      <c r="Q348" s="731">
        <f t="shared" si="29"/>
        <v>12.371050934880724</v>
      </c>
      <c r="R348" s="731">
        <f t="shared" si="29"/>
        <v>12.371050934880724</v>
      </c>
      <c r="S348" s="731">
        <f t="shared" si="29"/>
        <v>12.371050934880724</v>
      </c>
      <c r="T348" s="731">
        <f t="shared" si="29"/>
        <v>12.371050934880724</v>
      </c>
      <c r="U348" s="731">
        <f t="shared" si="29"/>
        <v>12.371050934880724</v>
      </c>
      <c r="V348" s="731">
        <f t="shared" si="29"/>
        <v>12.371050934880724</v>
      </c>
      <c r="W348" s="731">
        <f t="shared" si="29"/>
        <v>12.371050934880724</v>
      </c>
      <c r="X348" s="731">
        <f t="shared" si="29"/>
        <v>12.371050934880724</v>
      </c>
      <c r="Y348" s="731">
        <f t="shared" si="29"/>
        <v>12.371050934880724</v>
      </c>
      <c r="Z348" s="731">
        <f t="shared" si="29"/>
        <v>12.371050934880724</v>
      </c>
      <c r="AA348" s="731">
        <f t="shared" si="29"/>
        <v>12.371050934880724</v>
      </c>
      <c r="AB348" s="731">
        <f t="shared" si="29"/>
        <v>12.371050934880724</v>
      </c>
      <c r="AC348" s="731">
        <f t="shared" si="29"/>
        <v>12.371050934880724</v>
      </c>
      <c r="AD348" s="731">
        <f t="shared" si="29"/>
        <v>12.371050934880724</v>
      </c>
      <c r="AE348" s="731">
        <f t="shared" si="29"/>
        <v>12.371050934880724</v>
      </c>
      <c r="AF348" s="731">
        <f t="shared" si="29"/>
        <v>12.371050934880724</v>
      </c>
      <c r="AG348" s="731">
        <f t="shared" si="29"/>
        <v>12.371050934880724</v>
      </c>
      <c r="AH348" s="731">
        <f t="shared" si="29"/>
        <v>12.371050934880724</v>
      </c>
      <c r="AI348" s="731">
        <f t="shared" si="29"/>
        <v>12.371050934880724</v>
      </c>
      <c r="AJ348" s="731">
        <f t="shared" si="29"/>
        <v>12.371050934880724</v>
      </c>
      <c r="AK348" s="731">
        <f t="shared" si="29"/>
        <v>12.371050934880724</v>
      </c>
      <c r="AL348" s="731">
        <f t="shared" si="29"/>
        <v>12.371050934880724</v>
      </c>
      <c r="AM348" s="731">
        <f t="shared" si="29"/>
        <v>12.371050934880724</v>
      </c>
      <c r="AN348" s="731">
        <f t="shared" si="29"/>
        <v>12.371050934880724</v>
      </c>
      <c r="AO348" s="731">
        <f t="shared" si="29"/>
        <v>12.371050934880724</v>
      </c>
      <c r="AP348" s="731">
        <f t="shared" si="29"/>
        <v>12.371050934880724</v>
      </c>
      <c r="AQ348" s="731">
        <f t="shared" si="29"/>
        <v>12.371050934880724</v>
      </c>
      <c r="AR348" s="731">
        <f t="shared" si="29"/>
        <v>12.371050934880724</v>
      </c>
      <c r="AS348" s="731">
        <f t="shared" si="29"/>
        <v>12.371050934880724</v>
      </c>
      <c r="AT348" s="731">
        <f t="shared" si="29"/>
        <v>12.371050934880724</v>
      </c>
      <c r="AU348" s="731">
        <f t="shared" si="29"/>
        <v>12.371050934880724</v>
      </c>
      <c r="AV348" s="731">
        <f t="shared" si="29"/>
        <v>12.371050934880724</v>
      </c>
      <c r="AW348" s="731">
        <f t="shared" si="29"/>
        <v>12.371050934880724</v>
      </c>
    </row>
    <row r="349" spans="1:49" s="683" customFormat="1" x14ac:dyDescent="0.2">
      <c r="A349" s="702" t="s">
        <v>497</v>
      </c>
      <c r="B349" s="731">
        <f t="shared" ref="B349:AW349" si="30">$D$346 + (3*($D$348))</f>
        <v>98.890930582419941</v>
      </c>
      <c r="C349" s="731">
        <f t="shared" si="30"/>
        <v>98.890930582419941</v>
      </c>
      <c r="D349" s="731">
        <f t="shared" si="30"/>
        <v>98.890930582419941</v>
      </c>
      <c r="E349" s="731">
        <f t="shared" si="30"/>
        <v>98.890930582419941</v>
      </c>
      <c r="F349" s="731">
        <f t="shared" si="30"/>
        <v>98.890930582419941</v>
      </c>
      <c r="G349" s="731">
        <f t="shared" si="30"/>
        <v>98.890930582419941</v>
      </c>
      <c r="H349" s="731">
        <f t="shared" si="30"/>
        <v>98.890930582419941</v>
      </c>
      <c r="I349" s="731">
        <f t="shared" si="30"/>
        <v>98.890930582419941</v>
      </c>
      <c r="J349" s="731">
        <f t="shared" si="30"/>
        <v>98.890930582419941</v>
      </c>
      <c r="K349" s="731">
        <f t="shared" si="30"/>
        <v>98.890930582419941</v>
      </c>
      <c r="L349" s="731">
        <f t="shared" si="30"/>
        <v>98.890930582419941</v>
      </c>
      <c r="M349" s="731">
        <f t="shared" si="30"/>
        <v>98.890930582419941</v>
      </c>
      <c r="N349" s="731">
        <f t="shared" si="30"/>
        <v>98.890930582419941</v>
      </c>
      <c r="O349" s="731">
        <f t="shared" si="30"/>
        <v>98.890930582419941</v>
      </c>
      <c r="P349" s="731">
        <f t="shared" si="30"/>
        <v>98.890930582419941</v>
      </c>
      <c r="Q349" s="731">
        <f t="shared" si="30"/>
        <v>98.890930582419941</v>
      </c>
      <c r="R349" s="731">
        <f t="shared" si="30"/>
        <v>98.890930582419941</v>
      </c>
      <c r="S349" s="731">
        <f t="shared" si="30"/>
        <v>98.890930582419941</v>
      </c>
      <c r="T349" s="731">
        <f t="shared" si="30"/>
        <v>98.890930582419941</v>
      </c>
      <c r="U349" s="731">
        <f t="shared" si="30"/>
        <v>98.890930582419941</v>
      </c>
      <c r="V349" s="731">
        <f t="shared" si="30"/>
        <v>98.890930582419941</v>
      </c>
      <c r="W349" s="731">
        <f t="shared" si="30"/>
        <v>98.890930582419941</v>
      </c>
      <c r="X349" s="731">
        <f t="shared" si="30"/>
        <v>98.890930582419941</v>
      </c>
      <c r="Y349" s="731">
        <f t="shared" si="30"/>
        <v>98.890930582419941</v>
      </c>
      <c r="Z349" s="731">
        <f t="shared" si="30"/>
        <v>98.890930582419941</v>
      </c>
      <c r="AA349" s="731">
        <f t="shared" si="30"/>
        <v>98.890930582419941</v>
      </c>
      <c r="AB349" s="731">
        <f t="shared" si="30"/>
        <v>98.890930582419941</v>
      </c>
      <c r="AC349" s="731">
        <f t="shared" si="30"/>
        <v>98.890930582419941</v>
      </c>
      <c r="AD349" s="731">
        <f t="shared" si="30"/>
        <v>98.890930582419941</v>
      </c>
      <c r="AE349" s="731">
        <f t="shared" si="30"/>
        <v>98.890930582419941</v>
      </c>
      <c r="AF349" s="731">
        <f t="shared" si="30"/>
        <v>98.890930582419941</v>
      </c>
      <c r="AG349" s="731">
        <f t="shared" si="30"/>
        <v>98.890930582419941</v>
      </c>
      <c r="AH349" s="731">
        <f t="shared" si="30"/>
        <v>98.890930582419941</v>
      </c>
      <c r="AI349" s="731">
        <f t="shared" si="30"/>
        <v>98.890930582419941</v>
      </c>
      <c r="AJ349" s="731">
        <f t="shared" si="30"/>
        <v>98.890930582419941</v>
      </c>
      <c r="AK349" s="731">
        <f t="shared" si="30"/>
        <v>98.890930582419941</v>
      </c>
      <c r="AL349" s="731">
        <f t="shared" si="30"/>
        <v>98.890930582419941</v>
      </c>
      <c r="AM349" s="731">
        <f t="shared" si="30"/>
        <v>98.890930582419941</v>
      </c>
      <c r="AN349" s="731">
        <f t="shared" si="30"/>
        <v>98.890930582419941</v>
      </c>
      <c r="AO349" s="731">
        <f t="shared" si="30"/>
        <v>98.890930582419941</v>
      </c>
      <c r="AP349" s="731">
        <f t="shared" si="30"/>
        <v>98.890930582419941</v>
      </c>
      <c r="AQ349" s="731">
        <f t="shared" si="30"/>
        <v>98.890930582419941</v>
      </c>
      <c r="AR349" s="731">
        <f t="shared" si="30"/>
        <v>98.890930582419941</v>
      </c>
      <c r="AS349" s="731">
        <f t="shared" si="30"/>
        <v>98.890930582419941</v>
      </c>
      <c r="AT349" s="731">
        <f t="shared" si="30"/>
        <v>98.890930582419941</v>
      </c>
      <c r="AU349" s="731">
        <f t="shared" si="30"/>
        <v>98.890930582419941</v>
      </c>
      <c r="AV349" s="731">
        <f t="shared" si="30"/>
        <v>98.890930582419941</v>
      </c>
      <c r="AW349" s="731">
        <f t="shared" si="30"/>
        <v>98.890930582419941</v>
      </c>
    </row>
    <row r="350" spans="1:49" s="683" customFormat="1" x14ac:dyDescent="0.2">
      <c r="A350" s="702" t="s">
        <v>499</v>
      </c>
      <c r="B350" s="731">
        <f t="shared" ref="B350:AW350" si="31">$D$346 - (3*($D$348))</f>
        <v>24.664624973135609</v>
      </c>
      <c r="C350" s="731">
        <f t="shared" si="31"/>
        <v>24.664624973135609</v>
      </c>
      <c r="D350" s="731">
        <f t="shared" si="31"/>
        <v>24.664624973135609</v>
      </c>
      <c r="E350" s="731">
        <f t="shared" si="31"/>
        <v>24.664624973135609</v>
      </c>
      <c r="F350" s="731">
        <f t="shared" si="31"/>
        <v>24.664624973135609</v>
      </c>
      <c r="G350" s="731">
        <f t="shared" si="31"/>
        <v>24.664624973135609</v>
      </c>
      <c r="H350" s="731">
        <f t="shared" si="31"/>
        <v>24.664624973135609</v>
      </c>
      <c r="I350" s="731">
        <f t="shared" si="31"/>
        <v>24.664624973135609</v>
      </c>
      <c r="J350" s="731">
        <f t="shared" si="31"/>
        <v>24.664624973135609</v>
      </c>
      <c r="K350" s="731">
        <f t="shared" si="31"/>
        <v>24.664624973135609</v>
      </c>
      <c r="L350" s="731">
        <f t="shared" si="31"/>
        <v>24.664624973135609</v>
      </c>
      <c r="M350" s="731">
        <f t="shared" si="31"/>
        <v>24.664624973135609</v>
      </c>
      <c r="N350" s="731">
        <f t="shared" si="31"/>
        <v>24.664624973135609</v>
      </c>
      <c r="O350" s="731">
        <f t="shared" si="31"/>
        <v>24.664624973135609</v>
      </c>
      <c r="P350" s="731">
        <f t="shared" si="31"/>
        <v>24.664624973135609</v>
      </c>
      <c r="Q350" s="731">
        <f t="shared" si="31"/>
        <v>24.664624973135609</v>
      </c>
      <c r="R350" s="731">
        <f t="shared" si="31"/>
        <v>24.664624973135609</v>
      </c>
      <c r="S350" s="731">
        <f t="shared" si="31"/>
        <v>24.664624973135609</v>
      </c>
      <c r="T350" s="731">
        <f t="shared" si="31"/>
        <v>24.664624973135609</v>
      </c>
      <c r="U350" s="731">
        <f t="shared" si="31"/>
        <v>24.664624973135609</v>
      </c>
      <c r="V350" s="731">
        <f t="shared" si="31"/>
        <v>24.664624973135609</v>
      </c>
      <c r="W350" s="731">
        <f t="shared" si="31"/>
        <v>24.664624973135609</v>
      </c>
      <c r="X350" s="731">
        <f t="shared" si="31"/>
        <v>24.664624973135609</v>
      </c>
      <c r="Y350" s="731">
        <f t="shared" si="31"/>
        <v>24.664624973135609</v>
      </c>
      <c r="Z350" s="731">
        <f t="shared" si="31"/>
        <v>24.664624973135609</v>
      </c>
      <c r="AA350" s="731">
        <f t="shared" si="31"/>
        <v>24.664624973135609</v>
      </c>
      <c r="AB350" s="731">
        <f t="shared" si="31"/>
        <v>24.664624973135609</v>
      </c>
      <c r="AC350" s="731">
        <f t="shared" si="31"/>
        <v>24.664624973135609</v>
      </c>
      <c r="AD350" s="731">
        <f t="shared" si="31"/>
        <v>24.664624973135609</v>
      </c>
      <c r="AE350" s="731">
        <f t="shared" si="31"/>
        <v>24.664624973135609</v>
      </c>
      <c r="AF350" s="731">
        <f t="shared" si="31"/>
        <v>24.664624973135609</v>
      </c>
      <c r="AG350" s="731">
        <f t="shared" si="31"/>
        <v>24.664624973135609</v>
      </c>
      <c r="AH350" s="731">
        <f t="shared" si="31"/>
        <v>24.664624973135609</v>
      </c>
      <c r="AI350" s="731">
        <f t="shared" si="31"/>
        <v>24.664624973135609</v>
      </c>
      <c r="AJ350" s="731">
        <f t="shared" si="31"/>
        <v>24.664624973135609</v>
      </c>
      <c r="AK350" s="731">
        <f t="shared" si="31"/>
        <v>24.664624973135609</v>
      </c>
      <c r="AL350" s="731">
        <f t="shared" si="31"/>
        <v>24.664624973135609</v>
      </c>
      <c r="AM350" s="731">
        <f t="shared" si="31"/>
        <v>24.664624973135609</v>
      </c>
      <c r="AN350" s="731">
        <f t="shared" si="31"/>
        <v>24.664624973135609</v>
      </c>
      <c r="AO350" s="731">
        <f t="shared" si="31"/>
        <v>24.664624973135609</v>
      </c>
      <c r="AP350" s="731">
        <f t="shared" si="31"/>
        <v>24.664624973135609</v>
      </c>
      <c r="AQ350" s="731">
        <f t="shared" si="31"/>
        <v>24.664624973135609</v>
      </c>
      <c r="AR350" s="731">
        <f t="shared" si="31"/>
        <v>24.664624973135609</v>
      </c>
      <c r="AS350" s="731">
        <f t="shared" si="31"/>
        <v>24.664624973135609</v>
      </c>
      <c r="AT350" s="731">
        <f t="shared" si="31"/>
        <v>24.664624973135609</v>
      </c>
      <c r="AU350" s="731">
        <f t="shared" si="31"/>
        <v>24.664624973135609</v>
      </c>
      <c r="AV350" s="731">
        <f t="shared" si="31"/>
        <v>24.664624973135609</v>
      </c>
      <c r="AW350" s="731">
        <f t="shared" si="31"/>
        <v>24.664624973135609</v>
      </c>
    </row>
    <row r="351" spans="1:49" s="683" customFormat="1" ht="9.75" customHeight="1" x14ac:dyDescent="0.2">
      <c r="A351" s="702"/>
      <c r="B351" s="729"/>
      <c r="C351" s="729"/>
      <c r="D351" s="729"/>
      <c r="E351" s="729"/>
      <c r="F351" s="729"/>
      <c r="G351" s="729"/>
      <c r="H351" s="729"/>
      <c r="I351" s="729"/>
      <c r="J351" s="729"/>
      <c r="K351" s="729"/>
      <c r="L351" s="729"/>
      <c r="M351" s="729"/>
      <c r="N351" s="729"/>
      <c r="O351" s="729"/>
      <c r="P351" s="729"/>
      <c r="Q351" s="729"/>
      <c r="R351" s="729"/>
      <c r="S351" s="729"/>
      <c r="T351" s="729"/>
      <c r="U351" s="729"/>
      <c r="V351" s="729"/>
      <c r="W351" s="729"/>
      <c r="X351" s="729"/>
      <c r="Y351" s="729"/>
      <c r="Z351" s="729"/>
      <c r="AA351" s="729"/>
      <c r="AB351" s="729"/>
      <c r="AC351" s="729"/>
      <c r="AD351" s="729"/>
      <c r="AE351" s="729"/>
      <c r="AF351" s="729"/>
      <c r="AG351" s="729"/>
      <c r="AH351" s="729"/>
      <c r="AI351" s="729"/>
      <c r="AJ351" s="729"/>
      <c r="AK351" s="729"/>
      <c r="AL351" s="729"/>
      <c r="AM351" s="729"/>
      <c r="AN351" s="729"/>
      <c r="AO351" s="729"/>
      <c r="AP351" s="729"/>
      <c r="AQ351" s="729"/>
      <c r="AR351" s="729"/>
      <c r="AS351" s="729"/>
      <c r="AT351" s="729"/>
      <c r="AU351" s="729"/>
      <c r="AV351" s="729"/>
      <c r="AW351" s="729"/>
    </row>
    <row r="352" spans="1:49" s="683" customFormat="1" ht="63.75" x14ac:dyDescent="0.2">
      <c r="A352" s="702" t="s">
        <v>509</v>
      </c>
      <c r="B352" s="728">
        <f t="shared" ref="B352:AB352" si="32">B19</f>
        <v>0.8165137614678899</v>
      </c>
      <c r="C352" s="728">
        <f t="shared" si="32"/>
        <v>0.83333333333333348</v>
      </c>
      <c r="D352" s="728">
        <f t="shared" si="32"/>
        <v>0.82474226804123707</v>
      </c>
      <c r="E352" s="728">
        <f t="shared" si="32"/>
        <v>0.80412371134020622</v>
      </c>
      <c r="F352" s="728">
        <f t="shared" si="32"/>
        <v>0.86274509803921573</v>
      </c>
      <c r="G352" s="728">
        <f t="shared" si="32"/>
        <v>0.90384615384615385</v>
      </c>
      <c r="H352" s="728">
        <f t="shared" si="32"/>
        <v>0.89075630252100846</v>
      </c>
      <c r="I352" s="728">
        <f t="shared" si="32"/>
        <v>0.8294573643410853</v>
      </c>
      <c r="J352" s="728">
        <f t="shared" si="32"/>
        <v>0.83495145631067957</v>
      </c>
      <c r="K352" s="728">
        <f t="shared" si="32"/>
        <v>0.86885245901639341</v>
      </c>
      <c r="L352" s="728">
        <f t="shared" si="32"/>
        <v>0.84745762711864403</v>
      </c>
      <c r="M352" s="728">
        <f t="shared" si="32"/>
        <v>0.87878787878787878</v>
      </c>
      <c r="N352" s="728">
        <f t="shared" si="32"/>
        <v>0.77900000000000003</v>
      </c>
      <c r="O352" s="728">
        <f t="shared" si="32"/>
        <v>0.75</v>
      </c>
      <c r="P352" s="728">
        <f t="shared" si="32"/>
        <v>0.84399999999999997</v>
      </c>
      <c r="Q352" s="728">
        <f t="shared" si="32"/>
        <v>0.82399999999999995</v>
      </c>
      <c r="R352" s="728">
        <f t="shared" si="32"/>
        <v>0.82758620689655171</v>
      </c>
      <c r="S352" s="728">
        <f t="shared" si="32"/>
        <v>0.78461538461538471</v>
      </c>
      <c r="T352" s="728">
        <f t="shared" si="32"/>
        <v>0.83333333333333348</v>
      </c>
      <c r="U352" s="728">
        <f t="shared" si="32"/>
        <v>0.80188679245283023</v>
      </c>
      <c r="V352" s="728">
        <f t="shared" si="32"/>
        <v>0.82978723404255317</v>
      </c>
      <c r="W352" s="728">
        <f t="shared" si="32"/>
        <v>0.87179487179487181</v>
      </c>
      <c r="X352" s="728">
        <f t="shared" si="32"/>
        <v>0.8</v>
      </c>
      <c r="Y352" s="728">
        <f t="shared" si="32"/>
        <v>0.90441176470588236</v>
      </c>
      <c r="Z352" s="728">
        <f t="shared" si="32"/>
        <v>0.796875</v>
      </c>
      <c r="AA352" s="728">
        <f t="shared" si="32"/>
        <v>0.875</v>
      </c>
      <c r="AB352" s="728">
        <f t="shared" si="32"/>
        <v>0.87969924812030076</v>
      </c>
      <c r="AC352" s="728"/>
      <c r="AD352" s="728"/>
      <c r="AE352" s="728"/>
      <c r="AF352" s="728"/>
      <c r="AG352" s="728"/>
      <c r="AH352" s="728"/>
      <c r="AI352" s="728"/>
      <c r="AJ352" s="728"/>
      <c r="AK352" s="728"/>
      <c r="AL352" s="728"/>
      <c r="AM352" s="728"/>
      <c r="AN352" s="728"/>
      <c r="AO352" s="728"/>
      <c r="AP352" s="728"/>
      <c r="AQ352" s="728"/>
      <c r="AR352" s="728"/>
      <c r="AS352" s="728"/>
      <c r="AT352" s="728"/>
      <c r="AU352" s="728"/>
      <c r="AV352" s="728"/>
      <c r="AW352" s="728"/>
    </row>
    <row r="353" spans="1:49" s="683" customFormat="1" ht="25.5" x14ac:dyDescent="0.2">
      <c r="A353" s="702" t="s">
        <v>489</v>
      </c>
      <c r="B353" s="729">
        <v>0.9</v>
      </c>
      <c r="C353" s="729">
        <v>0.9</v>
      </c>
      <c r="D353" s="729">
        <v>0.9</v>
      </c>
      <c r="E353" s="729">
        <v>0.9</v>
      </c>
      <c r="F353" s="729">
        <v>0.9</v>
      </c>
      <c r="G353" s="729">
        <v>0.9</v>
      </c>
      <c r="H353" s="729">
        <v>0.9</v>
      </c>
      <c r="I353" s="729">
        <v>0.9</v>
      </c>
      <c r="J353" s="729">
        <v>0.9</v>
      </c>
      <c r="K353" s="729">
        <v>0.9</v>
      </c>
      <c r="L353" s="729">
        <v>0.9</v>
      </c>
      <c r="M353" s="729">
        <v>0.9</v>
      </c>
      <c r="N353" s="729"/>
      <c r="O353" s="729"/>
      <c r="P353" s="729"/>
      <c r="Q353" s="729"/>
      <c r="R353" s="729"/>
      <c r="S353" s="729"/>
      <c r="T353" s="729"/>
      <c r="U353" s="729"/>
      <c r="V353" s="729"/>
      <c r="W353" s="729"/>
      <c r="X353" s="729"/>
      <c r="Y353" s="729"/>
      <c r="Z353" s="729"/>
      <c r="AA353" s="729"/>
      <c r="AB353" s="729"/>
      <c r="AC353" s="729"/>
      <c r="AD353" s="729"/>
      <c r="AE353" s="729"/>
      <c r="AF353" s="729"/>
      <c r="AG353" s="729"/>
      <c r="AH353" s="729"/>
      <c r="AI353" s="729"/>
      <c r="AJ353" s="729"/>
      <c r="AK353" s="729"/>
      <c r="AL353" s="729"/>
      <c r="AM353" s="729"/>
      <c r="AN353" s="729"/>
      <c r="AO353" s="729"/>
      <c r="AP353" s="729"/>
      <c r="AQ353" s="729"/>
      <c r="AR353" s="729"/>
      <c r="AS353" s="729"/>
      <c r="AT353" s="729"/>
      <c r="AU353" s="729"/>
      <c r="AV353" s="729"/>
      <c r="AW353" s="729"/>
    </row>
    <row r="354" spans="1:49" s="683" customFormat="1" ht="25.5" x14ac:dyDescent="0.2">
      <c r="A354" s="702" t="s">
        <v>586</v>
      </c>
      <c r="B354" s="729"/>
      <c r="C354" s="729"/>
      <c r="D354" s="729"/>
      <c r="E354" s="729"/>
      <c r="F354" s="729"/>
      <c r="G354" s="729"/>
      <c r="H354" s="729"/>
      <c r="I354" s="729"/>
      <c r="J354" s="729"/>
      <c r="K354" s="729"/>
      <c r="L354" s="729"/>
      <c r="M354" s="729"/>
      <c r="N354" s="729">
        <v>1</v>
      </c>
      <c r="O354" s="729">
        <v>1</v>
      </c>
      <c r="P354" s="729">
        <v>1</v>
      </c>
      <c r="Q354" s="729">
        <v>1</v>
      </c>
      <c r="R354" s="729">
        <v>1</v>
      </c>
      <c r="S354" s="729">
        <v>1</v>
      </c>
      <c r="T354" s="729">
        <v>1</v>
      </c>
      <c r="U354" s="729">
        <v>1</v>
      </c>
      <c r="V354" s="729">
        <v>1</v>
      </c>
      <c r="W354" s="729">
        <v>1</v>
      </c>
      <c r="X354" s="729">
        <v>1</v>
      </c>
      <c r="Y354" s="729">
        <v>1</v>
      </c>
      <c r="Z354" s="729">
        <v>1</v>
      </c>
      <c r="AA354" s="729">
        <v>1</v>
      </c>
      <c r="AB354" s="729">
        <v>1</v>
      </c>
      <c r="AC354" s="729">
        <v>1</v>
      </c>
      <c r="AD354" s="729">
        <v>1</v>
      </c>
      <c r="AE354" s="729">
        <v>1</v>
      </c>
      <c r="AF354" s="729">
        <v>1</v>
      </c>
      <c r="AG354" s="729">
        <v>1</v>
      </c>
      <c r="AH354" s="729">
        <v>1</v>
      </c>
      <c r="AI354" s="729">
        <v>1</v>
      </c>
      <c r="AJ354" s="729">
        <v>1</v>
      </c>
      <c r="AK354" s="729">
        <v>1</v>
      </c>
      <c r="AL354" s="729">
        <v>1</v>
      </c>
      <c r="AM354" s="729">
        <v>1</v>
      </c>
      <c r="AN354" s="729">
        <v>1</v>
      </c>
      <c r="AO354" s="729">
        <v>1</v>
      </c>
      <c r="AP354" s="729">
        <v>1</v>
      </c>
      <c r="AQ354" s="729">
        <v>1</v>
      </c>
      <c r="AR354" s="729">
        <v>1</v>
      </c>
      <c r="AS354" s="729">
        <v>1</v>
      </c>
      <c r="AT354" s="729">
        <v>1</v>
      </c>
      <c r="AU354" s="729">
        <v>1</v>
      </c>
      <c r="AV354" s="729">
        <v>1</v>
      </c>
      <c r="AW354" s="729">
        <v>1</v>
      </c>
    </row>
    <row r="355" spans="1:49" s="683" customFormat="1" x14ac:dyDescent="0.2">
      <c r="A355" s="702" t="s">
        <v>131</v>
      </c>
      <c r="B355" s="729"/>
      <c r="C355" s="729"/>
      <c r="D355" s="729"/>
      <c r="E355" s="729"/>
      <c r="F355" s="729"/>
      <c r="G355" s="729"/>
      <c r="H355" s="729"/>
      <c r="I355" s="729"/>
      <c r="J355" s="729"/>
      <c r="K355" s="729"/>
      <c r="L355" s="729"/>
      <c r="M355" s="729" t="s">
        <v>385</v>
      </c>
      <c r="N355" s="729">
        <f t="shared" ref="N355:X355" si="33">MEDIAN($N$352:$Y$352)</f>
        <v>0.82579310344827583</v>
      </c>
      <c r="O355" s="729">
        <f t="shared" si="33"/>
        <v>0.82579310344827583</v>
      </c>
      <c r="P355" s="729">
        <f t="shared" si="33"/>
        <v>0.82579310344827583</v>
      </c>
      <c r="Q355" s="729">
        <f t="shared" si="33"/>
        <v>0.82579310344827583</v>
      </c>
      <c r="R355" s="729">
        <f t="shared" si="33"/>
        <v>0.82579310344827583</v>
      </c>
      <c r="S355" s="729">
        <f t="shared" si="33"/>
        <v>0.82579310344827583</v>
      </c>
      <c r="T355" s="729">
        <f t="shared" si="33"/>
        <v>0.82579310344827583</v>
      </c>
      <c r="U355" s="729">
        <f t="shared" si="33"/>
        <v>0.82579310344827583</v>
      </c>
      <c r="V355" s="729">
        <f t="shared" si="33"/>
        <v>0.82579310344827583</v>
      </c>
      <c r="W355" s="729">
        <f t="shared" si="33"/>
        <v>0.82579310344827583</v>
      </c>
      <c r="X355" s="729">
        <f t="shared" si="33"/>
        <v>0.82579310344827583</v>
      </c>
      <c r="Y355" s="729">
        <f>MEDIAN($N$352:$Y$352)</f>
        <v>0.82579310344827583</v>
      </c>
      <c r="Z355" s="729"/>
      <c r="AA355" s="729"/>
      <c r="AB355" s="729"/>
      <c r="AC355" s="729"/>
      <c r="AD355" s="729"/>
      <c r="AE355" s="729"/>
      <c r="AF355" s="729"/>
      <c r="AG355" s="729"/>
      <c r="AH355" s="729"/>
      <c r="AI355" s="729"/>
      <c r="AJ355" s="729"/>
      <c r="AK355" s="729"/>
      <c r="AL355" s="729"/>
      <c r="AM355" s="729"/>
      <c r="AN355" s="729"/>
      <c r="AO355" s="729"/>
      <c r="AP355" s="729"/>
      <c r="AQ355" s="729"/>
      <c r="AR355" s="729"/>
      <c r="AS355" s="729"/>
      <c r="AT355" s="729"/>
      <c r="AU355" s="729"/>
      <c r="AV355" s="729"/>
      <c r="AW355" s="729"/>
    </row>
    <row r="356" spans="1:49" s="683" customFormat="1" x14ac:dyDescent="0.2">
      <c r="A356" s="702" t="s">
        <v>184</v>
      </c>
      <c r="B356" s="729"/>
      <c r="C356" s="729"/>
      <c r="D356" s="729"/>
      <c r="E356" s="729"/>
      <c r="F356" s="729"/>
      <c r="G356" s="729"/>
      <c r="H356" s="729"/>
      <c r="I356" s="729"/>
      <c r="J356" s="729"/>
      <c r="K356" s="729"/>
      <c r="L356" s="729"/>
      <c r="M356" s="729" t="s">
        <v>385</v>
      </c>
      <c r="N356" s="729" t="s">
        <v>385</v>
      </c>
      <c r="O356" s="729" t="s">
        <v>385</v>
      </c>
      <c r="P356" s="729" t="s">
        <v>385</v>
      </c>
      <c r="Q356" s="729" t="s">
        <v>385</v>
      </c>
      <c r="R356" s="729" t="s">
        <v>385</v>
      </c>
      <c r="S356" s="729" t="s">
        <v>385</v>
      </c>
      <c r="T356" s="729" t="s">
        <v>385</v>
      </c>
      <c r="U356" s="729" t="s">
        <v>385</v>
      </c>
      <c r="V356" s="729" t="s">
        <v>385</v>
      </c>
      <c r="W356" s="729" t="s">
        <v>385</v>
      </c>
      <c r="X356" s="729" t="s">
        <v>385</v>
      </c>
      <c r="Y356" s="729">
        <f>MEDIAN($N$352:$Y$352)</f>
        <v>0.82579310344827583</v>
      </c>
      <c r="Z356" s="729">
        <f t="shared" ref="Z356:AV356" si="34">MEDIAN($N$352:$Y$352)</f>
        <v>0.82579310344827583</v>
      </c>
      <c r="AA356" s="729">
        <f t="shared" si="34"/>
        <v>0.82579310344827583</v>
      </c>
      <c r="AB356" s="729">
        <f t="shared" si="34"/>
        <v>0.82579310344827583</v>
      </c>
      <c r="AC356" s="729">
        <f t="shared" si="34"/>
        <v>0.82579310344827583</v>
      </c>
      <c r="AD356" s="729">
        <f t="shared" si="34"/>
        <v>0.82579310344827583</v>
      </c>
      <c r="AE356" s="729">
        <f t="shared" si="34"/>
        <v>0.82579310344827583</v>
      </c>
      <c r="AF356" s="729">
        <f t="shared" si="34"/>
        <v>0.82579310344827583</v>
      </c>
      <c r="AG356" s="729">
        <f t="shared" si="34"/>
        <v>0.82579310344827583</v>
      </c>
      <c r="AH356" s="729">
        <f t="shared" si="34"/>
        <v>0.82579310344827583</v>
      </c>
      <c r="AI356" s="729">
        <f t="shared" si="34"/>
        <v>0.82579310344827583</v>
      </c>
      <c r="AJ356" s="729">
        <f t="shared" si="34"/>
        <v>0.82579310344827583</v>
      </c>
      <c r="AK356" s="729">
        <f t="shared" si="34"/>
        <v>0.82579310344827583</v>
      </c>
      <c r="AL356" s="729">
        <f t="shared" si="34"/>
        <v>0.82579310344827583</v>
      </c>
      <c r="AM356" s="729">
        <f t="shared" si="34"/>
        <v>0.82579310344827583</v>
      </c>
      <c r="AN356" s="729">
        <f t="shared" si="34"/>
        <v>0.82579310344827583</v>
      </c>
      <c r="AO356" s="729">
        <f t="shared" si="34"/>
        <v>0.82579310344827583</v>
      </c>
      <c r="AP356" s="729">
        <f t="shared" si="34"/>
        <v>0.82579310344827583</v>
      </c>
      <c r="AQ356" s="729">
        <f t="shared" si="34"/>
        <v>0.82579310344827583</v>
      </c>
      <c r="AR356" s="729">
        <f t="shared" si="34"/>
        <v>0.82579310344827583</v>
      </c>
      <c r="AS356" s="729">
        <f t="shared" si="34"/>
        <v>0.82579310344827583</v>
      </c>
      <c r="AT356" s="729">
        <f t="shared" si="34"/>
        <v>0.82579310344827583</v>
      </c>
      <c r="AU356" s="729">
        <f t="shared" si="34"/>
        <v>0.82579310344827583</v>
      </c>
      <c r="AV356" s="729">
        <f t="shared" si="34"/>
        <v>0.82579310344827583</v>
      </c>
      <c r="AW356" s="729">
        <f>MEDIAN($N$352:$Y$352)</f>
        <v>0.82579310344827583</v>
      </c>
    </row>
    <row r="357" spans="1:49" s="683" customFormat="1" x14ac:dyDescent="0.2">
      <c r="A357" s="702" t="s">
        <v>490</v>
      </c>
      <c r="B357" s="729"/>
      <c r="C357" s="729">
        <f>SUM(C352-B352)</f>
        <v>1.6819571865443583E-2</v>
      </c>
      <c r="D357" s="729">
        <f>SUM(D352-C352)*-1</f>
        <v>8.5910652920964115E-3</v>
      </c>
      <c r="E357" s="729">
        <f>SUM(E352-D352)*-1</f>
        <v>2.0618556701030855E-2</v>
      </c>
      <c r="F357" s="729">
        <f t="shared" ref="F357:W357" si="35">SUM(F352-E352)</f>
        <v>5.8621386699009514E-2</v>
      </c>
      <c r="G357" s="729">
        <f t="shared" si="35"/>
        <v>4.1101055806938125E-2</v>
      </c>
      <c r="H357" s="729">
        <f>SUM(H352-G352)*-1</f>
        <v>1.3089851325145396E-2</v>
      </c>
      <c r="I357" s="729">
        <f>SUM(I352-H352)*-1</f>
        <v>6.1298938179923157E-2</v>
      </c>
      <c r="J357" s="729">
        <f t="shared" si="35"/>
        <v>5.4940919695942725E-3</v>
      </c>
      <c r="K357" s="729">
        <f t="shared" si="35"/>
        <v>3.3901002705713834E-2</v>
      </c>
      <c r="L357" s="729">
        <f>SUM(L352-K352)*-1</f>
        <v>2.1394831897749378E-2</v>
      </c>
      <c r="M357" s="729">
        <f t="shared" si="35"/>
        <v>3.1330251669234754E-2</v>
      </c>
      <c r="N357" s="729">
        <f>SUM(N352-M352)*-1</f>
        <v>9.9787878787878759E-2</v>
      </c>
      <c r="O357" s="729">
        <f>SUM(O352-N352)*-1</f>
        <v>2.9000000000000026E-2</v>
      </c>
      <c r="P357" s="729">
        <f t="shared" si="35"/>
        <v>9.3999999999999972E-2</v>
      </c>
      <c r="Q357" s="729">
        <f>SUM(Q352-P352)*-1</f>
        <v>2.0000000000000018E-2</v>
      </c>
      <c r="R357" s="729">
        <f t="shared" si="35"/>
        <v>3.5862068965517579E-3</v>
      </c>
      <c r="S357" s="729">
        <f>SUM(S352-R352)*-1</f>
        <v>4.2970822281166998E-2</v>
      </c>
      <c r="T357" s="729">
        <f t="shared" si="35"/>
        <v>4.8717948717948767E-2</v>
      </c>
      <c r="U357" s="729">
        <f>SUM(U352-T352)*-1</f>
        <v>3.1446540880503249E-2</v>
      </c>
      <c r="V357" s="729">
        <f t="shared" si="35"/>
        <v>2.7900441589722935E-2</v>
      </c>
      <c r="W357" s="729">
        <f t="shared" si="35"/>
        <v>4.2007637752318638E-2</v>
      </c>
      <c r="X357" s="729">
        <f>SUM(X352-W352)*-1</f>
        <v>7.1794871794871762E-2</v>
      </c>
      <c r="Y357" s="729">
        <f>SUM(Y352-X352)</f>
        <v>0.10441176470588232</v>
      </c>
      <c r="Z357" s="729">
        <f>SUM(Z352-Y352)*-1</f>
        <v>0.10753676470588236</v>
      </c>
      <c r="AA357" s="729">
        <f>SUM(AA352-Z352)</f>
        <v>7.8125E-2</v>
      </c>
      <c r="AB357" s="729">
        <f>SUM(AB352-AA352)</f>
        <v>4.6992481203007586E-3</v>
      </c>
      <c r="AC357" s="729"/>
      <c r="AD357" s="729"/>
      <c r="AE357" s="729"/>
      <c r="AF357" s="729"/>
      <c r="AG357" s="729"/>
      <c r="AH357" s="729"/>
      <c r="AI357" s="729"/>
      <c r="AJ357" s="729"/>
      <c r="AK357" s="729"/>
      <c r="AL357" s="729"/>
      <c r="AM357" s="729"/>
      <c r="AN357" s="729"/>
      <c r="AO357" s="729"/>
      <c r="AP357" s="729"/>
      <c r="AQ357" s="729"/>
      <c r="AR357" s="729"/>
      <c r="AS357" s="729"/>
      <c r="AT357" s="729"/>
      <c r="AU357" s="729"/>
      <c r="AV357" s="729"/>
      <c r="AW357" s="729"/>
    </row>
    <row r="358" spans="1:49" s="683" customFormat="1" ht="21.75" x14ac:dyDescent="0.2">
      <c r="A358" s="703" t="s">
        <v>493</v>
      </c>
      <c r="B358" s="729"/>
      <c r="C358" s="729"/>
      <c r="D358" s="729"/>
      <c r="E358" s="729"/>
      <c r="F358" s="729"/>
      <c r="G358" s="729"/>
      <c r="H358" s="729"/>
      <c r="I358" s="729"/>
      <c r="J358" s="729"/>
      <c r="K358" s="729"/>
      <c r="L358" s="729"/>
      <c r="M358" s="729"/>
      <c r="N358" s="729"/>
      <c r="O358" s="729"/>
      <c r="P358" s="729"/>
      <c r="Q358" s="729"/>
      <c r="R358" s="729"/>
      <c r="S358" s="729"/>
      <c r="T358" s="729"/>
      <c r="U358" s="729"/>
      <c r="V358" s="729"/>
      <c r="W358" s="729"/>
      <c r="X358" s="729"/>
      <c r="Y358" s="729"/>
      <c r="Z358" s="729"/>
      <c r="AA358" s="729"/>
      <c r="AB358" s="729"/>
      <c r="AC358" s="729"/>
      <c r="AD358" s="729"/>
      <c r="AE358" s="729"/>
      <c r="AF358" s="729"/>
      <c r="AG358" s="729"/>
      <c r="AH358" s="729"/>
      <c r="AI358" s="729"/>
      <c r="AJ358" s="729"/>
      <c r="AK358" s="729"/>
      <c r="AL358" s="729"/>
      <c r="AM358" s="729"/>
      <c r="AN358" s="729"/>
      <c r="AO358" s="729"/>
      <c r="AP358" s="729"/>
      <c r="AQ358" s="729"/>
      <c r="AR358" s="729"/>
      <c r="AS358" s="729"/>
      <c r="AT358" s="729"/>
      <c r="AU358" s="729"/>
      <c r="AV358" s="729"/>
      <c r="AW358" s="729"/>
    </row>
    <row r="359" spans="1:49" s="683" customFormat="1" x14ac:dyDescent="0.2">
      <c r="A359" s="683" t="s">
        <v>492</v>
      </c>
      <c r="B359" s="729">
        <f t="shared" ref="B359:AW359" si="36">AVERAGE($B$352:$AW$352)</f>
        <v>0.83694656481946061</v>
      </c>
      <c r="C359" s="729">
        <f t="shared" si="36"/>
        <v>0.83694656481946061</v>
      </c>
      <c r="D359" s="729">
        <f t="shared" si="36"/>
        <v>0.83694656481946061</v>
      </c>
      <c r="E359" s="729">
        <f t="shared" si="36"/>
        <v>0.83694656481946061</v>
      </c>
      <c r="F359" s="729">
        <f t="shared" si="36"/>
        <v>0.83694656481946061</v>
      </c>
      <c r="G359" s="729">
        <f t="shared" si="36"/>
        <v>0.83694656481946061</v>
      </c>
      <c r="H359" s="729">
        <f t="shared" si="36"/>
        <v>0.83694656481946061</v>
      </c>
      <c r="I359" s="729">
        <f t="shared" si="36"/>
        <v>0.83694656481946061</v>
      </c>
      <c r="J359" s="729">
        <f t="shared" si="36"/>
        <v>0.83694656481946061</v>
      </c>
      <c r="K359" s="729">
        <f t="shared" si="36"/>
        <v>0.83694656481946061</v>
      </c>
      <c r="L359" s="729">
        <f t="shared" si="36"/>
        <v>0.83694656481946061</v>
      </c>
      <c r="M359" s="729">
        <f t="shared" si="36"/>
        <v>0.83694656481946061</v>
      </c>
      <c r="N359" s="729">
        <f t="shared" si="36"/>
        <v>0.83694656481946061</v>
      </c>
      <c r="O359" s="729">
        <f t="shared" si="36"/>
        <v>0.83694656481946061</v>
      </c>
      <c r="P359" s="729">
        <f t="shared" si="36"/>
        <v>0.83694656481946061</v>
      </c>
      <c r="Q359" s="729">
        <f t="shared" si="36"/>
        <v>0.83694656481946061</v>
      </c>
      <c r="R359" s="729">
        <f t="shared" si="36"/>
        <v>0.83694656481946061</v>
      </c>
      <c r="S359" s="729">
        <f t="shared" si="36"/>
        <v>0.83694656481946061</v>
      </c>
      <c r="T359" s="729">
        <f t="shared" si="36"/>
        <v>0.83694656481946061</v>
      </c>
      <c r="U359" s="729">
        <f t="shared" si="36"/>
        <v>0.83694656481946061</v>
      </c>
      <c r="V359" s="729">
        <f t="shared" si="36"/>
        <v>0.83694656481946061</v>
      </c>
      <c r="W359" s="729">
        <f t="shared" si="36"/>
        <v>0.83694656481946061</v>
      </c>
      <c r="X359" s="729">
        <f t="shared" si="36"/>
        <v>0.83694656481946061</v>
      </c>
      <c r="Y359" s="729">
        <f t="shared" si="36"/>
        <v>0.83694656481946061</v>
      </c>
      <c r="Z359" s="729">
        <f t="shared" si="36"/>
        <v>0.83694656481946061</v>
      </c>
      <c r="AA359" s="729">
        <f t="shared" si="36"/>
        <v>0.83694656481946061</v>
      </c>
      <c r="AB359" s="729">
        <f t="shared" si="36"/>
        <v>0.83694656481946061</v>
      </c>
      <c r="AC359" s="729">
        <f t="shared" si="36"/>
        <v>0.83694656481946061</v>
      </c>
      <c r="AD359" s="729">
        <f t="shared" si="36"/>
        <v>0.83694656481946061</v>
      </c>
      <c r="AE359" s="729">
        <f t="shared" si="36"/>
        <v>0.83694656481946061</v>
      </c>
      <c r="AF359" s="729">
        <f t="shared" si="36"/>
        <v>0.83694656481946061</v>
      </c>
      <c r="AG359" s="729">
        <f t="shared" si="36"/>
        <v>0.83694656481946061</v>
      </c>
      <c r="AH359" s="729">
        <f t="shared" si="36"/>
        <v>0.83694656481946061</v>
      </c>
      <c r="AI359" s="729">
        <f t="shared" si="36"/>
        <v>0.83694656481946061</v>
      </c>
      <c r="AJ359" s="729">
        <f t="shared" si="36"/>
        <v>0.83694656481946061</v>
      </c>
      <c r="AK359" s="729">
        <f t="shared" si="36"/>
        <v>0.83694656481946061</v>
      </c>
      <c r="AL359" s="729">
        <f t="shared" si="36"/>
        <v>0.83694656481946061</v>
      </c>
      <c r="AM359" s="729">
        <f t="shared" si="36"/>
        <v>0.83694656481946061</v>
      </c>
      <c r="AN359" s="729">
        <f t="shared" si="36"/>
        <v>0.83694656481946061</v>
      </c>
      <c r="AO359" s="729">
        <f t="shared" si="36"/>
        <v>0.83694656481946061</v>
      </c>
      <c r="AP359" s="729">
        <f t="shared" si="36"/>
        <v>0.83694656481946061</v>
      </c>
      <c r="AQ359" s="729">
        <f t="shared" si="36"/>
        <v>0.83694656481946061</v>
      </c>
      <c r="AR359" s="729">
        <f t="shared" si="36"/>
        <v>0.83694656481946061</v>
      </c>
      <c r="AS359" s="729">
        <f t="shared" si="36"/>
        <v>0.83694656481946061</v>
      </c>
      <c r="AT359" s="729">
        <f t="shared" si="36"/>
        <v>0.83694656481946061</v>
      </c>
      <c r="AU359" s="729">
        <f t="shared" si="36"/>
        <v>0.83694656481946061</v>
      </c>
      <c r="AV359" s="729">
        <f t="shared" si="36"/>
        <v>0.83694656481946061</v>
      </c>
      <c r="AW359" s="729">
        <f t="shared" si="36"/>
        <v>0.83694656481946061</v>
      </c>
    </row>
    <row r="360" spans="1:49" s="683" customFormat="1" x14ac:dyDescent="0.2">
      <c r="A360" s="702" t="s">
        <v>491</v>
      </c>
      <c r="B360" s="729" t="s">
        <v>385</v>
      </c>
      <c r="C360" s="729">
        <f t="shared" ref="C360:AW360" si="37">SUM($C$357:$AW$357)/22</f>
        <v>5.0829351379313985E-2</v>
      </c>
      <c r="D360" s="729">
        <f t="shared" si="37"/>
        <v>5.0829351379313985E-2</v>
      </c>
      <c r="E360" s="729">
        <f t="shared" si="37"/>
        <v>5.0829351379313985E-2</v>
      </c>
      <c r="F360" s="729">
        <f t="shared" si="37"/>
        <v>5.0829351379313985E-2</v>
      </c>
      <c r="G360" s="729">
        <f t="shared" si="37"/>
        <v>5.0829351379313985E-2</v>
      </c>
      <c r="H360" s="729">
        <f t="shared" si="37"/>
        <v>5.0829351379313985E-2</v>
      </c>
      <c r="I360" s="729">
        <f t="shared" si="37"/>
        <v>5.0829351379313985E-2</v>
      </c>
      <c r="J360" s="729">
        <f t="shared" si="37"/>
        <v>5.0829351379313985E-2</v>
      </c>
      <c r="K360" s="729">
        <f t="shared" si="37"/>
        <v>5.0829351379313985E-2</v>
      </c>
      <c r="L360" s="729">
        <f t="shared" si="37"/>
        <v>5.0829351379313985E-2</v>
      </c>
      <c r="M360" s="729">
        <f t="shared" si="37"/>
        <v>5.0829351379313985E-2</v>
      </c>
      <c r="N360" s="729">
        <f t="shared" si="37"/>
        <v>5.0829351379313985E-2</v>
      </c>
      <c r="O360" s="729">
        <f t="shared" si="37"/>
        <v>5.0829351379313985E-2</v>
      </c>
      <c r="P360" s="729">
        <f t="shared" si="37"/>
        <v>5.0829351379313985E-2</v>
      </c>
      <c r="Q360" s="729">
        <f t="shared" si="37"/>
        <v>5.0829351379313985E-2</v>
      </c>
      <c r="R360" s="729">
        <f t="shared" si="37"/>
        <v>5.0829351379313985E-2</v>
      </c>
      <c r="S360" s="729">
        <f t="shared" si="37"/>
        <v>5.0829351379313985E-2</v>
      </c>
      <c r="T360" s="729">
        <f t="shared" si="37"/>
        <v>5.0829351379313985E-2</v>
      </c>
      <c r="U360" s="729">
        <f t="shared" si="37"/>
        <v>5.0829351379313985E-2</v>
      </c>
      <c r="V360" s="729">
        <f t="shared" si="37"/>
        <v>5.0829351379313985E-2</v>
      </c>
      <c r="W360" s="729">
        <f t="shared" si="37"/>
        <v>5.0829351379313985E-2</v>
      </c>
      <c r="X360" s="729">
        <f t="shared" si="37"/>
        <v>5.0829351379313985E-2</v>
      </c>
      <c r="Y360" s="729">
        <f t="shared" si="37"/>
        <v>5.0829351379313985E-2</v>
      </c>
      <c r="Z360" s="729">
        <f t="shared" si="37"/>
        <v>5.0829351379313985E-2</v>
      </c>
      <c r="AA360" s="729">
        <f t="shared" si="37"/>
        <v>5.0829351379313985E-2</v>
      </c>
      <c r="AB360" s="729">
        <f t="shared" si="37"/>
        <v>5.0829351379313985E-2</v>
      </c>
      <c r="AC360" s="729">
        <f t="shared" si="37"/>
        <v>5.0829351379313985E-2</v>
      </c>
      <c r="AD360" s="729">
        <f t="shared" si="37"/>
        <v>5.0829351379313985E-2</v>
      </c>
      <c r="AE360" s="729">
        <f t="shared" si="37"/>
        <v>5.0829351379313985E-2</v>
      </c>
      <c r="AF360" s="729">
        <f t="shared" si="37"/>
        <v>5.0829351379313985E-2</v>
      </c>
      <c r="AG360" s="729">
        <f t="shared" si="37"/>
        <v>5.0829351379313985E-2</v>
      </c>
      <c r="AH360" s="729">
        <f t="shared" si="37"/>
        <v>5.0829351379313985E-2</v>
      </c>
      <c r="AI360" s="729">
        <f t="shared" si="37"/>
        <v>5.0829351379313985E-2</v>
      </c>
      <c r="AJ360" s="729">
        <f t="shared" si="37"/>
        <v>5.0829351379313985E-2</v>
      </c>
      <c r="AK360" s="729">
        <f t="shared" si="37"/>
        <v>5.0829351379313985E-2</v>
      </c>
      <c r="AL360" s="729">
        <f t="shared" si="37"/>
        <v>5.0829351379313985E-2</v>
      </c>
      <c r="AM360" s="729">
        <f t="shared" si="37"/>
        <v>5.0829351379313985E-2</v>
      </c>
      <c r="AN360" s="729">
        <f t="shared" si="37"/>
        <v>5.0829351379313985E-2</v>
      </c>
      <c r="AO360" s="729">
        <f t="shared" si="37"/>
        <v>5.0829351379313985E-2</v>
      </c>
      <c r="AP360" s="729">
        <f t="shared" si="37"/>
        <v>5.0829351379313985E-2</v>
      </c>
      <c r="AQ360" s="729">
        <f t="shared" si="37"/>
        <v>5.0829351379313985E-2</v>
      </c>
      <c r="AR360" s="729">
        <f t="shared" si="37"/>
        <v>5.0829351379313985E-2</v>
      </c>
      <c r="AS360" s="729">
        <f t="shared" si="37"/>
        <v>5.0829351379313985E-2</v>
      </c>
      <c r="AT360" s="729">
        <f t="shared" si="37"/>
        <v>5.0829351379313985E-2</v>
      </c>
      <c r="AU360" s="729">
        <f t="shared" si="37"/>
        <v>5.0829351379313985E-2</v>
      </c>
      <c r="AV360" s="729">
        <f t="shared" si="37"/>
        <v>5.0829351379313985E-2</v>
      </c>
      <c r="AW360" s="729">
        <f t="shared" si="37"/>
        <v>5.0829351379313985E-2</v>
      </c>
    </row>
    <row r="361" spans="1:49" s="683" customFormat="1" ht="25.5" x14ac:dyDescent="0.2">
      <c r="A361" s="702" t="s">
        <v>494</v>
      </c>
      <c r="B361" s="729" t="s">
        <v>385</v>
      </c>
      <c r="C361" s="729">
        <f t="shared" ref="C361:AW361" si="38">$C$360/1.128</f>
        <v>4.5061481719249993E-2</v>
      </c>
      <c r="D361" s="729">
        <f t="shared" si="38"/>
        <v>4.5061481719249993E-2</v>
      </c>
      <c r="E361" s="729">
        <f t="shared" si="38"/>
        <v>4.5061481719249993E-2</v>
      </c>
      <c r="F361" s="729">
        <f t="shared" si="38"/>
        <v>4.5061481719249993E-2</v>
      </c>
      <c r="G361" s="729">
        <f t="shared" si="38"/>
        <v>4.5061481719249993E-2</v>
      </c>
      <c r="H361" s="729">
        <f t="shared" si="38"/>
        <v>4.5061481719249993E-2</v>
      </c>
      <c r="I361" s="729">
        <f t="shared" si="38"/>
        <v>4.5061481719249993E-2</v>
      </c>
      <c r="J361" s="729">
        <f t="shared" si="38"/>
        <v>4.5061481719249993E-2</v>
      </c>
      <c r="K361" s="729">
        <f t="shared" si="38"/>
        <v>4.5061481719249993E-2</v>
      </c>
      <c r="L361" s="729">
        <f t="shared" si="38"/>
        <v>4.5061481719249993E-2</v>
      </c>
      <c r="M361" s="729">
        <f t="shared" si="38"/>
        <v>4.5061481719249993E-2</v>
      </c>
      <c r="N361" s="729">
        <f t="shared" si="38"/>
        <v>4.5061481719249993E-2</v>
      </c>
      <c r="O361" s="729">
        <f t="shared" si="38"/>
        <v>4.5061481719249993E-2</v>
      </c>
      <c r="P361" s="729">
        <f t="shared" si="38"/>
        <v>4.5061481719249993E-2</v>
      </c>
      <c r="Q361" s="729">
        <f t="shared" si="38"/>
        <v>4.5061481719249993E-2</v>
      </c>
      <c r="R361" s="729">
        <f t="shared" si="38"/>
        <v>4.5061481719249993E-2</v>
      </c>
      <c r="S361" s="729">
        <f t="shared" si="38"/>
        <v>4.5061481719249993E-2</v>
      </c>
      <c r="T361" s="729">
        <f t="shared" si="38"/>
        <v>4.5061481719249993E-2</v>
      </c>
      <c r="U361" s="729">
        <f t="shared" si="38"/>
        <v>4.5061481719249993E-2</v>
      </c>
      <c r="V361" s="729">
        <f t="shared" si="38"/>
        <v>4.5061481719249993E-2</v>
      </c>
      <c r="W361" s="729">
        <f t="shared" si="38"/>
        <v>4.5061481719249993E-2</v>
      </c>
      <c r="X361" s="729">
        <f t="shared" si="38"/>
        <v>4.5061481719249993E-2</v>
      </c>
      <c r="Y361" s="729">
        <f t="shared" si="38"/>
        <v>4.5061481719249993E-2</v>
      </c>
      <c r="Z361" s="729">
        <f t="shared" si="38"/>
        <v>4.5061481719249993E-2</v>
      </c>
      <c r="AA361" s="729">
        <f t="shared" si="38"/>
        <v>4.5061481719249993E-2</v>
      </c>
      <c r="AB361" s="729">
        <f t="shared" si="38"/>
        <v>4.5061481719249993E-2</v>
      </c>
      <c r="AC361" s="729">
        <f t="shared" si="38"/>
        <v>4.5061481719249993E-2</v>
      </c>
      <c r="AD361" s="729">
        <f t="shared" si="38"/>
        <v>4.5061481719249993E-2</v>
      </c>
      <c r="AE361" s="729">
        <f t="shared" si="38"/>
        <v>4.5061481719249993E-2</v>
      </c>
      <c r="AF361" s="729">
        <f t="shared" si="38"/>
        <v>4.5061481719249993E-2</v>
      </c>
      <c r="AG361" s="729">
        <f t="shared" si="38"/>
        <v>4.5061481719249993E-2</v>
      </c>
      <c r="AH361" s="729">
        <f t="shared" si="38"/>
        <v>4.5061481719249993E-2</v>
      </c>
      <c r="AI361" s="729">
        <f t="shared" si="38"/>
        <v>4.5061481719249993E-2</v>
      </c>
      <c r="AJ361" s="729">
        <f t="shared" si="38"/>
        <v>4.5061481719249993E-2</v>
      </c>
      <c r="AK361" s="729">
        <f t="shared" si="38"/>
        <v>4.5061481719249993E-2</v>
      </c>
      <c r="AL361" s="729">
        <f t="shared" si="38"/>
        <v>4.5061481719249993E-2</v>
      </c>
      <c r="AM361" s="729">
        <f t="shared" si="38"/>
        <v>4.5061481719249993E-2</v>
      </c>
      <c r="AN361" s="729">
        <f t="shared" si="38"/>
        <v>4.5061481719249993E-2</v>
      </c>
      <c r="AO361" s="729">
        <f t="shared" si="38"/>
        <v>4.5061481719249993E-2</v>
      </c>
      <c r="AP361" s="729">
        <f t="shared" si="38"/>
        <v>4.5061481719249993E-2</v>
      </c>
      <c r="AQ361" s="729">
        <f t="shared" si="38"/>
        <v>4.5061481719249993E-2</v>
      </c>
      <c r="AR361" s="729">
        <f t="shared" si="38"/>
        <v>4.5061481719249993E-2</v>
      </c>
      <c r="AS361" s="729">
        <f t="shared" si="38"/>
        <v>4.5061481719249993E-2</v>
      </c>
      <c r="AT361" s="729">
        <f t="shared" si="38"/>
        <v>4.5061481719249993E-2</v>
      </c>
      <c r="AU361" s="729">
        <f t="shared" si="38"/>
        <v>4.5061481719249993E-2</v>
      </c>
      <c r="AV361" s="729">
        <f t="shared" si="38"/>
        <v>4.5061481719249993E-2</v>
      </c>
      <c r="AW361" s="729">
        <f t="shared" si="38"/>
        <v>4.5061481719249993E-2</v>
      </c>
    </row>
    <row r="362" spans="1:49" s="683" customFormat="1" x14ac:dyDescent="0.2">
      <c r="A362" s="702" t="s">
        <v>497</v>
      </c>
      <c r="B362" s="729">
        <f t="shared" ref="B362:AW362" si="39">SUM($C$359+(3*$C$361))</f>
        <v>0.97213100997721058</v>
      </c>
      <c r="C362" s="729">
        <f t="shared" si="39"/>
        <v>0.97213100997721058</v>
      </c>
      <c r="D362" s="729">
        <f t="shared" si="39"/>
        <v>0.97213100997721058</v>
      </c>
      <c r="E362" s="729">
        <f t="shared" si="39"/>
        <v>0.97213100997721058</v>
      </c>
      <c r="F362" s="729">
        <f t="shared" si="39"/>
        <v>0.97213100997721058</v>
      </c>
      <c r="G362" s="729">
        <f t="shared" si="39"/>
        <v>0.97213100997721058</v>
      </c>
      <c r="H362" s="729">
        <f t="shared" si="39"/>
        <v>0.97213100997721058</v>
      </c>
      <c r="I362" s="729">
        <f t="shared" si="39"/>
        <v>0.97213100997721058</v>
      </c>
      <c r="J362" s="729">
        <f t="shared" si="39"/>
        <v>0.97213100997721058</v>
      </c>
      <c r="K362" s="729">
        <f t="shared" si="39"/>
        <v>0.97213100997721058</v>
      </c>
      <c r="L362" s="729">
        <f t="shared" si="39"/>
        <v>0.97213100997721058</v>
      </c>
      <c r="M362" s="729">
        <f t="shared" si="39"/>
        <v>0.97213100997721058</v>
      </c>
      <c r="N362" s="729">
        <f t="shared" si="39"/>
        <v>0.97213100997721058</v>
      </c>
      <c r="O362" s="729">
        <f t="shared" si="39"/>
        <v>0.97213100997721058</v>
      </c>
      <c r="P362" s="729">
        <f t="shared" si="39"/>
        <v>0.97213100997721058</v>
      </c>
      <c r="Q362" s="729">
        <f t="shared" si="39"/>
        <v>0.97213100997721058</v>
      </c>
      <c r="R362" s="729">
        <f t="shared" si="39"/>
        <v>0.97213100997721058</v>
      </c>
      <c r="S362" s="729">
        <f t="shared" si="39"/>
        <v>0.97213100997721058</v>
      </c>
      <c r="T362" s="729">
        <f t="shared" si="39"/>
        <v>0.97213100997721058</v>
      </c>
      <c r="U362" s="729">
        <f t="shared" si="39"/>
        <v>0.97213100997721058</v>
      </c>
      <c r="V362" s="729">
        <f t="shared" si="39"/>
        <v>0.97213100997721058</v>
      </c>
      <c r="W362" s="729">
        <f t="shared" si="39"/>
        <v>0.97213100997721058</v>
      </c>
      <c r="X362" s="729">
        <f t="shared" si="39"/>
        <v>0.97213100997721058</v>
      </c>
      <c r="Y362" s="729">
        <f t="shared" si="39"/>
        <v>0.97213100997721058</v>
      </c>
      <c r="Z362" s="729">
        <f t="shared" si="39"/>
        <v>0.97213100997721058</v>
      </c>
      <c r="AA362" s="729">
        <f t="shared" si="39"/>
        <v>0.97213100997721058</v>
      </c>
      <c r="AB362" s="729">
        <f t="shared" si="39"/>
        <v>0.97213100997721058</v>
      </c>
      <c r="AC362" s="729">
        <f t="shared" si="39"/>
        <v>0.97213100997721058</v>
      </c>
      <c r="AD362" s="729">
        <f t="shared" si="39"/>
        <v>0.97213100997721058</v>
      </c>
      <c r="AE362" s="729">
        <f t="shared" si="39"/>
        <v>0.97213100997721058</v>
      </c>
      <c r="AF362" s="729">
        <f t="shared" si="39"/>
        <v>0.97213100997721058</v>
      </c>
      <c r="AG362" s="729">
        <f t="shared" si="39"/>
        <v>0.97213100997721058</v>
      </c>
      <c r="AH362" s="729">
        <f t="shared" si="39"/>
        <v>0.97213100997721058</v>
      </c>
      <c r="AI362" s="729">
        <f t="shared" si="39"/>
        <v>0.97213100997721058</v>
      </c>
      <c r="AJ362" s="729">
        <f t="shared" si="39"/>
        <v>0.97213100997721058</v>
      </c>
      <c r="AK362" s="729">
        <f t="shared" si="39"/>
        <v>0.97213100997721058</v>
      </c>
      <c r="AL362" s="729">
        <f t="shared" si="39"/>
        <v>0.97213100997721058</v>
      </c>
      <c r="AM362" s="729">
        <f t="shared" si="39"/>
        <v>0.97213100997721058</v>
      </c>
      <c r="AN362" s="729">
        <f t="shared" si="39"/>
        <v>0.97213100997721058</v>
      </c>
      <c r="AO362" s="729">
        <f t="shared" si="39"/>
        <v>0.97213100997721058</v>
      </c>
      <c r="AP362" s="729">
        <f t="shared" si="39"/>
        <v>0.97213100997721058</v>
      </c>
      <c r="AQ362" s="729">
        <f t="shared" si="39"/>
        <v>0.97213100997721058</v>
      </c>
      <c r="AR362" s="729">
        <f t="shared" si="39"/>
        <v>0.97213100997721058</v>
      </c>
      <c r="AS362" s="729">
        <f t="shared" si="39"/>
        <v>0.97213100997721058</v>
      </c>
      <c r="AT362" s="729">
        <f t="shared" si="39"/>
        <v>0.97213100997721058</v>
      </c>
      <c r="AU362" s="729">
        <f t="shared" si="39"/>
        <v>0.97213100997721058</v>
      </c>
      <c r="AV362" s="729">
        <f t="shared" si="39"/>
        <v>0.97213100997721058</v>
      </c>
      <c r="AW362" s="729">
        <f t="shared" si="39"/>
        <v>0.97213100997721058</v>
      </c>
    </row>
    <row r="363" spans="1:49" s="683" customFormat="1" x14ac:dyDescent="0.2">
      <c r="A363" s="702" t="s">
        <v>499</v>
      </c>
      <c r="B363" s="729">
        <f t="shared" ref="B363:AW363" si="40">SUM($C$359-(3*$C$361))</f>
        <v>0.70176211966171065</v>
      </c>
      <c r="C363" s="729">
        <f t="shared" si="40"/>
        <v>0.70176211966171065</v>
      </c>
      <c r="D363" s="729">
        <f t="shared" si="40"/>
        <v>0.70176211966171065</v>
      </c>
      <c r="E363" s="729">
        <f t="shared" si="40"/>
        <v>0.70176211966171065</v>
      </c>
      <c r="F363" s="729">
        <f t="shared" si="40"/>
        <v>0.70176211966171065</v>
      </c>
      <c r="G363" s="729">
        <f t="shared" si="40"/>
        <v>0.70176211966171065</v>
      </c>
      <c r="H363" s="729">
        <f t="shared" si="40"/>
        <v>0.70176211966171065</v>
      </c>
      <c r="I363" s="729">
        <f t="shared" si="40"/>
        <v>0.70176211966171065</v>
      </c>
      <c r="J363" s="729">
        <f t="shared" si="40"/>
        <v>0.70176211966171065</v>
      </c>
      <c r="K363" s="729">
        <f t="shared" si="40"/>
        <v>0.70176211966171065</v>
      </c>
      <c r="L363" s="729">
        <f t="shared" si="40"/>
        <v>0.70176211966171065</v>
      </c>
      <c r="M363" s="729">
        <f t="shared" si="40"/>
        <v>0.70176211966171065</v>
      </c>
      <c r="N363" s="729">
        <f t="shared" si="40"/>
        <v>0.70176211966171065</v>
      </c>
      <c r="O363" s="729">
        <f t="shared" si="40"/>
        <v>0.70176211966171065</v>
      </c>
      <c r="P363" s="729">
        <f t="shared" si="40"/>
        <v>0.70176211966171065</v>
      </c>
      <c r="Q363" s="729">
        <f t="shared" si="40"/>
        <v>0.70176211966171065</v>
      </c>
      <c r="R363" s="729">
        <f t="shared" si="40"/>
        <v>0.70176211966171065</v>
      </c>
      <c r="S363" s="729">
        <f t="shared" si="40"/>
        <v>0.70176211966171065</v>
      </c>
      <c r="T363" s="729">
        <f t="shared" si="40"/>
        <v>0.70176211966171065</v>
      </c>
      <c r="U363" s="729">
        <f t="shared" si="40"/>
        <v>0.70176211966171065</v>
      </c>
      <c r="V363" s="729">
        <f t="shared" si="40"/>
        <v>0.70176211966171065</v>
      </c>
      <c r="W363" s="729">
        <f t="shared" si="40"/>
        <v>0.70176211966171065</v>
      </c>
      <c r="X363" s="729">
        <f t="shared" si="40"/>
        <v>0.70176211966171065</v>
      </c>
      <c r="Y363" s="729">
        <f t="shared" si="40"/>
        <v>0.70176211966171065</v>
      </c>
      <c r="Z363" s="729">
        <f t="shared" si="40"/>
        <v>0.70176211966171065</v>
      </c>
      <c r="AA363" s="729">
        <f t="shared" si="40"/>
        <v>0.70176211966171065</v>
      </c>
      <c r="AB363" s="729">
        <f t="shared" si="40"/>
        <v>0.70176211966171065</v>
      </c>
      <c r="AC363" s="729">
        <f t="shared" si="40"/>
        <v>0.70176211966171065</v>
      </c>
      <c r="AD363" s="729">
        <f t="shared" si="40"/>
        <v>0.70176211966171065</v>
      </c>
      <c r="AE363" s="729">
        <f t="shared" si="40"/>
        <v>0.70176211966171065</v>
      </c>
      <c r="AF363" s="729">
        <f t="shared" si="40"/>
        <v>0.70176211966171065</v>
      </c>
      <c r="AG363" s="729">
        <f t="shared" si="40"/>
        <v>0.70176211966171065</v>
      </c>
      <c r="AH363" s="729">
        <f t="shared" si="40"/>
        <v>0.70176211966171065</v>
      </c>
      <c r="AI363" s="729">
        <f t="shared" si="40"/>
        <v>0.70176211966171065</v>
      </c>
      <c r="AJ363" s="729">
        <f t="shared" si="40"/>
        <v>0.70176211966171065</v>
      </c>
      <c r="AK363" s="729">
        <f t="shared" si="40"/>
        <v>0.70176211966171065</v>
      </c>
      <c r="AL363" s="729">
        <f t="shared" si="40"/>
        <v>0.70176211966171065</v>
      </c>
      <c r="AM363" s="729">
        <f t="shared" si="40"/>
        <v>0.70176211966171065</v>
      </c>
      <c r="AN363" s="729">
        <f t="shared" si="40"/>
        <v>0.70176211966171065</v>
      </c>
      <c r="AO363" s="729">
        <f t="shared" si="40"/>
        <v>0.70176211966171065</v>
      </c>
      <c r="AP363" s="729">
        <f t="shared" si="40"/>
        <v>0.70176211966171065</v>
      </c>
      <c r="AQ363" s="729">
        <f t="shared" si="40"/>
        <v>0.70176211966171065</v>
      </c>
      <c r="AR363" s="729">
        <f t="shared" si="40"/>
        <v>0.70176211966171065</v>
      </c>
      <c r="AS363" s="729">
        <f t="shared" si="40"/>
        <v>0.70176211966171065</v>
      </c>
      <c r="AT363" s="729">
        <f t="shared" si="40"/>
        <v>0.70176211966171065</v>
      </c>
      <c r="AU363" s="729">
        <f t="shared" si="40"/>
        <v>0.70176211966171065</v>
      </c>
      <c r="AV363" s="729">
        <f t="shared" si="40"/>
        <v>0.70176211966171065</v>
      </c>
      <c r="AW363" s="729">
        <f t="shared" si="40"/>
        <v>0.70176211966171065</v>
      </c>
    </row>
    <row r="364" spans="1:49" s="683" customFormat="1" ht="51" x14ac:dyDescent="0.2">
      <c r="A364" s="702" t="s">
        <v>508</v>
      </c>
      <c r="B364" s="689">
        <v>89</v>
      </c>
      <c r="C364" s="689">
        <v>105</v>
      </c>
      <c r="D364" s="689">
        <v>80</v>
      </c>
      <c r="E364" s="689">
        <v>78</v>
      </c>
      <c r="F364" s="689">
        <v>88</v>
      </c>
      <c r="G364" s="689">
        <v>94</v>
      </c>
      <c r="H364" s="689">
        <v>106</v>
      </c>
      <c r="I364" s="689">
        <v>107</v>
      </c>
      <c r="J364" s="689">
        <v>86</v>
      </c>
      <c r="K364" s="689">
        <v>106</v>
      </c>
      <c r="L364" s="689">
        <v>100</v>
      </c>
      <c r="M364" s="689">
        <v>87</v>
      </c>
      <c r="N364" s="689">
        <v>102</v>
      </c>
      <c r="O364" s="689">
        <v>93</v>
      </c>
      <c r="P364" s="689">
        <v>103</v>
      </c>
      <c r="Q364" s="689">
        <v>103</v>
      </c>
      <c r="R364" s="689">
        <v>96</v>
      </c>
      <c r="S364" s="689">
        <v>102</v>
      </c>
      <c r="T364" s="689">
        <v>105</v>
      </c>
      <c r="U364" s="689">
        <v>85</v>
      </c>
      <c r="V364" s="689">
        <v>117</v>
      </c>
      <c r="W364" s="689">
        <v>102</v>
      </c>
      <c r="X364" s="689">
        <v>80</v>
      </c>
      <c r="Y364" s="689">
        <v>123</v>
      </c>
      <c r="Z364" s="689">
        <v>102</v>
      </c>
      <c r="AA364" s="689">
        <v>119</v>
      </c>
      <c r="AB364" s="689">
        <v>117</v>
      </c>
      <c r="AC364" s="689"/>
      <c r="AD364" s="689"/>
      <c r="AE364" s="689"/>
      <c r="AF364" s="689"/>
      <c r="AG364" s="689"/>
      <c r="AH364" s="689"/>
      <c r="AI364" s="689"/>
      <c r="AJ364" s="689"/>
      <c r="AK364" s="689"/>
      <c r="AL364" s="689"/>
      <c r="AM364" s="689"/>
      <c r="AN364" s="689"/>
      <c r="AO364" s="689"/>
      <c r="AP364" s="689"/>
      <c r="AQ364" s="689"/>
      <c r="AR364" s="689"/>
      <c r="AS364" s="689"/>
      <c r="AT364" s="689"/>
      <c r="AU364" s="689"/>
      <c r="AV364" s="689"/>
      <c r="AW364" s="689"/>
    </row>
    <row r="365" spans="1:49" s="683" customFormat="1" x14ac:dyDescent="0.2">
      <c r="A365" s="702" t="s">
        <v>131</v>
      </c>
      <c r="B365" s="689" t="s">
        <v>243</v>
      </c>
      <c r="C365" s="689" t="s">
        <v>243</v>
      </c>
      <c r="D365" s="689" t="s">
        <v>243</v>
      </c>
      <c r="E365" s="689" t="s">
        <v>243</v>
      </c>
      <c r="F365" s="689" t="s">
        <v>243</v>
      </c>
      <c r="G365" s="689" t="s">
        <v>243</v>
      </c>
      <c r="H365" s="689" t="s">
        <v>243</v>
      </c>
      <c r="I365" s="689" t="s">
        <v>243</v>
      </c>
      <c r="J365" s="689" t="s">
        <v>243</v>
      </c>
      <c r="K365" s="689" t="s">
        <v>243</v>
      </c>
      <c r="L365" s="689" t="s">
        <v>243</v>
      </c>
      <c r="M365" s="689" t="s">
        <v>243</v>
      </c>
      <c r="N365" s="689">
        <f t="shared" ref="N365:Y365" si="41">MEDIAN($N$364:$Y$364)</f>
        <v>102</v>
      </c>
      <c r="O365" s="689">
        <f t="shared" si="41"/>
        <v>102</v>
      </c>
      <c r="P365" s="689">
        <f t="shared" si="41"/>
        <v>102</v>
      </c>
      <c r="Q365" s="689">
        <f t="shared" si="41"/>
        <v>102</v>
      </c>
      <c r="R365" s="689">
        <f t="shared" si="41"/>
        <v>102</v>
      </c>
      <c r="S365" s="689">
        <f t="shared" si="41"/>
        <v>102</v>
      </c>
      <c r="T365" s="689">
        <f t="shared" si="41"/>
        <v>102</v>
      </c>
      <c r="U365" s="689">
        <f t="shared" si="41"/>
        <v>102</v>
      </c>
      <c r="V365" s="689">
        <f t="shared" si="41"/>
        <v>102</v>
      </c>
      <c r="W365" s="689">
        <f t="shared" si="41"/>
        <v>102</v>
      </c>
      <c r="X365" s="689">
        <f t="shared" si="41"/>
        <v>102</v>
      </c>
      <c r="Y365" s="689">
        <f t="shared" si="41"/>
        <v>102</v>
      </c>
      <c r="Z365" s="689"/>
      <c r="AA365" s="689"/>
      <c r="AB365" s="689"/>
      <c r="AC365" s="689"/>
      <c r="AD365" s="689"/>
      <c r="AE365" s="689"/>
      <c r="AF365" s="689"/>
      <c r="AG365" s="689"/>
      <c r="AH365" s="689"/>
      <c r="AI365" s="689"/>
      <c r="AJ365" s="689"/>
      <c r="AK365" s="689"/>
      <c r="AL365" s="689"/>
      <c r="AM365" s="689"/>
      <c r="AN365" s="689"/>
      <c r="AO365" s="689"/>
      <c r="AP365" s="689"/>
      <c r="AQ365" s="689"/>
      <c r="AR365" s="689"/>
      <c r="AS365" s="689"/>
      <c r="AT365" s="689"/>
      <c r="AU365" s="689"/>
      <c r="AV365" s="689"/>
      <c r="AW365" s="689"/>
    </row>
    <row r="366" spans="1:49" s="683" customFormat="1" x14ac:dyDescent="0.2">
      <c r="A366" s="702" t="s">
        <v>184</v>
      </c>
      <c r="B366" s="689"/>
      <c r="C366" s="689"/>
      <c r="D366" s="689"/>
      <c r="E366" s="689"/>
      <c r="F366" s="689"/>
      <c r="G366" s="689"/>
      <c r="H366" s="689"/>
      <c r="I366" s="689"/>
      <c r="J366" s="689"/>
      <c r="K366" s="689"/>
      <c r="L366" s="689"/>
      <c r="M366" s="689"/>
      <c r="N366" s="689"/>
      <c r="O366" s="689"/>
      <c r="P366" s="689"/>
      <c r="Q366" s="689"/>
      <c r="R366" s="689"/>
      <c r="S366" s="689"/>
      <c r="T366" s="689"/>
      <c r="U366" s="689"/>
      <c r="V366" s="689"/>
      <c r="W366" s="689"/>
      <c r="X366" s="689"/>
      <c r="Y366" s="689">
        <f t="shared" ref="Y366:AW366" si="42">MEDIAN($N$364:$Y$364)</f>
        <v>102</v>
      </c>
      <c r="Z366" s="689">
        <f t="shared" si="42"/>
        <v>102</v>
      </c>
      <c r="AA366" s="689">
        <f t="shared" si="42"/>
        <v>102</v>
      </c>
      <c r="AB366" s="689">
        <f t="shared" si="42"/>
        <v>102</v>
      </c>
      <c r="AC366" s="689">
        <f t="shared" si="42"/>
        <v>102</v>
      </c>
      <c r="AD366" s="689">
        <f t="shared" si="42"/>
        <v>102</v>
      </c>
      <c r="AE366" s="689">
        <f t="shared" si="42"/>
        <v>102</v>
      </c>
      <c r="AF366" s="689">
        <f t="shared" si="42"/>
        <v>102</v>
      </c>
      <c r="AG366" s="689">
        <f t="shared" si="42"/>
        <v>102</v>
      </c>
      <c r="AH366" s="689">
        <f t="shared" si="42"/>
        <v>102</v>
      </c>
      <c r="AI366" s="689">
        <f t="shared" si="42"/>
        <v>102</v>
      </c>
      <c r="AJ366" s="689">
        <f t="shared" si="42"/>
        <v>102</v>
      </c>
      <c r="AK366" s="689">
        <f t="shared" si="42"/>
        <v>102</v>
      </c>
      <c r="AL366" s="689">
        <f t="shared" si="42"/>
        <v>102</v>
      </c>
      <c r="AM366" s="689">
        <f t="shared" si="42"/>
        <v>102</v>
      </c>
      <c r="AN366" s="689">
        <f t="shared" si="42"/>
        <v>102</v>
      </c>
      <c r="AO366" s="689">
        <f t="shared" si="42"/>
        <v>102</v>
      </c>
      <c r="AP366" s="689">
        <f t="shared" si="42"/>
        <v>102</v>
      </c>
      <c r="AQ366" s="689">
        <f t="shared" si="42"/>
        <v>102</v>
      </c>
      <c r="AR366" s="689">
        <f t="shared" si="42"/>
        <v>102</v>
      </c>
      <c r="AS366" s="689">
        <f t="shared" si="42"/>
        <v>102</v>
      </c>
      <c r="AT366" s="689">
        <f t="shared" si="42"/>
        <v>102</v>
      </c>
      <c r="AU366" s="689">
        <f t="shared" si="42"/>
        <v>102</v>
      </c>
      <c r="AV366" s="689">
        <f t="shared" si="42"/>
        <v>102</v>
      </c>
      <c r="AW366" s="689">
        <f t="shared" si="42"/>
        <v>102</v>
      </c>
    </row>
    <row r="367" spans="1:49" s="683" customFormat="1" x14ac:dyDescent="0.2">
      <c r="A367" s="702" t="s">
        <v>490</v>
      </c>
      <c r="B367" s="689"/>
      <c r="C367" s="689">
        <f>SUM(C364-B364)</f>
        <v>16</v>
      </c>
      <c r="D367" s="689">
        <f>SUM(D364-C364)*-1</f>
        <v>25</v>
      </c>
      <c r="E367" s="689">
        <f>SUM(E364-D364)*-1</f>
        <v>2</v>
      </c>
      <c r="F367" s="689">
        <f t="shared" ref="F367:V367" si="43">SUM(F364-E364)</f>
        <v>10</v>
      </c>
      <c r="G367" s="689">
        <f t="shared" si="43"/>
        <v>6</v>
      </c>
      <c r="H367" s="689">
        <f t="shared" si="43"/>
        <v>12</v>
      </c>
      <c r="I367" s="689">
        <f t="shared" si="43"/>
        <v>1</v>
      </c>
      <c r="J367" s="689">
        <f>SUM(J364-I364)*-1</f>
        <v>21</v>
      </c>
      <c r="K367" s="689">
        <f t="shared" si="43"/>
        <v>20</v>
      </c>
      <c r="L367" s="689">
        <f>SUM(L364-K364)*-1</f>
        <v>6</v>
      </c>
      <c r="M367" s="689">
        <f>SUM(M364-L364)*-1</f>
        <v>13</v>
      </c>
      <c r="N367" s="689">
        <f t="shared" si="43"/>
        <v>15</v>
      </c>
      <c r="O367" s="689">
        <f>SUM(O364-N364)*-1</f>
        <v>9</v>
      </c>
      <c r="P367" s="689">
        <f t="shared" si="43"/>
        <v>10</v>
      </c>
      <c r="Q367" s="689">
        <f t="shared" si="43"/>
        <v>0</v>
      </c>
      <c r="R367" s="689">
        <f>SUM(R364-Q364)*-1</f>
        <v>7</v>
      </c>
      <c r="S367" s="689">
        <f t="shared" si="43"/>
        <v>6</v>
      </c>
      <c r="T367" s="689">
        <f t="shared" si="43"/>
        <v>3</v>
      </c>
      <c r="U367" s="689">
        <f>SUM(U364-T364)*-1</f>
        <v>20</v>
      </c>
      <c r="V367" s="689">
        <f t="shared" si="43"/>
        <v>32</v>
      </c>
      <c r="W367" s="689">
        <f>SUM(W364-V364)*-1</f>
        <v>15</v>
      </c>
      <c r="X367" s="689">
        <f>SUM(X364-W364)*-1</f>
        <v>22</v>
      </c>
      <c r="Y367" s="689">
        <f>SUM(Y364-X364)</f>
        <v>43</v>
      </c>
      <c r="Z367" s="689">
        <f>SUM(Z364-Y364)*-1</f>
        <v>21</v>
      </c>
      <c r="AA367" s="689">
        <f>SUM(AA364-Z364)</f>
        <v>17</v>
      </c>
      <c r="AB367" s="689">
        <f>SUM(AB364-AA364)*-1</f>
        <v>2</v>
      </c>
      <c r="AC367" s="689"/>
      <c r="AD367" s="689"/>
      <c r="AE367" s="689"/>
      <c r="AF367" s="689"/>
      <c r="AG367" s="689"/>
      <c r="AH367" s="689"/>
      <c r="AI367" s="689"/>
      <c r="AJ367" s="689"/>
      <c r="AK367" s="689"/>
      <c r="AL367" s="689"/>
      <c r="AM367" s="689"/>
      <c r="AN367" s="689"/>
      <c r="AO367" s="689"/>
      <c r="AP367" s="689"/>
      <c r="AQ367" s="689"/>
      <c r="AR367" s="689"/>
      <c r="AS367" s="689"/>
      <c r="AT367" s="689"/>
      <c r="AU367" s="689"/>
      <c r="AV367" s="689"/>
      <c r="AW367" s="689"/>
    </row>
    <row r="368" spans="1:49" s="683" customFormat="1" ht="21.75" x14ac:dyDescent="0.2">
      <c r="A368" s="703" t="s">
        <v>493</v>
      </c>
      <c r="B368" s="689"/>
      <c r="C368" s="689"/>
      <c r="D368" s="689"/>
      <c r="E368" s="689"/>
      <c r="F368" s="689"/>
      <c r="G368" s="689"/>
      <c r="H368" s="689"/>
      <c r="I368" s="689"/>
      <c r="J368" s="689"/>
      <c r="K368" s="689"/>
      <c r="L368" s="689"/>
      <c r="M368" s="689"/>
      <c r="N368" s="689"/>
      <c r="O368" s="689"/>
      <c r="P368" s="689"/>
      <c r="Q368" s="689"/>
      <c r="R368" s="689"/>
      <c r="S368" s="689"/>
      <c r="T368" s="689"/>
      <c r="U368" s="689"/>
      <c r="V368" s="689"/>
      <c r="W368" s="689"/>
      <c r="X368" s="689"/>
      <c r="Y368" s="689"/>
      <c r="Z368" s="689"/>
      <c r="AA368" s="689"/>
      <c r="AB368" s="689"/>
      <c r="AC368" s="689"/>
      <c r="AD368" s="689"/>
      <c r="AE368" s="689"/>
      <c r="AF368" s="689"/>
      <c r="AG368" s="689"/>
      <c r="AH368" s="689"/>
      <c r="AI368" s="689"/>
      <c r="AJ368" s="689"/>
      <c r="AK368" s="689"/>
      <c r="AL368" s="689"/>
      <c r="AM368" s="689"/>
      <c r="AN368" s="689"/>
      <c r="AO368" s="689"/>
      <c r="AP368" s="689"/>
      <c r="AQ368" s="689"/>
      <c r="AR368" s="689"/>
      <c r="AS368" s="689"/>
      <c r="AT368" s="689"/>
      <c r="AU368" s="689"/>
      <c r="AV368" s="689"/>
      <c r="AW368" s="689"/>
    </row>
    <row r="369" spans="1:49" s="683" customFormat="1" x14ac:dyDescent="0.2">
      <c r="A369" s="683" t="s">
        <v>492</v>
      </c>
      <c r="B369" s="689">
        <f t="shared" ref="B369:AW369" si="44">AVERAGE($B$364:$AW$364)</f>
        <v>99.074074074074076</v>
      </c>
      <c r="C369" s="689">
        <f t="shared" si="44"/>
        <v>99.074074074074076</v>
      </c>
      <c r="D369" s="689">
        <f t="shared" si="44"/>
        <v>99.074074074074076</v>
      </c>
      <c r="E369" s="689">
        <f t="shared" si="44"/>
        <v>99.074074074074076</v>
      </c>
      <c r="F369" s="689">
        <f t="shared" si="44"/>
        <v>99.074074074074076</v>
      </c>
      <c r="G369" s="689">
        <f t="shared" si="44"/>
        <v>99.074074074074076</v>
      </c>
      <c r="H369" s="689">
        <f t="shared" si="44"/>
        <v>99.074074074074076</v>
      </c>
      <c r="I369" s="689">
        <f t="shared" si="44"/>
        <v>99.074074074074076</v>
      </c>
      <c r="J369" s="689">
        <f t="shared" si="44"/>
        <v>99.074074074074076</v>
      </c>
      <c r="K369" s="689">
        <f t="shared" si="44"/>
        <v>99.074074074074076</v>
      </c>
      <c r="L369" s="689">
        <f t="shared" si="44"/>
        <v>99.074074074074076</v>
      </c>
      <c r="M369" s="689">
        <f t="shared" si="44"/>
        <v>99.074074074074076</v>
      </c>
      <c r="N369" s="689">
        <f t="shared" si="44"/>
        <v>99.074074074074076</v>
      </c>
      <c r="O369" s="689">
        <f t="shared" si="44"/>
        <v>99.074074074074076</v>
      </c>
      <c r="P369" s="689">
        <f t="shared" si="44"/>
        <v>99.074074074074076</v>
      </c>
      <c r="Q369" s="689">
        <f t="shared" si="44"/>
        <v>99.074074074074076</v>
      </c>
      <c r="R369" s="689">
        <f t="shared" si="44"/>
        <v>99.074074074074076</v>
      </c>
      <c r="S369" s="689">
        <f t="shared" si="44"/>
        <v>99.074074074074076</v>
      </c>
      <c r="T369" s="689">
        <f t="shared" si="44"/>
        <v>99.074074074074076</v>
      </c>
      <c r="U369" s="689">
        <f t="shared" si="44"/>
        <v>99.074074074074076</v>
      </c>
      <c r="V369" s="689">
        <f t="shared" si="44"/>
        <v>99.074074074074076</v>
      </c>
      <c r="W369" s="689">
        <f t="shared" si="44"/>
        <v>99.074074074074076</v>
      </c>
      <c r="X369" s="689">
        <f t="shared" si="44"/>
        <v>99.074074074074076</v>
      </c>
      <c r="Y369" s="689">
        <f t="shared" si="44"/>
        <v>99.074074074074076</v>
      </c>
      <c r="Z369" s="689">
        <f t="shared" si="44"/>
        <v>99.074074074074076</v>
      </c>
      <c r="AA369" s="689">
        <f t="shared" si="44"/>
        <v>99.074074074074076</v>
      </c>
      <c r="AB369" s="689">
        <f t="shared" si="44"/>
        <v>99.074074074074076</v>
      </c>
      <c r="AC369" s="689">
        <f t="shared" si="44"/>
        <v>99.074074074074076</v>
      </c>
      <c r="AD369" s="689">
        <f t="shared" si="44"/>
        <v>99.074074074074076</v>
      </c>
      <c r="AE369" s="689">
        <f t="shared" si="44"/>
        <v>99.074074074074076</v>
      </c>
      <c r="AF369" s="689">
        <f t="shared" si="44"/>
        <v>99.074074074074076</v>
      </c>
      <c r="AG369" s="689">
        <f t="shared" si="44"/>
        <v>99.074074074074076</v>
      </c>
      <c r="AH369" s="689">
        <f t="shared" si="44"/>
        <v>99.074074074074076</v>
      </c>
      <c r="AI369" s="689">
        <f t="shared" si="44"/>
        <v>99.074074074074076</v>
      </c>
      <c r="AJ369" s="689">
        <f t="shared" si="44"/>
        <v>99.074074074074076</v>
      </c>
      <c r="AK369" s="689">
        <f t="shared" si="44"/>
        <v>99.074074074074076</v>
      </c>
      <c r="AL369" s="689">
        <f t="shared" si="44"/>
        <v>99.074074074074076</v>
      </c>
      <c r="AM369" s="689">
        <f t="shared" si="44"/>
        <v>99.074074074074076</v>
      </c>
      <c r="AN369" s="689">
        <f t="shared" si="44"/>
        <v>99.074074074074076</v>
      </c>
      <c r="AO369" s="689">
        <f t="shared" si="44"/>
        <v>99.074074074074076</v>
      </c>
      <c r="AP369" s="689">
        <f t="shared" si="44"/>
        <v>99.074074074074076</v>
      </c>
      <c r="AQ369" s="689">
        <f t="shared" si="44"/>
        <v>99.074074074074076</v>
      </c>
      <c r="AR369" s="689">
        <f t="shared" si="44"/>
        <v>99.074074074074076</v>
      </c>
      <c r="AS369" s="689">
        <f t="shared" si="44"/>
        <v>99.074074074074076</v>
      </c>
      <c r="AT369" s="689">
        <f t="shared" si="44"/>
        <v>99.074074074074076</v>
      </c>
      <c r="AU369" s="689">
        <f t="shared" si="44"/>
        <v>99.074074074074076</v>
      </c>
      <c r="AV369" s="689">
        <f t="shared" si="44"/>
        <v>99.074074074074076</v>
      </c>
      <c r="AW369" s="689">
        <f t="shared" si="44"/>
        <v>99.074074074074076</v>
      </c>
    </row>
    <row r="370" spans="1:49" s="683" customFormat="1" x14ac:dyDescent="0.2">
      <c r="A370" s="702" t="s">
        <v>491</v>
      </c>
      <c r="B370" s="689">
        <f t="shared" ref="B370:AW370" si="45">SUM($C$367:$AW$367)/22</f>
        <v>16.09090909090909</v>
      </c>
      <c r="C370" s="689">
        <f t="shared" si="45"/>
        <v>16.09090909090909</v>
      </c>
      <c r="D370" s="689">
        <f t="shared" si="45"/>
        <v>16.09090909090909</v>
      </c>
      <c r="E370" s="689">
        <f t="shared" si="45"/>
        <v>16.09090909090909</v>
      </c>
      <c r="F370" s="689">
        <f t="shared" si="45"/>
        <v>16.09090909090909</v>
      </c>
      <c r="G370" s="689">
        <f t="shared" si="45"/>
        <v>16.09090909090909</v>
      </c>
      <c r="H370" s="689">
        <f t="shared" si="45"/>
        <v>16.09090909090909</v>
      </c>
      <c r="I370" s="689">
        <f t="shared" si="45"/>
        <v>16.09090909090909</v>
      </c>
      <c r="J370" s="689">
        <f t="shared" si="45"/>
        <v>16.09090909090909</v>
      </c>
      <c r="K370" s="689">
        <f t="shared" si="45"/>
        <v>16.09090909090909</v>
      </c>
      <c r="L370" s="689">
        <f t="shared" si="45"/>
        <v>16.09090909090909</v>
      </c>
      <c r="M370" s="689">
        <f t="shared" si="45"/>
        <v>16.09090909090909</v>
      </c>
      <c r="N370" s="689">
        <f t="shared" si="45"/>
        <v>16.09090909090909</v>
      </c>
      <c r="O370" s="689">
        <f t="shared" si="45"/>
        <v>16.09090909090909</v>
      </c>
      <c r="P370" s="689">
        <f t="shared" si="45"/>
        <v>16.09090909090909</v>
      </c>
      <c r="Q370" s="689">
        <f t="shared" si="45"/>
        <v>16.09090909090909</v>
      </c>
      <c r="R370" s="689">
        <f t="shared" si="45"/>
        <v>16.09090909090909</v>
      </c>
      <c r="S370" s="689">
        <f t="shared" si="45"/>
        <v>16.09090909090909</v>
      </c>
      <c r="T370" s="689">
        <f t="shared" si="45"/>
        <v>16.09090909090909</v>
      </c>
      <c r="U370" s="689">
        <f t="shared" si="45"/>
        <v>16.09090909090909</v>
      </c>
      <c r="V370" s="689">
        <f t="shared" si="45"/>
        <v>16.09090909090909</v>
      </c>
      <c r="W370" s="689">
        <f t="shared" si="45"/>
        <v>16.09090909090909</v>
      </c>
      <c r="X370" s="689">
        <f t="shared" si="45"/>
        <v>16.09090909090909</v>
      </c>
      <c r="Y370" s="689">
        <f t="shared" si="45"/>
        <v>16.09090909090909</v>
      </c>
      <c r="Z370" s="689">
        <f t="shared" si="45"/>
        <v>16.09090909090909</v>
      </c>
      <c r="AA370" s="689">
        <f t="shared" si="45"/>
        <v>16.09090909090909</v>
      </c>
      <c r="AB370" s="689">
        <f t="shared" si="45"/>
        <v>16.09090909090909</v>
      </c>
      <c r="AC370" s="689">
        <f t="shared" si="45"/>
        <v>16.09090909090909</v>
      </c>
      <c r="AD370" s="689">
        <f t="shared" si="45"/>
        <v>16.09090909090909</v>
      </c>
      <c r="AE370" s="689">
        <f t="shared" si="45"/>
        <v>16.09090909090909</v>
      </c>
      <c r="AF370" s="689">
        <f t="shared" si="45"/>
        <v>16.09090909090909</v>
      </c>
      <c r="AG370" s="689">
        <f t="shared" si="45"/>
        <v>16.09090909090909</v>
      </c>
      <c r="AH370" s="689">
        <f t="shared" si="45"/>
        <v>16.09090909090909</v>
      </c>
      <c r="AI370" s="689">
        <f t="shared" si="45"/>
        <v>16.09090909090909</v>
      </c>
      <c r="AJ370" s="689">
        <f t="shared" si="45"/>
        <v>16.09090909090909</v>
      </c>
      <c r="AK370" s="689">
        <f t="shared" si="45"/>
        <v>16.09090909090909</v>
      </c>
      <c r="AL370" s="689">
        <f t="shared" si="45"/>
        <v>16.09090909090909</v>
      </c>
      <c r="AM370" s="689">
        <f t="shared" si="45"/>
        <v>16.09090909090909</v>
      </c>
      <c r="AN370" s="689">
        <f t="shared" si="45"/>
        <v>16.09090909090909</v>
      </c>
      <c r="AO370" s="689">
        <f t="shared" si="45"/>
        <v>16.09090909090909</v>
      </c>
      <c r="AP370" s="689">
        <f t="shared" si="45"/>
        <v>16.09090909090909</v>
      </c>
      <c r="AQ370" s="689">
        <f t="shared" si="45"/>
        <v>16.09090909090909</v>
      </c>
      <c r="AR370" s="689">
        <f t="shared" si="45"/>
        <v>16.09090909090909</v>
      </c>
      <c r="AS370" s="689">
        <f t="shared" si="45"/>
        <v>16.09090909090909</v>
      </c>
      <c r="AT370" s="689">
        <f t="shared" si="45"/>
        <v>16.09090909090909</v>
      </c>
      <c r="AU370" s="689">
        <f t="shared" si="45"/>
        <v>16.09090909090909</v>
      </c>
      <c r="AV370" s="689">
        <f t="shared" si="45"/>
        <v>16.09090909090909</v>
      </c>
      <c r="AW370" s="689">
        <f t="shared" si="45"/>
        <v>16.09090909090909</v>
      </c>
    </row>
    <row r="371" spans="1:49" s="683" customFormat="1" ht="25.5" x14ac:dyDescent="0.2">
      <c r="A371" s="702" t="s">
        <v>494</v>
      </c>
      <c r="B371" s="689">
        <f t="shared" ref="B371:AW371" si="46">SUM($B$370)/1.128</f>
        <v>14.264990328820117</v>
      </c>
      <c r="C371" s="689">
        <f t="shared" si="46"/>
        <v>14.264990328820117</v>
      </c>
      <c r="D371" s="689">
        <f t="shared" si="46"/>
        <v>14.264990328820117</v>
      </c>
      <c r="E371" s="689">
        <f t="shared" si="46"/>
        <v>14.264990328820117</v>
      </c>
      <c r="F371" s="689">
        <f t="shared" si="46"/>
        <v>14.264990328820117</v>
      </c>
      <c r="G371" s="689">
        <f t="shared" si="46"/>
        <v>14.264990328820117</v>
      </c>
      <c r="H371" s="689">
        <f t="shared" si="46"/>
        <v>14.264990328820117</v>
      </c>
      <c r="I371" s="689">
        <f t="shared" si="46"/>
        <v>14.264990328820117</v>
      </c>
      <c r="J371" s="689">
        <f t="shared" si="46"/>
        <v>14.264990328820117</v>
      </c>
      <c r="K371" s="689">
        <f t="shared" si="46"/>
        <v>14.264990328820117</v>
      </c>
      <c r="L371" s="689">
        <f t="shared" si="46"/>
        <v>14.264990328820117</v>
      </c>
      <c r="M371" s="689">
        <f t="shared" si="46"/>
        <v>14.264990328820117</v>
      </c>
      <c r="N371" s="689">
        <f t="shared" si="46"/>
        <v>14.264990328820117</v>
      </c>
      <c r="O371" s="689">
        <f t="shared" si="46"/>
        <v>14.264990328820117</v>
      </c>
      <c r="P371" s="689">
        <f t="shared" si="46"/>
        <v>14.264990328820117</v>
      </c>
      <c r="Q371" s="689">
        <f t="shared" si="46"/>
        <v>14.264990328820117</v>
      </c>
      <c r="R371" s="689">
        <f t="shared" si="46"/>
        <v>14.264990328820117</v>
      </c>
      <c r="S371" s="689">
        <f t="shared" si="46"/>
        <v>14.264990328820117</v>
      </c>
      <c r="T371" s="689">
        <f t="shared" si="46"/>
        <v>14.264990328820117</v>
      </c>
      <c r="U371" s="689">
        <f t="shared" si="46"/>
        <v>14.264990328820117</v>
      </c>
      <c r="V371" s="689">
        <f t="shared" si="46"/>
        <v>14.264990328820117</v>
      </c>
      <c r="W371" s="689">
        <f t="shared" si="46"/>
        <v>14.264990328820117</v>
      </c>
      <c r="X371" s="689">
        <f t="shared" si="46"/>
        <v>14.264990328820117</v>
      </c>
      <c r="Y371" s="689">
        <f t="shared" si="46"/>
        <v>14.264990328820117</v>
      </c>
      <c r="Z371" s="689">
        <f t="shared" si="46"/>
        <v>14.264990328820117</v>
      </c>
      <c r="AA371" s="689">
        <f t="shared" si="46"/>
        <v>14.264990328820117</v>
      </c>
      <c r="AB371" s="689">
        <f t="shared" si="46"/>
        <v>14.264990328820117</v>
      </c>
      <c r="AC371" s="689">
        <f t="shared" si="46"/>
        <v>14.264990328820117</v>
      </c>
      <c r="AD371" s="689">
        <f t="shared" si="46"/>
        <v>14.264990328820117</v>
      </c>
      <c r="AE371" s="689">
        <f t="shared" si="46"/>
        <v>14.264990328820117</v>
      </c>
      <c r="AF371" s="689">
        <f t="shared" si="46"/>
        <v>14.264990328820117</v>
      </c>
      <c r="AG371" s="689">
        <f t="shared" si="46"/>
        <v>14.264990328820117</v>
      </c>
      <c r="AH371" s="689">
        <f t="shared" si="46"/>
        <v>14.264990328820117</v>
      </c>
      <c r="AI371" s="689">
        <f t="shared" si="46"/>
        <v>14.264990328820117</v>
      </c>
      <c r="AJ371" s="689">
        <f t="shared" si="46"/>
        <v>14.264990328820117</v>
      </c>
      <c r="AK371" s="689">
        <f t="shared" si="46"/>
        <v>14.264990328820117</v>
      </c>
      <c r="AL371" s="689">
        <f t="shared" si="46"/>
        <v>14.264990328820117</v>
      </c>
      <c r="AM371" s="689">
        <f t="shared" si="46"/>
        <v>14.264990328820117</v>
      </c>
      <c r="AN371" s="689">
        <f t="shared" si="46"/>
        <v>14.264990328820117</v>
      </c>
      <c r="AO371" s="689">
        <f t="shared" si="46"/>
        <v>14.264990328820117</v>
      </c>
      <c r="AP371" s="689">
        <f t="shared" si="46"/>
        <v>14.264990328820117</v>
      </c>
      <c r="AQ371" s="689">
        <f t="shared" si="46"/>
        <v>14.264990328820117</v>
      </c>
      <c r="AR371" s="689">
        <f t="shared" si="46"/>
        <v>14.264990328820117</v>
      </c>
      <c r="AS371" s="689">
        <f t="shared" si="46"/>
        <v>14.264990328820117</v>
      </c>
      <c r="AT371" s="689">
        <f t="shared" si="46"/>
        <v>14.264990328820117</v>
      </c>
      <c r="AU371" s="689">
        <f t="shared" si="46"/>
        <v>14.264990328820117</v>
      </c>
      <c r="AV371" s="689">
        <f t="shared" si="46"/>
        <v>14.264990328820117</v>
      </c>
      <c r="AW371" s="689">
        <f t="shared" si="46"/>
        <v>14.264990328820117</v>
      </c>
    </row>
    <row r="372" spans="1:49" s="683" customFormat="1" x14ac:dyDescent="0.2">
      <c r="A372" s="702" t="s">
        <v>497</v>
      </c>
      <c r="B372" s="689">
        <f t="shared" ref="B372:AW372" si="47">$B$369 + (3*$B$371)</f>
        <v>141.86904506053443</v>
      </c>
      <c r="C372" s="689">
        <f t="shared" si="47"/>
        <v>141.86904506053443</v>
      </c>
      <c r="D372" s="689">
        <f t="shared" si="47"/>
        <v>141.86904506053443</v>
      </c>
      <c r="E372" s="689">
        <f t="shared" si="47"/>
        <v>141.86904506053443</v>
      </c>
      <c r="F372" s="689">
        <f t="shared" si="47"/>
        <v>141.86904506053443</v>
      </c>
      <c r="G372" s="689">
        <f t="shared" si="47"/>
        <v>141.86904506053443</v>
      </c>
      <c r="H372" s="689">
        <f t="shared" si="47"/>
        <v>141.86904506053443</v>
      </c>
      <c r="I372" s="689">
        <f t="shared" si="47"/>
        <v>141.86904506053443</v>
      </c>
      <c r="J372" s="689">
        <f t="shared" si="47"/>
        <v>141.86904506053443</v>
      </c>
      <c r="K372" s="689">
        <f t="shared" si="47"/>
        <v>141.86904506053443</v>
      </c>
      <c r="L372" s="689">
        <f t="shared" si="47"/>
        <v>141.86904506053443</v>
      </c>
      <c r="M372" s="689">
        <f t="shared" si="47"/>
        <v>141.86904506053443</v>
      </c>
      <c r="N372" s="689">
        <f t="shared" si="47"/>
        <v>141.86904506053443</v>
      </c>
      <c r="O372" s="689">
        <f t="shared" si="47"/>
        <v>141.86904506053443</v>
      </c>
      <c r="P372" s="689">
        <f t="shared" si="47"/>
        <v>141.86904506053443</v>
      </c>
      <c r="Q372" s="689">
        <f t="shared" si="47"/>
        <v>141.86904506053443</v>
      </c>
      <c r="R372" s="689">
        <f t="shared" si="47"/>
        <v>141.86904506053443</v>
      </c>
      <c r="S372" s="689">
        <f t="shared" si="47"/>
        <v>141.86904506053443</v>
      </c>
      <c r="T372" s="689">
        <f t="shared" si="47"/>
        <v>141.86904506053443</v>
      </c>
      <c r="U372" s="689">
        <f t="shared" si="47"/>
        <v>141.86904506053443</v>
      </c>
      <c r="V372" s="689">
        <f t="shared" si="47"/>
        <v>141.86904506053443</v>
      </c>
      <c r="W372" s="689">
        <f t="shared" si="47"/>
        <v>141.86904506053443</v>
      </c>
      <c r="X372" s="689">
        <f t="shared" si="47"/>
        <v>141.86904506053443</v>
      </c>
      <c r="Y372" s="689">
        <f t="shared" si="47"/>
        <v>141.86904506053443</v>
      </c>
      <c r="Z372" s="689">
        <f t="shared" si="47"/>
        <v>141.86904506053443</v>
      </c>
      <c r="AA372" s="689">
        <f t="shared" si="47"/>
        <v>141.86904506053443</v>
      </c>
      <c r="AB372" s="689">
        <f t="shared" si="47"/>
        <v>141.86904506053443</v>
      </c>
      <c r="AC372" s="689">
        <f t="shared" si="47"/>
        <v>141.86904506053443</v>
      </c>
      <c r="AD372" s="689">
        <f t="shared" si="47"/>
        <v>141.86904506053443</v>
      </c>
      <c r="AE372" s="689">
        <f t="shared" si="47"/>
        <v>141.86904506053443</v>
      </c>
      <c r="AF372" s="689">
        <f t="shared" si="47"/>
        <v>141.86904506053443</v>
      </c>
      <c r="AG372" s="689">
        <f t="shared" si="47"/>
        <v>141.86904506053443</v>
      </c>
      <c r="AH372" s="689">
        <f t="shared" si="47"/>
        <v>141.86904506053443</v>
      </c>
      <c r="AI372" s="689">
        <f t="shared" si="47"/>
        <v>141.86904506053443</v>
      </c>
      <c r="AJ372" s="689">
        <f t="shared" si="47"/>
        <v>141.86904506053443</v>
      </c>
      <c r="AK372" s="689">
        <f t="shared" si="47"/>
        <v>141.86904506053443</v>
      </c>
      <c r="AL372" s="689">
        <f t="shared" si="47"/>
        <v>141.86904506053443</v>
      </c>
      <c r="AM372" s="689">
        <f t="shared" si="47"/>
        <v>141.86904506053443</v>
      </c>
      <c r="AN372" s="689">
        <f t="shared" si="47"/>
        <v>141.86904506053443</v>
      </c>
      <c r="AO372" s="689">
        <f t="shared" si="47"/>
        <v>141.86904506053443</v>
      </c>
      <c r="AP372" s="689">
        <f t="shared" si="47"/>
        <v>141.86904506053443</v>
      </c>
      <c r="AQ372" s="689">
        <f t="shared" si="47"/>
        <v>141.86904506053443</v>
      </c>
      <c r="AR372" s="689">
        <f t="shared" si="47"/>
        <v>141.86904506053443</v>
      </c>
      <c r="AS372" s="689">
        <f t="shared" si="47"/>
        <v>141.86904506053443</v>
      </c>
      <c r="AT372" s="689">
        <f t="shared" si="47"/>
        <v>141.86904506053443</v>
      </c>
      <c r="AU372" s="689">
        <f t="shared" si="47"/>
        <v>141.86904506053443</v>
      </c>
      <c r="AV372" s="689">
        <f t="shared" si="47"/>
        <v>141.86904506053443</v>
      </c>
      <c r="AW372" s="689">
        <f t="shared" si="47"/>
        <v>141.86904506053443</v>
      </c>
    </row>
    <row r="373" spans="1:49" s="683" customFormat="1" x14ac:dyDescent="0.2">
      <c r="A373" s="702" t="s">
        <v>499</v>
      </c>
      <c r="B373" s="689">
        <f t="shared" ref="B373:AW373" si="48">$B$369 - (3*$B$371)</f>
        <v>56.279103087613727</v>
      </c>
      <c r="C373" s="689">
        <f t="shared" si="48"/>
        <v>56.279103087613727</v>
      </c>
      <c r="D373" s="689">
        <f t="shared" si="48"/>
        <v>56.279103087613727</v>
      </c>
      <c r="E373" s="689">
        <f t="shared" si="48"/>
        <v>56.279103087613727</v>
      </c>
      <c r="F373" s="689">
        <f t="shared" si="48"/>
        <v>56.279103087613727</v>
      </c>
      <c r="G373" s="689">
        <f t="shared" si="48"/>
        <v>56.279103087613727</v>
      </c>
      <c r="H373" s="689">
        <f t="shared" si="48"/>
        <v>56.279103087613727</v>
      </c>
      <c r="I373" s="689">
        <f t="shared" si="48"/>
        <v>56.279103087613727</v>
      </c>
      <c r="J373" s="689">
        <f t="shared" si="48"/>
        <v>56.279103087613727</v>
      </c>
      <c r="K373" s="689">
        <f t="shared" si="48"/>
        <v>56.279103087613727</v>
      </c>
      <c r="L373" s="689">
        <f t="shared" si="48"/>
        <v>56.279103087613727</v>
      </c>
      <c r="M373" s="689">
        <f t="shared" si="48"/>
        <v>56.279103087613727</v>
      </c>
      <c r="N373" s="689">
        <f t="shared" si="48"/>
        <v>56.279103087613727</v>
      </c>
      <c r="O373" s="689">
        <f t="shared" si="48"/>
        <v>56.279103087613727</v>
      </c>
      <c r="P373" s="689">
        <f t="shared" si="48"/>
        <v>56.279103087613727</v>
      </c>
      <c r="Q373" s="689">
        <f t="shared" si="48"/>
        <v>56.279103087613727</v>
      </c>
      <c r="R373" s="689">
        <f t="shared" si="48"/>
        <v>56.279103087613727</v>
      </c>
      <c r="S373" s="689">
        <f t="shared" si="48"/>
        <v>56.279103087613727</v>
      </c>
      <c r="T373" s="689">
        <f t="shared" si="48"/>
        <v>56.279103087613727</v>
      </c>
      <c r="U373" s="689">
        <f t="shared" si="48"/>
        <v>56.279103087613727</v>
      </c>
      <c r="V373" s="689">
        <f t="shared" si="48"/>
        <v>56.279103087613727</v>
      </c>
      <c r="W373" s="689">
        <f t="shared" si="48"/>
        <v>56.279103087613727</v>
      </c>
      <c r="X373" s="689">
        <f t="shared" si="48"/>
        <v>56.279103087613727</v>
      </c>
      <c r="Y373" s="689">
        <f t="shared" si="48"/>
        <v>56.279103087613727</v>
      </c>
      <c r="Z373" s="689">
        <f t="shared" si="48"/>
        <v>56.279103087613727</v>
      </c>
      <c r="AA373" s="689">
        <f t="shared" si="48"/>
        <v>56.279103087613727</v>
      </c>
      <c r="AB373" s="689">
        <f t="shared" si="48"/>
        <v>56.279103087613727</v>
      </c>
      <c r="AC373" s="689">
        <f t="shared" si="48"/>
        <v>56.279103087613727</v>
      </c>
      <c r="AD373" s="689">
        <f t="shared" si="48"/>
        <v>56.279103087613727</v>
      </c>
      <c r="AE373" s="689">
        <f t="shared" si="48"/>
        <v>56.279103087613727</v>
      </c>
      <c r="AF373" s="689">
        <f t="shared" si="48"/>
        <v>56.279103087613727</v>
      </c>
      <c r="AG373" s="689">
        <f t="shared" si="48"/>
        <v>56.279103087613727</v>
      </c>
      <c r="AH373" s="689">
        <f t="shared" si="48"/>
        <v>56.279103087613727</v>
      </c>
      <c r="AI373" s="689">
        <f t="shared" si="48"/>
        <v>56.279103087613727</v>
      </c>
      <c r="AJ373" s="689">
        <f t="shared" si="48"/>
        <v>56.279103087613727</v>
      </c>
      <c r="AK373" s="689">
        <f t="shared" si="48"/>
        <v>56.279103087613727</v>
      </c>
      <c r="AL373" s="689">
        <f t="shared" si="48"/>
        <v>56.279103087613727</v>
      </c>
      <c r="AM373" s="689">
        <f t="shared" si="48"/>
        <v>56.279103087613727</v>
      </c>
      <c r="AN373" s="689">
        <f t="shared" si="48"/>
        <v>56.279103087613727</v>
      </c>
      <c r="AO373" s="689">
        <f t="shared" si="48"/>
        <v>56.279103087613727</v>
      </c>
      <c r="AP373" s="689">
        <f t="shared" si="48"/>
        <v>56.279103087613727</v>
      </c>
      <c r="AQ373" s="689">
        <f t="shared" si="48"/>
        <v>56.279103087613727</v>
      </c>
      <c r="AR373" s="689">
        <f t="shared" si="48"/>
        <v>56.279103087613727</v>
      </c>
      <c r="AS373" s="689">
        <f t="shared" si="48"/>
        <v>56.279103087613727</v>
      </c>
      <c r="AT373" s="689">
        <f t="shared" si="48"/>
        <v>56.279103087613727</v>
      </c>
      <c r="AU373" s="689">
        <f t="shared" si="48"/>
        <v>56.279103087613727</v>
      </c>
      <c r="AV373" s="689">
        <f t="shared" si="48"/>
        <v>56.279103087613727</v>
      </c>
      <c r="AW373" s="689">
        <f t="shared" si="48"/>
        <v>56.279103087613727</v>
      </c>
    </row>
    <row r="374" spans="1:49" s="683" customFormat="1" ht="6.75" customHeight="1" x14ac:dyDescent="0.2">
      <c r="A374" s="702"/>
      <c r="B374" s="729"/>
      <c r="C374" s="729"/>
      <c r="D374" s="729"/>
      <c r="E374" s="729"/>
      <c r="F374" s="729"/>
      <c r="G374" s="729"/>
      <c r="H374" s="729"/>
      <c r="I374" s="729"/>
      <c r="J374" s="729"/>
      <c r="K374" s="729"/>
      <c r="L374" s="729"/>
      <c r="M374" s="729"/>
      <c r="N374" s="729"/>
      <c r="O374" s="729"/>
      <c r="P374" s="729"/>
      <c r="Q374" s="729"/>
      <c r="R374" s="729"/>
      <c r="S374" s="729"/>
      <c r="T374" s="729"/>
      <c r="U374" s="729"/>
      <c r="V374" s="729"/>
      <c r="W374" s="729"/>
      <c r="X374" s="729"/>
      <c r="Y374" s="729"/>
      <c r="Z374" s="729"/>
      <c r="AA374" s="729"/>
      <c r="AB374" s="729"/>
      <c r="AC374" s="729"/>
      <c r="AD374" s="729"/>
      <c r="AE374" s="729"/>
      <c r="AF374" s="729"/>
      <c r="AG374" s="729"/>
      <c r="AH374" s="729"/>
      <c r="AI374" s="729"/>
      <c r="AJ374" s="729"/>
      <c r="AK374" s="729"/>
      <c r="AL374" s="729"/>
      <c r="AM374" s="729"/>
      <c r="AN374" s="729"/>
      <c r="AO374" s="729"/>
      <c r="AP374" s="729"/>
      <c r="AQ374" s="729"/>
      <c r="AR374" s="729"/>
      <c r="AS374" s="729"/>
      <c r="AT374" s="729"/>
      <c r="AU374" s="729"/>
      <c r="AV374" s="729"/>
      <c r="AW374" s="729"/>
    </row>
    <row r="375" spans="1:49" s="683" customFormat="1" ht="25.5" x14ac:dyDescent="0.2">
      <c r="A375" s="702" t="s">
        <v>511</v>
      </c>
      <c r="B375" s="728">
        <f t="shared" ref="B375:AB375" si="49">B20</f>
        <v>0.95412844036697253</v>
      </c>
      <c r="C375" s="728">
        <f t="shared" si="49"/>
        <v>0.95238095238095222</v>
      </c>
      <c r="D375" s="728">
        <f t="shared" si="49"/>
        <v>0.95876288659793818</v>
      </c>
      <c r="E375" s="728">
        <f t="shared" si="49"/>
        <v>0.97938144329896903</v>
      </c>
      <c r="F375" s="728">
        <f t="shared" si="49"/>
        <v>0.94117647058823517</v>
      </c>
      <c r="G375" s="728">
        <f t="shared" si="49"/>
        <v>0.96153846153846156</v>
      </c>
      <c r="H375" s="728">
        <f t="shared" si="49"/>
        <v>0.97478991596638653</v>
      </c>
      <c r="I375" s="728">
        <f t="shared" si="49"/>
        <v>0.98461538461538467</v>
      </c>
      <c r="J375" s="728">
        <f t="shared" si="49"/>
        <v>0.95199999999999996</v>
      </c>
      <c r="K375" s="728">
        <f t="shared" si="49"/>
        <v>0.97699999999999998</v>
      </c>
      <c r="L375" s="728">
        <f t="shared" si="49"/>
        <v>0.97599999999999998</v>
      </c>
      <c r="M375" s="728">
        <f t="shared" si="49"/>
        <v>0.94495412844036697</v>
      </c>
      <c r="N375" s="728">
        <f t="shared" si="49"/>
        <v>0.96212121212121215</v>
      </c>
      <c r="O375" s="728">
        <f t="shared" si="49"/>
        <v>0.96799999999999997</v>
      </c>
      <c r="P375" s="728">
        <f t="shared" si="49"/>
        <v>0.93600000000000005</v>
      </c>
      <c r="Q375" s="728">
        <f t="shared" si="49"/>
        <v>0.95299999999999996</v>
      </c>
      <c r="R375" s="728">
        <f t="shared" si="49"/>
        <v>0.98347107438016534</v>
      </c>
      <c r="S375" s="728">
        <f t="shared" si="49"/>
        <v>0.96946564885496178</v>
      </c>
      <c r="T375" s="728">
        <f t="shared" si="49"/>
        <v>0.94444444444444442</v>
      </c>
      <c r="U375" s="728">
        <f t="shared" si="49"/>
        <v>0.9719626168224299</v>
      </c>
      <c r="V375" s="728">
        <f t="shared" si="49"/>
        <v>0.9858156028368793</v>
      </c>
      <c r="W375" s="728">
        <f t="shared" si="49"/>
        <v>0.92372881355932213</v>
      </c>
      <c r="X375" s="728">
        <f t="shared" si="49"/>
        <v>0.98039215686274506</v>
      </c>
      <c r="Y375" s="728">
        <f t="shared" si="49"/>
        <v>0.96350364963503654</v>
      </c>
      <c r="Z375" s="728">
        <f t="shared" si="49"/>
        <v>0.9609375</v>
      </c>
      <c r="AA375" s="728">
        <f t="shared" si="49"/>
        <v>0.96350364963503654</v>
      </c>
      <c r="AB375" s="728">
        <f t="shared" si="49"/>
        <v>0.96240601503759393</v>
      </c>
      <c r="AC375" s="728"/>
      <c r="AD375" s="728"/>
      <c r="AE375" s="728"/>
      <c r="AF375" s="728"/>
      <c r="AG375" s="728"/>
      <c r="AH375" s="728"/>
      <c r="AI375" s="728"/>
      <c r="AJ375" s="728"/>
      <c r="AK375" s="728"/>
      <c r="AL375" s="728"/>
      <c r="AM375" s="728"/>
      <c r="AN375" s="728"/>
      <c r="AO375" s="728"/>
      <c r="AP375" s="728"/>
      <c r="AQ375" s="728"/>
      <c r="AR375" s="728"/>
      <c r="AS375" s="728"/>
      <c r="AT375" s="728"/>
      <c r="AU375" s="728"/>
      <c r="AV375" s="728"/>
      <c r="AW375" s="728"/>
    </row>
    <row r="376" spans="1:49" s="683" customFormat="1" x14ac:dyDescent="0.2">
      <c r="A376" s="702" t="s">
        <v>488</v>
      </c>
      <c r="B376" s="729">
        <v>0.9</v>
      </c>
      <c r="C376" s="729">
        <v>0.9</v>
      </c>
      <c r="D376" s="729">
        <v>0.9</v>
      </c>
      <c r="E376" s="729">
        <v>0.9</v>
      </c>
      <c r="F376" s="729">
        <v>0.9</v>
      </c>
      <c r="G376" s="729">
        <v>0.9</v>
      </c>
      <c r="H376" s="729">
        <v>0.9</v>
      </c>
      <c r="I376" s="729">
        <v>0.9</v>
      </c>
      <c r="J376" s="729">
        <v>0.9</v>
      </c>
      <c r="K376" s="729">
        <v>0.9</v>
      </c>
      <c r="L376" s="729">
        <v>0.9</v>
      </c>
      <c r="M376" s="729">
        <v>0.9</v>
      </c>
      <c r="N376" s="729">
        <v>0.95</v>
      </c>
      <c r="O376" s="729">
        <v>0.95</v>
      </c>
      <c r="P376" s="729">
        <v>0.95</v>
      </c>
      <c r="Q376" s="729">
        <v>0.95</v>
      </c>
      <c r="R376" s="729">
        <v>0.95</v>
      </c>
      <c r="S376" s="729">
        <v>0.95</v>
      </c>
      <c r="T376" s="729">
        <v>0.95</v>
      </c>
      <c r="U376" s="729">
        <v>0.95</v>
      </c>
      <c r="V376" s="729">
        <v>0.95</v>
      </c>
      <c r="W376" s="729">
        <v>0.95</v>
      </c>
      <c r="X376" s="729">
        <v>0.95</v>
      </c>
      <c r="Y376" s="729">
        <v>0.95</v>
      </c>
      <c r="Z376" s="729">
        <v>0.95</v>
      </c>
      <c r="AA376" s="729">
        <v>0.95</v>
      </c>
      <c r="AB376" s="729">
        <v>0.95</v>
      </c>
      <c r="AC376" s="729">
        <v>0.95</v>
      </c>
      <c r="AD376" s="729">
        <v>0.95</v>
      </c>
      <c r="AE376" s="729">
        <v>0.95</v>
      </c>
      <c r="AF376" s="729">
        <v>0.95</v>
      </c>
      <c r="AG376" s="729">
        <v>0.95</v>
      </c>
      <c r="AH376" s="729">
        <v>0.95</v>
      </c>
      <c r="AI376" s="729">
        <v>0.95</v>
      </c>
      <c r="AJ376" s="729">
        <v>0.95</v>
      </c>
      <c r="AK376" s="729">
        <v>0.95</v>
      </c>
      <c r="AL376" s="729">
        <v>0.95</v>
      </c>
      <c r="AM376" s="729">
        <v>0.95</v>
      </c>
      <c r="AN376" s="729">
        <v>0.95</v>
      </c>
      <c r="AO376" s="729">
        <v>0.95</v>
      </c>
      <c r="AP376" s="729">
        <v>0.95</v>
      </c>
      <c r="AQ376" s="729">
        <v>0.95</v>
      </c>
      <c r="AR376" s="729">
        <v>0.95</v>
      </c>
      <c r="AS376" s="729">
        <v>0.95</v>
      </c>
      <c r="AT376" s="729">
        <v>0.95</v>
      </c>
      <c r="AU376" s="729">
        <v>0.95</v>
      </c>
      <c r="AV376" s="729">
        <v>0.95</v>
      </c>
      <c r="AW376" s="729">
        <v>0.95</v>
      </c>
    </row>
    <row r="377" spans="1:49" s="683" customFormat="1" x14ac:dyDescent="0.2">
      <c r="A377" s="702" t="s">
        <v>131</v>
      </c>
      <c r="B377" s="729">
        <f t="shared" ref="B377:M377" si="50">MEDIAN($B$375:$M$375)</f>
        <v>0.96015067406819987</v>
      </c>
      <c r="C377" s="729">
        <f t="shared" si="50"/>
        <v>0.96015067406819987</v>
      </c>
      <c r="D377" s="729">
        <f t="shared" si="50"/>
        <v>0.96015067406819987</v>
      </c>
      <c r="E377" s="729">
        <f t="shared" si="50"/>
        <v>0.96015067406819987</v>
      </c>
      <c r="F377" s="729">
        <f t="shared" si="50"/>
        <v>0.96015067406819987</v>
      </c>
      <c r="G377" s="729">
        <f t="shared" si="50"/>
        <v>0.96015067406819987</v>
      </c>
      <c r="H377" s="729">
        <f t="shared" si="50"/>
        <v>0.96015067406819987</v>
      </c>
      <c r="I377" s="729">
        <f t="shared" si="50"/>
        <v>0.96015067406819987</v>
      </c>
      <c r="J377" s="729">
        <f t="shared" si="50"/>
        <v>0.96015067406819987</v>
      </c>
      <c r="K377" s="729">
        <f t="shared" si="50"/>
        <v>0.96015067406819987</v>
      </c>
      <c r="L377" s="729">
        <f t="shared" si="50"/>
        <v>0.96015067406819987</v>
      </c>
      <c r="M377" s="729">
        <f t="shared" si="50"/>
        <v>0.96015067406819987</v>
      </c>
      <c r="N377" s="729"/>
      <c r="O377" s="729"/>
      <c r="P377" s="729"/>
      <c r="Q377" s="729"/>
      <c r="R377" s="729"/>
      <c r="S377" s="729"/>
      <c r="T377" s="729"/>
      <c r="U377" s="729"/>
      <c r="V377" s="729"/>
      <c r="W377" s="729"/>
      <c r="X377" s="729"/>
      <c r="Y377" s="729"/>
      <c r="Z377" s="729"/>
      <c r="AA377" s="729"/>
      <c r="AB377" s="729"/>
      <c r="AC377" s="729"/>
      <c r="AD377" s="729"/>
      <c r="AE377" s="729"/>
      <c r="AF377" s="729"/>
      <c r="AG377" s="729"/>
      <c r="AH377" s="729"/>
      <c r="AI377" s="729"/>
      <c r="AJ377" s="729"/>
      <c r="AK377" s="729"/>
      <c r="AL377" s="729"/>
      <c r="AM377" s="729"/>
      <c r="AN377" s="729"/>
      <c r="AO377" s="729"/>
      <c r="AP377" s="729"/>
      <c r="AQ377" s="729"/>
      <c r="AR377" s="729"/>
      <c r="AS377" s="729"/>
      <c r="AT377" s="729"/>
      <c r="AU377" s="729"/>
      <c r="AV377" s="729"/>
      <c r="AW377" s="729"/>
    </row>
    <row r="378" spans="1:49" s="683" customFormat="1" x14ac:dyDescent="0.2">
      <c r="A378" s="702" t="s">
        <v>184</v>
      </c>
      <c r="B378" s="729"/>
      <c r="C378" s="729"/>
      <c r="D378" s="729"/>
      <c r="E378" s="729"/>
      <c r="F378" s="729"/>
      <c r="G378" s="729"/>
      <c r="H378" s="729"/>
      <c r="I378" s="729"/>
      <c r="J378" s="729"/>
      <c r="K378" s="729"/>
      <c r="L378" s="729"/>
      <c r="M378" s="729">
        <f t="shared" ref="M378:AW378" si="51">MEDIAN($B$375:$M$375)</f>
        <v>0.96015067406819987</v>
      </c>
      <c r="N378" s="729">
        <f t="shared" si="51"/>
        <v>0.96015067406819987</v>
      </c>
      <c r="O378" s="729">
        <f t="shared" si="51"/>
        <v>0.96015067406819987</v>
      </c>
      <c r="P378" s="729">
        <f t="shared" si="51"/>
        <v>0.96015067406819987</v>
      </c>
      <c r="Q378" s="729">
        <f t="shared" si="51"/>
        <v>0.96015067406819987</v>
      </c>
      <c r="R378" s="729">
        <f t="shared" si="51"/>
        <v>0.96015067406819987</v>
      </c>
      <c r="S378" s="729">
        <f t="shared" si="51"/>
        <v>0.96015067406819987</v>
      </c>
      <c r="T378" s="729">
        <f t="shared" si="51"/>
        <v>0.96015067406819987</v>
      </c>
      <c r="U378" s="729">
        <f t="shared" si="51"/>
        <v>0.96015067406819987</v>
      </c>
      <c r="V378" s="729">
        <f t="shared" si="51"/>
        <v>0.96015067406819987</v>
      </c>
      <c r="W378" s="729">
        <f t="shared" si="51"/>
        <v>0.96015067406819987</v>
      </c>
      <c r="X378" s="729">
        <f t="shared" si="51"/>
        <v>0.96015067406819987</v>
      </c>
      <c r="Y378" s="729">
        <f t="shared" si="51"/>
        <v>0.96015067406819987</v>
      </c>
      <c r="Z378" s="729">
        <f t="shared" si="51"/>
        <v>0.96015067406819987</v>
      </c>
      <c r="AA378" s="729">
        <f t="shared" si="51"/>
        <v>0.96015067406819987</v>
      </c>
      <c r="AB378" s="729">
        <f t="shared" si="51"/>
        <v>0.96015067406819987</v>
      </c>
      <c r="AC378" s="729">
        <f t="shared" si="51"/>
        <v>0.96015067406819987</v>
      </c>
      <c r="AD378" s="729">
        <f t="shared" si="51"/>
        <v>0.96015067406819987</v>
      </c>
      <c r="AE378" s="729">
        <f t="shared" si="51"/>
        <v>0.96015067406819987</v>
      </c>
      <c r="AF378" s="729">
        <f t="shared" si="51"/>
        <v>0.96015067406819987</v>
      </c>
      <c r="AG378" s="729">
        <f t="shared" si="51"/>
        <v>0.96015067406819987</v>
      </c>
      <c r="AH378" s="729">
        <f t="shared" si="51"/>
        <v>0.96015067406819987</v>
      </c>
      <c r="AI378" s="729">
        <f t="shared" si="51"/>
        <v>0.96015067406819987</v>
      </c>
      <c r="AJ378" s="729">
        <f t="shared" si="51"/>
        <v>0.96015067406819987</v>
      </c>
      <c r="AK378" s="729">
        <f t="shared" si="51"/>
        <v>0.96015067406819987</v>
      </c>
      <c r="AL378" s="729">
        <f t="shared" si="51"/>
        <v>0.96015067406819987</v>
      </c>
      <c r="AM378" s="729">
        <f t="shared" si="51"/>
        <v>0.96015067406819987</v>
      </c>
      <c r="AN378" s="729">
        <f t="shared" si="51"/>
        <v>0.96015067406819987</v>
      </c>
      <c r="AO378" s="729">
        <f t="shared" si="51"/>
        <v>0.96015067406819987</v>
      </c>
      <c r="AP378" s="729">
        <f t="shared" si="51"/>
        <v>0.96015067406819987</v>
      </c>
      <c r="AQ378" s="729">
        <f t="shared" si="51"/>
        <v>0.96015067406819987</v>
      </c>
      <c r="AR378" s="729">
        <f t="shared" si="51"/>
        <v>0.96015067406819987</v>
      </c>
      <c r="AS378" s="729">
        <f t="shared" si="51"/>
        <v>0.96015067406819987</v>
      </c>
      <c r="AT378" s="729">
        <f t="shared" si="51"/>
        <v>0.96015067406819987</v>
      </c>
      <c r="AU378" s="729">
        <f t="shared" si="51"/>
        <v>0.96015067406819987</v>
      </c>
      <c r="AV378" s="729">
        <f t="shared" si="51"/>
        <v>0.96015067406819987</v>
      </c>
      <c r="AW378" s="729">
        <f t="shared" si="51"/>
        <v>0.96015067406819987</v>
      </c>
    </row>
    <row r="379" spans="1:49" s="683" customFormat="1" x14ac:dyDescent="0.2">
      <c r="A379" s="702" t="s">
        <v>490</v>
      </c>
      <c r="B379" s="729"/>
      <c r="C379" s="729">
        <f>SUM(C375-B375)*-1</f>
        <v>1.747487986020313E-3</v>
      </c>
      <c r="D379" s="729">
        <f t="shared" ref="D379:V379" si="52">SUM(D375-C375)</f>
        <v>6.3819342169859627E-3</v>
      </c>
      <c r="E379" s="729">
        <f t="shared" si="52"/>
        <v>2.0618556701030855E-2</v>
      </c>
      <c r="F379" s="729">
        <f>SUM(F375-E375)*-1</f>
        <v>3.8204972710733864E-2</v>
      </c>
      <c r="G379" s="729">
        <f t="shared" si="52"/>
        <v>2.0361990950226394E-2</v>
      </c>
      <c r="H379" s="729">
        <f t="shared" si="52"/>
        <v>1.3251454427924969E-2</v>
      </c>
      <c r="I379" s="729">
        <f t="shared" si="52"/>
        <v>9.8254686489981369E-3</v>
      </c>
      <c r="J379" s="729">
        <f>SUM(J375-I375)*-1</f>
        <v>3.2615384615384713E-2</v>
      </c>
      <c r="K379" s="729">
        <f t="shared" si="52"/>
        <v>2.5000000000000022E-2</v>
      </c>
      <c r="L379" s="729">
        <f>SUM(L375-K375)*-1</f>
        <v>1.0000000000000009E-3</v>
      </c>
      <c r="M379" s="729">
        <f>SUM(M375-L375)*-1</f>
        <v>3.1045871559633009E-2</v>
      </c>
      <c r="N379" s="729">
        <f t="shared" si="52"/>
        <v>1.7167083680845185E-2</v>
      </c>
      <c r="O379" s="729">
        <f t="shared" si="52"/>
        <v>5.8787878787878167E-3</v>
      </c>
      <c r="P379" s="729">
        <f>SUM(P375-O375)*-1</f>
        <v>3.1999999999999917E-2</v>
      </c>
      <c r="Q379" s="729">
        <f t="shared" si="52"/>
        <v>1.6999999999999904E-2</v>
      </c>
      <c r="R379" s="729">
        <f t="shared" si="52"/>
        <v>3.0471074380165386E-2</v>
      </c>
      <c r="S379" s="729">
        <f>SUM(S375-R375)*-1</f>
        <v>1.4005425525203563E-2</v>
      </c>
      <c r="T379" s="729">
        <f>SUM(T375-S375)*-1</f>
        <v>2.5021204410517361E-2</v>
      </c>
      <c r="U379" s="729">
        <f t="shared" si="52"/>
        <v>2.7518172377985484E-2</v>
      </c>
      <c r="V379" s="729">
        <f t="shared" si="52"/>
        <v>1.3852986014449398E-2</v>
      </c>
      <c r="W379" s="729">
        <f>SUM(W375-V375)*-1</f>
        <v>6.2086789277557175E-2</v>
      </c>
      <c r="X379" s="729">
        <f>SUM(X375-W375)</f>
        <v>5.6663343303422931E-2</v>
      </c>
      <c r="Y379" s="729">
        <f>SUM(Y375-X375)*-1</f>
        <v>1.6888507227708516E-2</v>
      </c>
      <c r="Z379" s="729">
        <f>SUM(Z375-Y375)*-1</f>
        <v>2.5661496350365409E-3</v>
      </c>
      <c r="AA379" s="729">
        <f>SUM(AA375-Z375)</f>
        <v>2.5661496350365409E-3</v>
      </c>
      <c r="AB379" s="729">
        <f>SUM(AB375-AA375)*-1</f>
        <v>1.0976345974426094E-3</v>
      </c>
      <c r="AC379" s="729"/>
      <c r="AD379" s="729"/>
      <c r="AE379" s="729"/>
      <c r="AF379" s="729"/>
      <c r="AG379" s="729"/>
      <c r="AH379" s="729"/>
      <c r="AI379" s="729"/>
      <c r="AJ379" s="729"/>
      <c r="AK379" s="729"/>
      <c r="AL379" s="729"/>
      <c r="AM379" s="729"/>
      <c r="AN379" s="729"/>
      <c r="AO379" s="729"/>
      <c r="AP379" s="729"/>
      <c r="AQ379" s="729"/>
      <c r="AR379" s="729"/>
      <c r="AS379" s="729"/>
      <c r="AT379" s="729"/>
      <c r="AU379" s="729"/>
      <c r="AV379" s="729"/>
      <c r="AW379" s="729"/>
    </row>
    <row r="380" spans="1:49" s="683" customFormat="1" ht="21.75" x14ac:dyDescent="0.2">
      <c r="A380" s="703" t="s">
        <v>493</v>
      </c>
      <c r="B380" s="729"/>
      <c r="C380" s="729"/>
      <c r="D380" s="729"/>
      <c r="E380" s="729"/>
      <c r="F380" s="729"/>
      <c r="G380" s="729"/>
      <c r="H380" s="729"/>
      <c r="I380" s="729"/>
      <c r="J380" s="729"/>
      <c r="K380" s="729"/>
      <c r="L380" s="729"/>
      <c r="M380" s="729"/>
      <c r="N380" s="729"/>
      <c r="O380" s="729"/>
      <c r="P380" s="729"/>
      <c r="Q380" s="729"/>
      <c r="R380" s="729"/>
      <c r="S380" s="729"/>
      <c r="T380" s="729"/>
      <c r="U380" s="729"/>
      <c r="V380" s="729"/>
      <c r="W380" s="729"/>
      <c r="X380" s="729"/>
      <c r="Y380" s="729"/>
      <c r="Z380" s="729"/>
      <c r="AA380" s="729"/>
      <c r="AB380" s="729"/>
      <c r="AC380" s="729"/>
      <c r="AD380" s="729"/>
      <c r="AE380" s="729"/>
      <c r="AF380" s="729"/>
      <c r="AG380" s="729"/>
      <c r="AH380" s="729"/>
      <c r="AI380" s="729"/>
      <c r="AJ380" s="729"/>
      <c r="AK380" s="729"/>
      <c r="AL380" s="729"/>
      <c r="AM380" s="729"/>
      <c r="AN380" s="729"/>
      <c r="AO380" s="729"/>
      <c r="AP380" s="729"/>
      <c r="AQ380" s="729"/>
      <c r="AR380" s="729"/>
      <c r="AS380" s="729"/>
      <c r="AT380" s="729"/>
      <c r="AU380" s="729"/>
      <c r="AV380" s="729"/>
      <c r="AW380" s="729"/>
    </row>
    <row r="381" spans="1:49" s="683" customFormat="1" x14ac:dyDescent="0.2">
      <c r="A381" s="683" t="s">
        <v>492</v>
      </c>
      <c r="B381" s="729">
        <f t="shared" ref="B381:AW381" si="53">AVERAGE($B$375:$AW$375)</f>
        <v>0.96242520251790709</v>
      </c>
      <c r="C381" s="729">
        <f t="shared" si="53"/>
        <v>0.96242520251790709</v>
      </c>
      <c r="D381" s="729">
        <f t="shared" si="53"/>
        <v>0.96242520251790709</v>
      </c>
      <c r="E381" s="729">
        <f t="shared" si="53"/>
        <v>0.96242520251790709</v>
      </c>
      <c r="F381" s="729">
        <f t="shared" si="53"/>
        <v>0.96242520251790709</v>
      </c>
      <c r="G381" s="729">
        <f t="shared" si="53"/>
        <v>0.96242520251790709</v>
      </c>
      <c r="H381" s="729">
        <f t="shared" si="53"/>
        <v>0.96242520251790709</v>
      </c>
      <c r="I381" s="729">
        <f t="shared" si="53"/>
        <v>0.96242520251790709</v>
      </c>
      <c r="J381" s="729">
        <f t="shared" si="53"/>
        <v>0.96242520251790709</v>
      </c>
      <c r="K381" s="729">
        <f t="shared" si="53"/>
        <v>0.96242520251790709</v>
      </c>
      <c r="L381" s="729">
        <f t="shared" si="53"/>
        <v>0.96242520251790709</v>
      </c>
      <c r="M381" s="729">
        <f t="shared" si="53"/>
        <v>0.96242520251790709</v>
      </c>
      <c r="N381" s="729">
        <f t="shared" si="53"/>
        <v>0.96242520251790709</v>
      </c>
      <c r="O381" s="729">
        <f t="shared" si="53"/>
        <v>0.96242520251790709</v>
      </c>
      <c r="P381" s="729">
        <f t="shared" si="53"/>
        <v>0.96242520251790709</v>
      </c>
      <c r="Q381" s="729">
        <f t="shared" si="53"/>
        <v>0.96242520251790709</v>
      </c>
      <c r="R381" s="729">
        <f t="shared" si="53"/>
        <v>0.96242520251790709</v>
      </c>
      <c r="S381" s="729">
        <f t="shared" si="53"/>
        <v>0.96242520251790709</v>
      </c>
      <c r="T381" s="729">
        <f t="shared" si="53"/>
        <v>0.96242520251790709</v>
      </c>
      <c r="U381" s="729">
        <f t="shared" si="53"/>
        <v>0.96242520251790709</v>
      </c>
      <c r="V381" s="729">
        <f t="shared" si="53"/>
        <v>0.96242520251790709</v>
      </c>
      <c r="W381" s="729">
        <f t="shared" si="53"/>
        <v>0.96242520251790709</v>
      </c>
      <c r="X381" s="729">
        <f t="shared" si="53"/>
        <v>0.96242520251790709</v>
      </c>
      <c r="Y381" s="729">
        <f t="shared" si="53"/>
        <v>0.96242520251790709</v>
      </c>
      <c r="Z381" s="729">
        <f t="shared" si="53"/>
        <v>0.96242520251790709</v>
      </c>
      <c r="AA381" s="729">
        <f t="shared" si="53"/>
        <v>0.96242520251790709</v>
      </c>
      <c r="AB381" s="729">
        <f t="shared" si="53"/>
        <v>0.96242520251790709</v>
      </c>
      <c r="AC381" s="729">
        <f t="shared" si="53"/>
        <v>0.96242520251790709</v>
      </c>
      <c r="AD381" s="729">
        <f t="shared" si="53"/>
        <v>0.96242520251790709</v>
      </c>
      <c r="AE381" s="729">
        <f t="shared" si="53"/>
        <v>0.96242520251790709</v>
      </c>
      <c r="AF381" s="729">
        <f t="shared" si="53"/>
        <v>0.96242520251790709</v>
      </c>
      <c r="AG381" s="729">
        <f t="shared" si="53"/>
        <v>0.96242520251790709</v>
      </c>
      <c r="AH381" s="729">
        <f t="shared" si="53"/>
        <v>0.96242520251790709</v>
      </c>
      <c r="AI381" s="729">
        <f t="shared" si="53"/>
        <v>0.96242520251790709</v>
      </c>
      <c r="AJ381" s="729">
        <f t="shared" si="53"/>
        <v>0.96242520251790709</v>
      </c>
      <c r="AK381" s="729">
        <f t="shared" si="53"/>
        <v>0.96242520251790709</v>
      </c>
      <c r="AL381" s="729">
        <f t="shared" si="53"/>
        <v>0.96242520251790709</v>
      </c>
      <c r="AM381" s="729">
        <f t="shared" si="53"/>
        <v>0.96242520251790709</v>
      </c>
      <c r="AN381" s="729">
        <f t="shared" si="53"/>
        <v>0.96242520251790709</v>
      </c>
      <c r="AO381" s="729">
        <f t="shared" si="53"/>
        <v>0.96242520251790709</v>
      </c>
      <c r="AP381" s="729">
        <f t="shared" si="53"/>
        <v>0.96242520251790709</v>
      </c>
      <c r="AQ381" s="729">
        <f t="shared" si="53"/>
        <v>0.96242520251790709</v>
      </c>
      <c r="AR381" s="729">
        <f t="shared" si="53"/>
        <v>0.96242520251790709</v>
      </c>
      <c r="AS381" s="729">
        <f t="shared" si="53"/>
        <v>0.96242520251790709</v>
      </c>
      <c r="AT381" s="729">
        <f t="shared" si="53"/>
        <v>0.96242520251790709</v>
      </c>
      <c r="AU381" s="729">
        <f t="shared" si="53"/>
        <v>0.96242520251790709</v>
      </c>
      <c r="AV381" s="729">
        <f t="shared" si="53"/>
        <v>0.96242520251790709</v>
      </c>
      <c r="AW381" s="729">
        <f t="shared" si="53"/>
        <v>0.96242520251790709</v>
      </c>
    </row>
    <row r="382" spans="1:49" s="683" customFormat="1" x14ac:dyDescent="0.2">
      <c r="A382" s="702" t="s">
        <v>491</v>
      </c>
      <c r="B382" s="729">
        <f t="shared" ref="B382:AW382" si="54">SUM($C$379:$AW$379)/22</f>
        <v>2.3856201352777117E-2</v>
      </c>
      <c r="C382" s="729">
        <f t="shared" si="54"/>
        <v>2.3856201352777117E-2</v>
      </c>
      <c r="D382" s="729">
        <f t="shared" si="54"/>
        <v>2.3856201352777117E-2</v>
      </c>
      <c r="E382" s="729">
        <f t="shared" si="54"/>
        <v>2.3856201352777117E-2</v>
      </c>
      <c r="F382" s="729">
        <f t="shared" si="54"/>
        <v>2.3856201352777117E-2</v>
      </c>
      <c r="G382" s="729">
        <f t="shared" si="54"/>
        <v>2.3856201352777117E-2</v>
      </c>
      <c r="H382" s="729">
        <f t="shared" si="54"/>
        <v>2.3856201352777117E-2</v>
      </c>
      <c r="I382" s="729">
        <f t="shared" si="54"/>
        <v>2.3856201352777117E-2</v>
      </c>
      <c r="J382" s="729">
        <f t="shared" si="54"/>
        <v>2.3856201352777117E-2</v>
      </c>
      <c r="K382" s="729">
        <f t="shared" si="54"/>
        <v>2.3856201352777117E-2</v>
      </c>
      <c r="L382" s="729">
        <f t="shared" si="54"/>
        <v>2.3856201352777117E-2</v>
      </c>
      <c r="M382" s="729">
        <f t="shared" si="54"/>
        <v>2.3856201352777117E-2</v>
      </c>
      <c r="N382" s="729">
        <f t="shared" si="54"/>
        <v>2.3856201352777117E-2</v>
      </c>
      <c r="O382" s="729">
        <f t="shared" si="54"/>
        <v>2.3856201352777117E-2</v>
      </c>
      <c r="P382" s="729">
        <f t="shared" si="54"/>
        <v>2.3856201352777117E-2</v>
      </c>
      <c r="Q382" s="729">
        <f t="shared" si="54"/>
        <v>2.3856201352777117E-2</v>
      </c>
      <c r="R382" s="729">
        <f t="shared" si="54"/>
        <v>2.3856201352777117E-2</v>
      </c>
      <c r="S382" s="729">
        <f t="shared" si="54"/>
        <v>2.3856201352777117E-2</v>
      </c>
      <c r="T382" s="729">
        <f t="shared" si="54"/>
        <v>2.3856201352777117E-2</v>
      </c>
      <c r="U382" s="729">
        <f t="shared" si="54"/>
        <v>2.3856201352777117E-2</v>
      </c>
      <c r="V382" s="729">
        <f t="shared" si="54"/>
        <v>2.3856201352777117E-2</v>
      </c>
      <c r="W382" s="729">
        <f t="shared" si="54"/>
        <v>2.3856201352777117E-2</v>
      </c>
      <c r="X382" s="729">
        <f t="shared" si="54"/>
        <v>2.3856201352777117E-2</v>
      </c>
      <c r="Y382" s="729">
        <f t="shared" si="54"/>
        <v>2.3856201352777117E-2</v>
      </c>
      <c r="Z382" s="729">
        <f t="shared" si="54"/>
        <v>2.3856201352777117E-2</v>
      </c>
      <c r="AA382" s="729">
        <f t="shared" si="54"/>
        <v>2.3856201352777117E-2</v>
      </c>
      <c r="AB382" s="729">
        <f t="shared" si="54"/>
        <v>2.3856201352777117E-2</v>
      </c>
      <c r="AC382" s="729">
        <f t="shared" si="54"/>
        <v>2.3856201352777117E-2</v>
      </c>
      <c r="AD382" s="729">
        <f t="shared" si="54"/>
        <v>2.3856201352777117E-2</v>
      </c>
      <c r="AE382" s="729">
        <f t="shared" si="54"/>
        <v>2.3856201352777117E-2</v>
      </c>
      <c r="AF382" s="729">
        <f t="shared" si="54"/>
        <v>2.3856201352777117E-2</v>
      </c>
      <c r="AG382" s="729">
        <f t="shared" si="54"/>
        <v>2.3856201352777117E-2</v>
      </c>
      <c r="AH382" s="729">
        <f t="shared" si="54"/>
        <v>2.3856201352777117E-2</v>
      </c>
      <c r="AI382" s="729">
        <f t="shared" si="54"/>
        <v>2.3856201352777117E-2</v>
      </c>
      <c r="AJ382" s="729">
        <f t="shared" si="54"/>
        <v>2.3856201352777117E-2</v>
      </c>
      <c r="AK382" s="729">
        <f t="shared" si="54"/>
        <v>2.3856201352777117E-2</v>
      </c>
      <c r="AL382" s="729">
        <f t="shared" si="54"/>
        <v>2.3856201352777117E-2</v>
      </c>
      <c r="AM382" s="729">
        <f t="shared" si="54"/>
        <v>2.3856201352777117E-2</v>
      </c>
      <c r="AN382" s="729">
        <f t="shared" si="54"/>
        <v>2.3856201352777117E-2</v>
      </c>
      <c r="AO382" s="729">
        <f t="shared" si="54"/>
        <v>2.3856201352777117E-2</v>
      </c>
      <c r="AP382" s="729">
        <f t="shared" si="54"/>
        <v>2.3856201352777117E-2</v>
      </c>
      <c r="AQ382" s="729">
        <f t="shared" si="54"/>
        <v>2.3856201352777117E-2</v>
      </c>
      <c r="AR382" s="729">
        <f t="shared" si="54"/>
        <v>2.3856201352777117E-2</v>
      </c>
      <c r="AS382" s="729">
        <f t="shared" si="54"/>
        <v>2.3856201352777117E-2</v>
      </c>
      <c r="AT382" s="729">
        <f t="shared" si="54"/>
        <v>2.3856201352777117E-2</v>
      </c>
      <c r="AU382" s="729">
        <f t="shared" si="54"/>
        <v>2.3856201352777117E-2</v>
      </c>
      <c r="AV382" s="729">
        <f t="shared" si="54"/>
        <v>2.3856201352777117E-2</v>
      </c>
      <c r="AW382" s="729">
        <f t="shared" si="54"/>
        <v>2.3856201352777117E-2</v>
      </c>
    </row>
    <row r="383" spans="1:49" s="683" customFormat="1" ht="25.5" x14ac:dyDescent="0.2">
      <c r="A383" s="702" t="s">
        <v>494</v>
      </c>
      <c r="B383" s="729">
        <f t="shared" ref="B383:AW383" si="55">SUM($B$382/1.128)</f>
        <v>2.11491146744478E-2</v>
      </c>
      <c r="C383" s="729">
        <f t="shared" si="55"/>
        <v>2.11491146744478E-2</v>
      </c>
      <c r="D383" s="729">
        <f t="shared" si="55"/>
        <v>2.11491146744478E-2</v>
      </c>
      <c r="E383" s="729">
        <f t="shared" si="55"/>
        <v>2.11491146744478E-2</v>
      </c>
      <c r="F383" s="729">
        <f t="shared" si="55"/>
        <v>2.11491146744478E-2</v>
      </c>
      <c r="G383" s="729">
        <f t="shared" si="55"/>
        <v>2.11491146744478E-2</v>
      </c>
      <c r="H383" s="729">
        <f t="shared" si="55"/>
        <v>2.11491146744478E-2</v>
      </c>
      <c r="I383" s="729">
        <f t="shared" si="55"/>
        <v>2.11491146744478E-2</v>
      </c>
      <c r="J383" s="729">
        <f t="shared" si="55"/>
        <v>2.11491146744478E-2</v>
      </c>
      <c r="K383" s="729">
        <f t="shared" si="55"/>
        <v>2.11491146744478E-2</v>
      </c>
      <c r="L383" s="729">
        <f t="shared" si="55"/>
        <v>2.11491146744478E-2</v>
      </c>
      <c r="M383" s="729">
        <f t="shared" si="55"/>
        <v>2.11491146744478E-2</v>
      </c>
      <c r="N383" s="729">
        <f t="shared" si="55"/>
        <v>2.11491146744478E-2</v>
      </c>
      <c r="O383" s="729">
        <f t="shared" si="55"/>
        <v>2.11491146744478E-2</v>
      </c>
      <c r="P383" s="729">
        <f t="shared" si="55"/>
        <v>2.11491146744478E-2</v>
      </c>
      <c r="Q383" s="729">
        <f t="shared" si="55"/>
        <v>2.11491146744478E-2</v>
      </c>
      <c r="R383" s="729">
        <f t="shared" si="55"/>
        <v>2.11491146744478E-2</v>
      </c>
      <c r="S383" s="729">
        <f t="shared" si="55"/>
        <v>2.11491146744478E-2</v>
      </c>
      <c r="T383" s="729">
        <f t="shared" si="55"/>
        <v>2.11491146744478E-2</v>
      </c>
      <c r="U383" s="729">
        <f t="shared" si="55"/>
        <v>2.11491146744478E-2</v>
      </c>
      <c r="V383" s="729">
        <f t="shared" si="55"/>
        <v>2.11491146744478E-2</v>
      </c>
      <c r="W383" s="729">
        <f t="shared" si="55"/>
        <v>2.11491146744478E-2</v>
      </c>
      <c r="X383" s="729">
        <f t="shared" si="55"/>
        <v>2.11491146744478E-2</v>
      </c>
      <c r="Y383" s="729">
        <f t="shared" si="55"/>
        <v>2.11491146744478E-2</v>
      </c>
      <c r="Z383" s="729">
        <f t="shared" si="55"/>
        <v>2.11491146744478E-2</v>
      </c>
      <c r="AA383" s="729">
        <f t="shared" si="55"/>
        <v>2.11491146744478E-2</v>
      </c>
      <c r="AB383" s="729">
        <f t="shared" si="55"/>
        <v>2.11491146744478E-2</v>
      </c>
      <c r="AC383" s="729">
        <f t="shared" si="55"/>
        <v>2.11491146744478E-2</v>
      </c>
      <c r="AD383" s="729">
        <f t="shared" si="55"/>
        <v>2.11491146744478E-2</v>
      </c>
      <c r="AE383" s="729">
        <f t="shared" si="55"/>
        <v>2.11491146744478E-2</v>
      </c>
      <c r="AF383" s="729">
        <f t="shared" si="55"/>
        <v>2.11491146744478E-2</v>
      </c>
      <c r="AG383" s="729">
        <f t="shared" si="55"/>
        <v>2.11491146744478E-2</v>
      </c>
      <c r="AH383" s="729">
        <f t="shared" si="55"/>
        <v>2.11491146744478E-2</v>
      </c>
      <c r="AI383" s="729">
        <f t="shared" si="55"/>
        <v>2.11491146744478E-2</v>
      </c>
      <c r="AJ383" s="729">
        <f t="shared" si="55"/>
        <v>2.11491146744478E-2</v>
      </c>
      <c r="AK383" s="729">
        <f t="shared" si="55"/>
        <v>2.11491146744478E-2</v>
      </c>
      <c r="AL383" s="729">
        <f t="shared" si="55"/>
        <v>2.11491146744478E-2</v>
      </c>
      <c r="AM383" s="729">
        <f t="shared" si="55"/>
        <v>2.11491146744478E-2</v>
      </c>
      <c r="AN383" s="729">
        <f t="shared" si="55"/>
        <v>2.11491146744478E-2</v>
      </c>
      <c r="AO383" s="729">
        <f t="shared" si="55"/>
        <v>2.11491146744478E-2</v>
      </c>
      <c r="AP383" s="729">
        <f t="shared" si="55"/>
        <v>2.11491146744478E-2</v>
      </c>
      <c r="AQ383" s="729">
        <f t="shared" si="55"/>
        <v>2.11491146744478E-2</v>
      </c>
      <c r="AR383" s="729">
        <f t="shared" si="55"/>
        <v>2.11491146744478E-2</v>
      </c>
      <c r="AS383" s="729">
        <f t="shared" si="55"/>
        <v>2.11491146744478E-2</v>
      </c>
      <c r="AT383" s="729">
        <f t="shared" si="55"/>
        <v>2.11491146744478E-2</v>
      </c>
      <c r="AU383" s="729">
        <f t="shared" si="55"/>
        <v>2.11491146744478E-2</v>
      </c>
      <c r="AV383" s="729">
        <f t="shared" si="55"/>
        <v>2.11491146744478E-2</v>
      </c>
      <c r="AW383" s="729">
        <f t="shared" si="55"/>
        <v>2.11491146744478E-2</v>
      </c>
    </row>
    <row r="384" spans="1:49" s="683" customFormat="1" ht="25.5" x14ac:dyDescent="0.2">
      <c r="A384" s="702" t="s">
        <v>501</v>
      </c>
      <c r="B384" s="729">
        <f t="shared" ref="B384:AW384" si="56">$B$381+(3*$B$383)</f>
        <v>1.0258725465412506</v>
      </c>
      <c r="C384" s="729">
        <f t="shared" si="56"/>
        <v>1.0258725465412506</v>
      </c>
      <c r="D384" s="729">
        <f t="shared" si="56"/>
        <v>1.0258725465412506</v>
      </c>
      <c r="E384" s="729">
        <f t="shared" si="56"/>
        <v>1.0258725465412506</v>
      </c>
      <c r="F384" s="729">
        <f t="shared" si="56"/>
        <v>1.0258725465412506</v>
      </c>
      <c r="G384" s="729">
        <f t="shared" si="56"/>
        <v>1.0258725465412506</v>
      </c>
      <c r="H384" s="729">
        <f t="shared" si="56"/>
        <v>1.0258725465412506</v>
      </c>
      <c r="I384" s="729">
        <f t="shared" si="56"/>
        <v>1.0258725465412506</v>
      </c>
      <c r="J384" s="729">
        <f t="shared" si="56"/>
        <v>1.0258725465412506</v>
      </c>
      <c r="K384" s="729">
        <f t="shared" si="56"/>
        <v>1.0258725465412506</v>
      </c>
      <c r="L384" s="729">
        <f t="shared" si="56"/>
        <v>1.0258725465412506</v>
      </c>
      <c r="M384" s="729">
        <f t="shared" si="56"/>
        <v>1.0258725465412506</v>
      </c>
      <c r="N384" s="729">
        <f t="shared" si="56"/>
        <v>1.0258725465412506</v>
      </c>
      <c r="O384" s="729">
        <f t="shared" si="56"/>
        <v>1.0258725465412506</v>
      </c>
      <c r="P384" s="729">
        <f t="shared" si="56"/>
        <v>1.0258725465412506</v>
      </c>
      <c r="Q384" s="729">
        <f t="shared" si="56"/>
        <v>1.0258725465412506</v>
      </c>
      <c r="R384" s="729">
        <f t="shared" si="56"/>
        <v>1.0258725465412506</v>
      </c>
      <c r="S384" s="729">
        <f t="shared" si="56"/>
        <v>1.0258725465412506</v>
      </c>
      <c r="T384" s="729">
        <f t="shared" si="56"/>
        <v>1.0258725465412506</v>
      </c>
      <c r="U384" s="729">
        <f t="shared" si="56"/>
        <v>1.0258725465412506</v>
      </c>
      <c r="V384" s="729">
        <f t="shared" si="56"/>
        <v>1.0258725465412506</v>
      </c>
      <c r="W384" s="729">
        <f t="shared" si="56"/>
        <v>1.0258725465412506</v>
      </c>
      <c r="X384" s="729">
        <f t="shared" si="56"/>
        <v>1.0258725465412506</v>
      </c>
      <c r="Y384" s="729">
        <f t="shared" si="56"/>
        <v>1.0258725465412506</v>
      </c>
      <c r="Z384" s="729">
        <f t="shared" si="56"/>
        <v>1.0258725465412506</v>
      </c>
      <c r="AA384" s="729">
        <f t="shared" si="56"/>
        <v>1.0258725465412506</v>
      </c>
      <c r="AB384" s="729">
        <f t="shared" si="56"/>
        <v>1.0258725465412506</v>
      </c>
      <c r="AC384" s="729">
        <f t="shared" si="56"/>
        <v>1.0258725465412506</v>
      </c>
      <c r="AD384" s="729">
        <f t="shared" si="56"/>
        <v>1.0258725465412506</v>
      </c>
      <c r="AE384" s="729">
        <f t="shared" si="56"/>
        <v>1.0258725465412506</v>
      </c>
      <c r="AF384" s="729">
        <f t="shared" si="56"/>
        <v>1.0258725465412506</v>
      </c>
      <c r="AG384" s="729">
        <f t="shared" si="56"/>
        <v>1.0258725465412506</v>
      </c>
      <c r="AH384" s="729">
        <f t="shared" si="56"/>
        <v>1.0258725465412506</v>
      </c>
      <c r="AI384" s="729">
        <f t="shared" si="56"/>
        <v>1.0258725465412506</v>
      </c>
      <c r="AJ384" s="729">
        <f t="shared" si="56"/>
        <v>1.0258725465412506</v>
      </c>
      <c r="AK384" s="729">
        <f t="shared" si="56"/>
        <v>1.0258725465412506</v>
      </c>
      <c r="AL384" s="729">
        <f t="shared" si="56"/>
        <v>1.0258725465412506</v>
      </c>
      <c r="AM384" s="729">
        <f t="shared" si="56"/>
        <v>1.0258725465412506</v>
      </c>
      <c r="AN384" s="729">
        <f t="shared" si="56"/>
        <v>1.0258725465412506</v>
      </c>
      <c r="AO384" s="729">
        <f t="shared" si="56"/>
        <v>1.0258725465412506</v>
      </c>
      <c r="AP384" s="729">
        <f t="shared" si="56"/>
        <v>1.0258725465412506</v>
      </c>
      <c r="AQ384" s="729">
        <f t="shared" si="56"/>
        <v>1.0258725465412506</v>
      </c>
      <c r="AR384" s="729">
        <f t="shared" si="56"/>
        <v>1.0258725465412506</v>
      </c>
      <c r="AS384" s="729">
        <f t="shared" si="56"/>
        <v>1.0258725465412506</v>
      </c>
      <c r="AT384" s="729">
        <f t="shared" si="56"/>
        <v>1.0258725465412506</v>
      </c>
      <c r="AU384" s="729">
        <f t="shared" si="56"/>
        <v>1.0258725465412506</v>
      </c>
      <c r="AV384" s="729">
        <f t="shared" si="56"/>
        <v>1.0258725465412506</v>
      </c>
      <c r="AW384" s="729">
        <f t="shared" si="56"/>
        <v>1.0258725465412506</v>
      </c>
    </row>
    <row r="385" spans="1:49" s="683" customFormat="1" x14ac:dyDescent="0.2">
      <c r="A385" s="702" t="s">
        <v>499</v>
      </c>
      <c r="B385" s="729">
        <f t="shared" ref="B385:AW385" si="57">$B$381-(3*$B$383)</f>
        <v>0.89897785849456369</v>
      </c>
      <c r="C385" s="729">
        <f t="shared" si="57"/>
        <v>0.89897785849456369</v>
      </c>
      <c r="D385" s="729">
        <f t="shared" si="57"/>
        <v>0.89897785849456369</v>
      </c>
      <c r="E385" s="729">
        <f t="shared" si="57"/>
        <v>0.89897785849456369</v>
      </c>
      <c r="F385" s="729">
        <f t="shared" si="57"/>
        <v>0.89897785849456369</v>
      </c>
      <c r="G385" s="729">
        <f t="shared" si="57"/>
        <v>0.89897785849456369</v>
      </c>
      <c r="H385" s="729">
        <f t="shared" si="57"/>
        <v>0.89897785849456369</v>
      </c>
      <c r="I385" s="729">
        <f t="shared" si="57"/>
        <v>0.89897785849456369</v>
      </c>
      <c r="J385" s="729">
        <f t="shared" si="57"/>
        <v>0.89897785849456369</v>
      </c>
      <c r="K385" s="729">
        <f t="shared" si="57"/>
        <v>0.89897785849456369</v>
      </c>
      <c r="L385" s="729">
        <f t="shared" si="57"/>
        <v>0.89897785849456369</v>
      </c>
      <c r="M385" s="729">
        <f t="shared" si="57"/>
        <v>0.89897785849456369</v>
      </c>
      <c r="N385" s="729">
        <f t="shared" si="57"/>
        <v>0.89897785849456369</v>
      </c>
      <c r="O385" s="729">
        <f t="shared" si="57"/>
        <v>0.89897785849456369</v>
      </c>
      <c r="P385" s="729">
        <f t="shared" si="57"/>
        <v>0.89897785849456369</v>
      </c>
      <c r="Q385" s="729">
        <f t="shared" si="57"/>
        <v>0.89897785849456369</v>
      </c>
      <c r="R385" s="729">
        <f t="shared" si="57"/>
        <v>0.89897785849456369</v>
      </c>
      <c r="S385" s="729">
        <f t="shared" si="57"/>
        <v>0.89897785849456369</v>
      </c>
      <c r="T385" s="729">
        <f t="shared" si="57"/>
        <v>0.89897785849456369</v>
      </c>
      <c r="U385" s="729">
        <f t="shared" si="57"/>
        <v>0.89897785849456369</v>
      </c>
      <c r="V385" s="729">
        <f t="shared" si="57"/>
        <v>0.89897785849456369</v>
      </c>
      <c r="W385" s="729">
        <f t="shared" si="57"/>
        <v>0.89897785849456369</v>
      </c>
      <c r="X385" s="729">
        <f t="shared" si="57"/>
        <v>0.89897785849456369</v>
      </c>
      <c r="Y385" s="729">
        <f t="shared" si="57"/>
        <v>0.89897785849456369</v>
      </c>
      <c r="Z385" s="729">
        <f t="shared" si="57"/>
        <v>0.89897785849456369</v>
      </c>
      <c r="AA385" s="729">
        <f t="shared" si="57"/>
        <v>0.89897785849456369</v>
      </c>
      <c r="AB385" s="729">
        <f t="shared" si="57"/>
        <v>0.89897785849456369</v>
      </c>
      <c r="AC385" s="729">
        <f t="shared" si="57"/>
        <v>0.89897785849456369</v>
      </c>
      <c r="AD385" s="729">
        <f t="shared" si="57"/>
        <v>0.89897785849456369</v>
      </c>
      <c r="AE385" s="729">
        <f t="shared" si="57"/>
        <v>0.89897785849456369</v>
      </c>
      <c r="AF385" s="729">
        <f t="shared" si="57"/>
        <v>0.89897785849456369</v>
      </c>
      <c r="AG385" s="729">
        <f t="shared" si="57"/>
        <v>0.89897785849456369</v>
      </c>
      <c r="AH385" s="729">
        <f t="shared" si="57"/>
        <v>0.89897785849456369</v>
      </c>
      <c r="AI385" s="729">
        <f t="shared" si="57"/>
        <v>0.89897785849456369</v>
      </c>
      <c r="AJ385" s="729">
        <f t="shared" si="57"/>
        <v>0.89897785849456369</v>
      </c>
      <c r="AK385" s="729">
        <f t="shared" si="57"/>
        <v>0.89897785849456369</v>
      </c>
      <c r="AL385" s="729">
        <f t="shared" si="57"/>
        <v>0.89897785849456369</v>
      </c>
      <c r="AM385" s="729">
        <f t="shared" si="57"/>
        <v>0.89897785849456369</v>
      </c>
      <c r="AN385" s="729">
        <f t="shared" si="57"/>
        <v>0.89897785849456369</v>
      </c>
      <c r="AO385" s="729">
        <f t="shared" si="57"/>
        <v>0.89897785849456369</v>
      </c>
      <c r="AP385" s="729">
        <f t="shared" si="57"/>
        <v>0.89897785849456369</v>
      </c>
      <c r="AQ385" s="729">
        <f t="shared" si="57"/>
        <v>0.89897785849456369</v>
      </c>
      <c r="AR385" s="729">
        <f t="shared" si="57"/>
        <v>0.89897785849456369</v>
      </c>
      <c r="AS385" s="729">
        <f t="shared" si="57"/>
        <v>0.89897785849456369</v>
      </c>
      <c r="AT385" s="729">
        <f t="shared" si="57"/>
        <v>0.89897785849456369</v>
      </c>
      <c r="AU385" s="729">
        <f t="shared" si="57"/>
        <v>0.89897785849456369</v>
      </c>
      <c r="AV385" s="729">
        <f t="shared" si="57"/>
        <v>0.89897785849456369</v>
      </c>
      <c r="AW385" s="729">
        <f t="shared" si="57"/>
        <v>0.89897785849456369</v>
      </c>
    </row>
    <row r="386" spans="1:49" s="683" customFormat="1" ht="25.5" x14ac:dyDescent="0.2">
      <c r="A386" s="702" t="s">
        <v>495</v>
      </c>
      <c r="B386" s="689">
        <v>104</v>
      </c>
      <c r="C386" s="689">
        <v>120</v>
      </c>
      <c r="D386" s="689">
        <v>93</v>
      </c>
      <c r="E386" s="689">
        <v>95</v>
      </c>
      <c r="F386" s="689">
        <v>96</v>
      </c>
      <c r="G386" s="689">
        <v>100</v>
      </c>
      <c r="H386" s="689">
        <v>116</v>
      </c>
      <c r="I386" s="689">
        <v>128</v>
      </c>
      <c r="J386" s="689">
        <v>100</v>
      </c>
      <c r="K386" s="689">
        <v>125</v>
      </c>
      <c r="L386" s="689">
        <v>120</v>
      </c>
      <c r="M386" s="689">
        <v>103</v>
      </c>
      <c r="N386" s="689">
        <v>128</v>
      </c>
      <c r="O386" s="689">
        <v>121</v>
      </c>
      <c r="P386" s="689">
        <v>117</v>
      </c>
      <c r="Q386" s="689">
        <v>121</v>
      </c>
      <c r="R386" s="689">
        <v>119</v>
      </c>
      <c r="S386" s="689">
        <v>127</v>
      </c>
      <c r="T386" s="689">
        <v>119</v>
      </c>
      <c r="U386" s="689">
        <v>104</v>
      </c>
      <c r="V386" s="689">
        <v>139</v>
      </c>
      <c r="W386" s="689">
        <v>109</v>
      </c>
      <c r="X386" s="689">
        <v>100</v>
      </c>
      <c r="Y386" s="689">
        <v>132</v>
      </c>
      <c r="Z386" s="689">
        <v>123</v>
      </c>
      <c r="AA386" s="689">
        <v>132</v>
      </c>
      <c r="AB386" s="689">
        <v>128</v>
      </c>
      <c r="AC386" s="689"/>
      <c r="AD386" s="689"/>
      <c r="AE386" s="689"/>
      <c r="AF386" s="689"/>
      <c r="AG386" s="689"/>
      <c r="AH386" s="689"/>
      <c r="AI386" s="689"/>
      <c r="AJ386" s="689"/>
      <c r="AK386" s="689"/>
      <c r="AL386" s="689"/>
      <c r="AM386" s="689"/>
      <c r="AN386" s="689"/>
      <c r="AO386" s="689"/>
      <c r="AP386" s="689"/>
      <c r="AQ386" s="689"/>
      <c r="AR386" s="689"/>
      <c r="AS386" s="689"/>
      <c r="AT386" s="689"/>
      <c r="AU386" s="689"/>
      <c r="AV386" s="689"/>
      <c r="AW386" s="689"/>
    </row>
    <row r="387" spans="1:49" s="683" customFormat="1" x14ac:dyDescent="0.2">
      <c r="A387" s="702" t="s">
        <v>490</v>
      </c>
      <c r="B387" s="689"/>
      <c r="C387" s="689">
        <f>SUM(C386-B386)</f>
        <v>16</v>
      </c>
      <c r="D387" s="689">
        <f>SUM(D386-C386)*-1</f>
        <v>27</v>
      </c>
      <c r="E387" s="689">
        <f t="shared" ref="E387:V387" si="58">SUM(E386-D386)</f>
        <v>2</v>
      </c>
      <c r="F387" s="689">
        <f t="shared" si="58"/>
        <v>1</v>
      </c>
      <c r="G387" s="689">
        <f t="shared" si="58"/>
        <v>4</v>
      </c>
      <c r="H387" s="689">
        <f t="shared" si="58"/>
        <v>16</v>
      </c>
      <c r="I387" s="689">
        <f t="shared" si="58"/>
        <v>12</v>
      </c>
      <c r="J387" s="689">
        <f>SUM(J386-I386)*-1</f>
        <v>28</v>
      </c>
      <c r="K387" s="689">
        <f t="shared" si="58"/>
        <v>25</v>
      </c>
      <c r="L387" s="689">
        <f>SUM(L386-K386)*-1</f>
        <v>5</v>
      </c>
      <c r="M387" s="689">
        <f>SUM(M386-L386)*-1</f>
        <v>17</v>
      </c>
      <c r="N387" s="689">
        <f t="shared" si="58"/>
        <v>25</v>
      </c>
      <c r="O387" s="689">
        <f>SUM(O386-N386)*-1</f>
        <v>7</v>
      </c>
      <c r="P387" s="689">
        <f>SUM(P386-O386)*-1</f>
        <v>4</v>
      </c>
      <c r="Q387" s="689">
        <f t="shared" si="58"/>
        <v>4</v>
      </c>
      <c r="R387" s="689">
        <f>SUM(R386-Q386)*-1</f>
        <v>2</v>
      </c>
      <c r="S387" s="689">
        <f t="shared" si="58"/>
        <v>8</v>
      </c>
      <c r="T387" s="689">
        <f>SUM(T386-S386)*-1</f>
        <v>8</v>
      </c>
      <c r="U387" s="689">
        <f>SUM(U386-T386)*-1</f>
        <v>15</v>
      </c>
      <c r="V387" s="689">
        <f t="shared" si="58"/>
        <v>35</v>
      </c>
      <c r="W387" s="689">
        <f>SUM(W386-V386)*-1</f>
        <v>30</v>
      </c>
      <c r="X387" s="689">
        <f>SUM(X386-W386)*-1</f>
        <v>9</v>
      </c>
      <c r="Y387" s="689">
        <f>SUM(Y386-X386)</f>
        <v>32</v>
      </c>
      <c r="Z387" s="689">
        <f>SUM(Z386-Y386)*-1</f>
        <v>9</v>
      </c>
      <c r="AA387" s="689">
        <f>SUM(AA386-Z386)</f>
        <v>9</v>
      </c>
      <c r="AB387" s="689">
        <f>SUM(AB386-AA386)*-1</f>
        <v>4</v>
      </c>
      <c r="AC387" s="689"/>
      <c r="AD387" s="689"/>
      <c r="AE387" s="689"/>
      <c r="AF387" s="689"/>
      <c r="AG387" s="689"/>
      <c r="AH387" s="689"/>
      <c r="AI387" s="689"/>
      <c r="AJ387" s="689"/>
      <c r="AK387" s="689"/>
      <c r="AL387" s="689"/>
      <c r="AM387" s="689"/>
      <c r="AN387" s="689"/>
      <c r="AO387" s="689"/>
      <c r="AP387" s="689"/>
      <c r="AQ387" s="689"/>
      <c r="AR387" s="689"/>
      <c r="AS387" s="689"/>
      <c r="AT387" s="689"/>
      <c r="AU387" s="689"/>
      <c r="AV387" s="689"/>
      <c r="AW387" s="689"/>
    </row>
    <row r="388" spans="1:49" s="683" customFormat="1" ht="21.75" x14ac:dyDescent="0.2">
      <c r="A388" s="703" t="s">
        <v>493</v>
      </c>
      <c r="B388" s="689"/>
      <c r="C388" s="689"/>
      <c r="D388" s="689"/>
      <c r="E388" s="689"/>
      <c r="F388" s="689"/>
      <c r="G388" s="689"/>
      <c r="H388" s="689"/>
      <c r="I388" s="689"/>
      <c r="J388" s="689"/>
      <c r="K388" s="689"/>
      <c r="L388" s="689"/>
      <c r="M388" s="689"/>
      <c r="N388" s="689"/>
      <c r="O388" s="689"/>
      <c r="P388" s="689"/>
      <c r="Q388" s="689"/>
      <c r="R388" s="689"/>
      <c r="S388" s="689"/>
      <c r="T388" s="689"/>
      <c r="U388" s="689"/>
      <c r="V388" s="689"/>
      <c r="W388" s="689"/>
      <c r="X388" s="689"/>
      <c r="Y388" s="689"/>
      <c r="Z388" s="689"/>
      <c r="AA388" s="689"/>
      <c r="AB388" s="689"/>
      <c r="AC388" s="689"/>
      <c r="AD388" s="689"/>
      <c r="AE388" s="689"/>
      <c r="AF388" s="689"/>
      <c r="AG388" s="689"/>
      <c r="AH388" s="689"/>
      <c r="AI388" s="689"/>
      <c r="AJ388" s="689"/>
      <c r="AK388" s="689"/>
      <c r="AL388" s="689"/>
      <c r="AM388" s="689"/>
      <c r="AN388" s="689"/>
      <c r="AO388" s="689"/>
      <c r="AP388" s="689"/>
      <c r="AQ388" s="689"/>
      <c r="AR388" s="689"/>
      <c r="AS388" s="689"/>
      <c r="AT388" s="689"/>
      <c r="AU388" s="689"/>
      <c r="AV388" s="689"/>
      <c r="AW388" s="689"/>
    </row>
    <row r="389" spans="1:49" s="683" customFormat="1" x14ac:dyDescent="0.2">
      <c r="A389" s="683" t="s">
        <v>492</v>
      </c>
      <c r="B389" s="689">
        <f t="shared" ref="B389:AW389" si="59">AVERAGE($B$386:$AW$386)</f>
        <v>115.51851851851852</v>
      </c>
      <c r="C389" s="689">
        <f t="shared" si="59"/>
        <v>115.51851851851852</v>
      </c>
      <c r="D389" s="689">
        <f t="shared" si="59"/>
        <v>115.51851851851852</v>
      </c>
      <c r="E389" s="689">
        <f t="shared" si="59"/>
        <v>115.51851851851852</v>
      </c>
      <c r="F389" s="689">
        <f t="shared" si="59"/>
        <v>115.51851851851852</v>
      </c>
      <c r="G389" s="689">
        <f t="shared" si="59"/>
        <v>115.51851851851852</v>
      </c>
      <c r="H389" s="689">
        <f t="shared" si="59"/>
        <v>115.51851851851852</v>
      </c>
      <c r="I389" s="689">
        <f t="shared" si="59"/>
        <v>115.51851851851852</v>
      </c>
      <c r="J389" s="689">
        <f t="shared" si="59"/>
        <v>115.51851851851852</v>
      </c>
      <c r="K389" s="689">
        <f t="shared" si="59"/>
        <v>115.51851851851852</v>
      </c>
      <c r="L389" s="689">
        <f t="shared" si="59"/>
        <v>115.51851851851852</v>
      </c>
      <c r="M389" s="689">
        <f t="shared" si="59"/>
        <v>115.51851851851852</v>
      </c>
      <c r="N389" s="689">
        <f t="shared" si="59"/>
        <v>115.51851851851852</v>
      </c>
      <c r="O389" s="689">
        <f t="shared" si="59"/>
        <v>115.51851851851852</v>
      </c>
      <c r="P389" s="689">
        <f t="shared" si="59"/>
        <v>115.51851851851852</v>
      </c>
      <c r="Q389" s="689">
        <f t="shared" si="59"/>
        <v>115.51851851851852</v>
      </c>
      <c r="R389" s="689">
        <f t="shared" si="59"/>
        <v>115.51851851851852</v>
      </c>
      <c r="S389" s="689">
        <f t="shared" si="59"/>
        <v>115.51851851851852</v>
      </c>
      <c r="T389" s="689">
        <f t="shared" si="59"/>
        <v>115.51851851851852</v>
      </c>
      <c r="U389" s="689">
        <f t="shared" si="59"/>
        <v>115.51851851851852</v>
      </c>
      <c r="V389" s="689">
        <f t="shared" si="59"/>
        <v>115.51851851851852</v>
      </c>
      <c r="W389" s="689">
        <f t="shared" si="59"/>
        <v>115.51851851851852</v>
      </c>
      <c r="X389" s="689">
        <f t="shared" si="59"/>
        <v>115.51851851851852</v>
      </c>
      <c r="Y389" s="689">
        <f t="shared" si="59"/>
        <v>115.51851851851852</v>
      </c>
      <c r="Z389" s="689">
        <f t="shared" si="59"/>
        <v>115.51851851851852</v>
      </c>
      <c r="AA389" s="689">
        <f t="shared" si="59"/>
        <v>115.51851851851852</v>
      </c>
      <c r="AB389" s="689">
        <f t="shared" si="59"/>
        <v>115.51851851851852</v>
      </c>
      <c r="AC389" s="689">
        <f t="shared" si="59"/>
        <v>115.51851851851852</v>
      </c>
      <c r="AD389" s="689">
        <f t="shared" si="59"/>
        <v>115.51851851851852</v>
      </c>
      <c r="AE389" s="689">
        <f t="shared" si="59"/>
        <v>115.51851851851852</v>
      </c>
      <c r="AF389" s="689">
        <f t="shared" si="59"/>
        <v>115.51851851851852</v>
      </c>
      <c r="AG389" s="689">
        <f t="shared" si="59"/>
        <v>115.51851851851852</v>
      </c>
      <c r="AH389" s="689">
        <f t="shared" si="59"/>
        <v>115.51851851851852</v>
      </c>
      <c r="AI389" s="689">
        <f t="shared" si="59"/>
        <v>115.51851851851852</v>
      </c>
      <c r="AJ389" s="689">
        <f t="shared" si="59"/>
        <v>115.51851851851852</v>
      </c>
      <c r="AK389" s="689">
        <f t="shared" si="59"/>
        <v>115.51851851851852</v>
      </c>
      <c r="AL389" s="689">
        <f t="shared" si="59"/>
        <v>115.51851851851852</v>
      </c>
      <c r="AM389" s="689">
        <f t="shared" si="59"/>
        <v>115.51851851851852</v>
      </c>
      <c r="AN389" s="689">
        <f t="shared" si="59"/>
        <v>115.51851851851852</v>
      </c>
      <c r="AO389" s="689">
        <f t="shared" si="59"/>
        <v>115.51851851851852</v>
      </c>
      <c r="AP389" s="689">
        <f t="shared" si="59"/>
        <v>115.51851851851852</v>
      </c>
      <c r="AQ389" s="689">
        <f t="shared" si="59"/>
        <v>115.51851851851852</v>
      </c>
      <c r="AR389" s="689">
        <f t="shared" si="59"/>
        <v>115.51851851851852</v>
      </c>
      <c r="AS389" s="689">
        <f t="shared" si="59"/>
        <v>115.51851851851852</v>
      </c>
      <c r="AT389" s="689">
        <f t="shared" si="59"/>
        <v>115.51851851851852</v>
      </c>
      <c r="AU389" s="689">
        <f t="shared" si="59"/>
        <v>115.51851851851852</v>
      </c>
      <c r="AV389" s="689">
        <f t="shared" si="59"/>
        <v>115.51851851851852</v>
      </c>
      <c r="AW389" s="689">
        <f t="shared" si="59"/>
        <v>115.51851851851852</v>
      </c>
    </row>
    <row r="390" spans="1:49" s="683" customFormat="1" x14ac:dyDescent="0.2">
      <c r="A390" s="702" t="s">
        <v>491</v>
      </c>
      <c r="B390" s="689">
        <f t="shared" ref="B390:AW390" si="60">SUM($C$387:$AW$387)/22</f>
        <v>16.09090909090909</v>
      </c>
      <c r="C390" s="689">
        <f t="shared" si="60"/>
        <v>16.09090909090909</v>
      </c>
      <c r="D390" s="689">
        <f t="shared" si="60"/>
        <v>16.09090909090909</v>
      </c>
      <c r="E390" s="689">
        <f t="shared" si="60"/>
        <v>16.09090909090909</v>
      </c>
      <c r="F390" s="689">
        <f t="shared" si="60"/>
        <v>16.09090909090909</v>
      </c>
      <c r="G390" s="689">
        <f t="shared" si="60"/>
        <v>16.09090909090909</v>
      </c>
      <c r="H390" s="689">
        <f t="shared" si="60"/>
        <v>16.09090909090909</v>
      </c>
      <c r="I390" s="689">
        <f t="shared" si="60"/>
        <v>16.09090909090909</v>
      </c>
      <c r="J390" s="689">
        <f t="shared" si="60"/>
        <v>16.09090909090909</v>
      </c>
      <c r="K390" s="689">
        <f t="shared" si="60"/>
        <v>16.09090909090909</v>
      </c>
      <c r="L390" s="689">
        <f t="shared" si="60"/>
        <v>16.09090909090909</v>
      </c>
      <c r="M390" s="689">
        <f t="shared" si="60"/>
        <v>16.09090909090909</v>
      </c>
      <c r="N390" s="689">
        <f t="shared" si="60"/>
        <v>16.09090909090909</v>
      </c>
      <c r="O390" s="689">
        <f t="shared" si="60"/>
        <v>16.09090909090909</v>
      </c>
      <c r="P390" s="689">
        <f t="shared" si="60"/>
        <v>16.09090909090909</v>
      </c>
      <c r="Q390" s="689">
        <f t="shared" si="60"/>
        <v>16.09090909090909</v>
      </c>
      <c r="R390" s="689">
        <f t="shared" si="60"/>
        <v>16.09090909090909</v>
      </c>
      <c r="S390" s="689">
        <f t="shared" si="60"/>
        <v>16.09090909090909</v>
      </c>
      <c r="T390" s="689">
        <f t="shared" si="60"/>
        <v>16.09090909090909</v>
      </c>
      <c r="U390" s="689">
        <f t="shared" si="60"/>
        <v>16.09090909090909</v>
      </c>
      <c r="V390" s="689">
        <f t="shared" si="60"/>
        <v>16.09090909090909</v>
      </c>
      <c r="W390" s="689">
        <f t="shared" si="60"/>
        <v>16.09090909090909</v>
      </c>
      <c r="X390" s="689">
        <f t="shared" si="60"/>
        <v>16.09090909090909</v>
      </c>
      <c r="Y390" s="689">
        <f t="shared" si="60"/>
        <v>16.09090909090909</v>
      </c>
      <c r="Z390" s="689">
        <f t="shared" si="60"/>
        <v>16.09090909090909</v>
      </c>
      <c r="AA390" s="689">
        <f t="shared" si="60"/>
        <v>16.09090909090909</v>
      </c>
      <c r="AB390" s="689">
        <f t="shared" si="60"/>
        <v>16.09090909090909</v>
      </c>
      <c r="AC390" s="689">
        <f t="shared" si="60"/>
        <v>16.09090909090909</v>
      </c>
      <c r="AD390" s="689">
        <f t="shared" si="60"/>
        <v>16.09090909090909</v>
      </c>
      <c r="AE390" s="689">
        <f t="shared" si="60"/>
        <v>16.09090909090909</v>
      </c>
      <c r="AF390" s="689">
        <f t="shared" si="60"/>
        <v>16.09090909090909</v>
      </c>
      <c r="AG390" s="689">
        <f t="shared" si="60"/>
        <v>16.09090909090909</v>
      </c>
      <c r="AH390" s="689">
        <f t="shared" si="60"/>
        <v>16.09090909090909</v>
      </c>
      <c r="AI390" s="689">
        <f t="shared" si="60"/>
        <v>16.09090909090909</v>
      </c>
      <c r="AJ390" s="689">
        <f t="shared" si="60"/>
        <v>16.09090909090909</v>
      </c>
      <c r="AK390" s="689">
        <f t="shared" si="60"/>
        <v>16.09090909090909</v>
      </c>
      <c r="AL390" s="689">
        <f t="shared" si="60"/>
        <v>16.09090909090909</v>
      </c>
      <c r="AM390" s="689">
        <f t="shared" si="60"/>
        <v>16.09090909090909</v>
      </c>
      <c r="AN390" s="689">
        <f t="shared" si="60"/>
        <v>16.09090909090909</v>
      </c>
      <c r="AO390" s="689">
        <f t="shared" si="60"/>
        <v>16.09090909090909</v>
      </c>
      <c r="AP390" s="689">
        <f t="shared" si="60"/>
        <v>16.09090909090909</v>
      </c>
      <c r="AQ390" s="689">
        <f t="shared" si="60"/>
        <v>16.09090909090909</v>
      </c>
      <c r="AR390" s="689">
        <f t="shared" si="60"/>
        <v>16.09090909090909</v>
      </c>
      <c r="AS390" s="689">
        <f t="shared" si="60"/>
        <v>16.09090909090909</v>
      </c>
      <c r="AT390" s="689">
        <f t="shared" si="60"/>
        <v>16.09090909090909</v>
      </c>
      <c r="AU390" s="689">
        <f t="shared" si="60"/>
        <v>16.09090909090909</v>
      </c>
      <c r="AV390" s="689">
        <f t="shared" si="60"/>
        <v>16.09090909090909</v>
      </c>
      <c r="AW390" s="689">
        <f t="shared" si="60"/>
        <v>16.09090909090909</v>
      </c>
    </row>
    <row r="391" spans="1:49" s="683" customFormat="1" x14ac:dyDescent="0.2">
      <c r="A391" s="702" t="s">
        <v>496</v>
      </c>
      <c r="B391" s="689">
        <f>SUM(B390)/1.128</f>
        <v>14.264990328820117</v>
      </c>
      <c r="C391" s="689">
        <f t="shared" ref="C391:Y391" si="61">SUM(C390)/1.128</f>
        <v>14.264990328820117</v>
      </c>
      <c r="D391" s="689">
        <f t="shared" si="61"/>
        <v>14.264990328820117</v>
      </c>
      <c r="E391" s="689">
        <f t="shared" si="61"/>
        <v>14.264990328820117</v>
      </c>
      <c r="F391" s="689">
        <f t="shared" si="61"/>
        <v>14.264990328820117</v>
      </c>
      <c r="G391" s="689">
        <f t="shared" si="61"/>
        <v>14.264990328820117</v>
      </c>
      <c r="H391" s="689">
        <f t="shared" si="61"/>
        <v>14.264990328820117</v>
      </c>
      <c r="I391" s="689">
        <f t="shared" si="61"/>
        <v>14.264990328820117</v>
      </c>
      <c r="J391" s="689">
        <f t="shared" si="61"/>
        <v>14.264990328820117</v>
      </c>
      <c r="K391" s="689">
        <f t="shared" si="61"/>
        <v>14.264990328820117</v>
      </c>
      <c r="L391" s="689">
        <f t="shared" si="61"/>
        <v>14.264990328820117</v>
      </c>
      <c r="M391" s="689">
        <f t="shared" si="61"/>
        <v>14.264990328820117</v>
      </c>
      <c r="N391" s="689">
        <f t="shared" si="61"/>
        <v>14.264990328820117</v>
      </c>
      <c r="O391" s="689">
        <f t="shared" si="61"/>
        <v>14.264990328820117</v>
      </c>
      <c r="P391" s="689">
        <f t="shared" si="61"/>
        <v>14.264990328820117</v>
      </c>
      <c r="Q391" s="689">
        <f t="shared" si="61"/>
        <v>14.264990328820117</v>
      </c>
      <c r="R391" s="689">
        <f t="shared" si="61"/>
        <v>14.264990328820117</v>
      </c>
      <c r="S391" s="689">
        <f t="shared" si="61"/>
        <v>14.264990328820117</v>
      </c>
      <c r="T391" s="689">
        <f t="shared" si="61"/>
        <v>14.264990328820117</v>
      </c>
      <c r="U391" s="689">
        <f t="shared" si="61"/>
        <v>14.264990328820117</v>
      </c>
      <c r="V391" s="689">
        <f t="shared" si="61"/>
        <v>14.264990328820117</v>
      </c>
      <c r="W391" s="689">
        <f t="shared" si="61"/>
        <v>14.264990328820117</v>
      </c>
      <c r="X391" s="689">
        <f t="shared" si="61"/>
        <v>14.264990328820117</v>
      </c>
      <c r="Y391" s="689">
        <f t="shared" si="61"/>
        <v>14.264990328820117</v>
      </c>
      <c r="Z391" s="689">
        <f t="shared" ref="Z391:AW391" si="62">SUM(Z390)/1.128</f>
        <v>14.264990328820117</v>
      </c>
      <c r="AA391" s="689">
        <f t="shared" si="62"/>
        <v>14.264990328820117</v>
      </c>
      <c r="AB391" s="689">
        <f t="shared" si="62"/>
        <v>14.264990328820117</v>
      </c>
      <c r="AC391" s="689">
        <f t="shared" si="62"/>
        <v>14.264990328820117</v>
      </c>
      <c r="AD391" s="689">
        <f t="shared" si="62"/>
        <v>14.264990328820117</v>
      </c>
      <c r="AE391" s="689">
        <f t="shared" si="62"/>
        <v>14.264990328820117</v>
      </c>
      <c r="AF391" s="689">
        <f t="shared" si="62"/>
        <v>14.264990328820117</v>
      </c>
      <c r="AG391" s="689">
        <f t="shared" si="62"/>
        <v>14.264990328820117</v>
      </c>
      <c r="AH391" s="689">
        <f t="shared" si="62"/>
        <v>14.264990328820117</v>
      </c>
      <c r="AI391" s="689">
        <f t="shared" si="62"/>
        <v>14.264990328820117</v>
      </c>
      <c r="AJ391" s="689">
        <f t="shared" si="62"/>
        <v>14.264990328820117</v>
      </c>
      <c r="AK391" s="689">
        <f t="shared" si="62"/>
        <v>14.264990328820117</v>
      </c>
      <c r="AL391" s="689">
        <f t="shared" si="62"/>
        <v>14.264990328820117</v>
      </c>
      <c r="AM391" s="689">
        <f t="shared" si="62"/>
        <v>14.264990328820117</v>
      </c>
      <c r="AN391" s="689">
        <f t="shared" si="62"/>
        <v>14.264990328820117</v>
      </c>
      <c r="AO391" s="689">
        <f t="shared" si="62"/>
        <v>14.264990328820117</v>
      </c>
      <c r="AP391" s="689">
        <f t="shared" si="62"/>
        <v>14.264990328820117</v>
      </c>
      <c r="AQ391" s="689">
        <f t="shared" si="62"/>
        <v>14.264990328820117</v>
      </c>
      <c r="AR391" s="689">
        <f t="shared" si="62"/>
        <v>14.264990328820117</v>
      </c>
      <c r="AS391" s="689">
        <f t="shared" si="62"/>
        <v>14.264990328820117</v>
      </c>
      <c r="AT391" s="689">
        <f t="shared" si="62"/>
        <v>14.264990328820117</v>
      </c>
      <c r="AU391" s="689">
        <f t="shared" si="62"/>
        <v>14.264990328820117</v>
      </c>
      <c r="AV391" s="689">
        <f t="shared" si="62"/>
        <v>14.264990328820117</v>
      </c>
      <c r="AW391" s="689">
        <f t="shared" si="62"/>
        <v>14.264990328820117</v>
      </c>
    </row>
    <row r="392" spans="1:49" s="683" customFormat="1" x14ac:dyDescent="0.2">
      <c r="A392" s="702" t="s">
        <v>497</v>
      </c>
      <c r="B392" s="689">
        <f t="shared" ref="B392:AW392" si="63">SUM($B$389)+ (3*$B$391)</f>
        <v>158.31348950497886</v>
      </c>
      <c r="C392" s="689">
        <f t="shared" si="63"/>
        <v>158.31348950497886</v>
      </c>
      <c r="D392" s="689">
        <f t="shared" si="63"/>
        <v>158.31348950497886</v>
      </c>
      <c r="E392" s="689">
        <f t="shared" si="63"/>
        <v>158.31348950497886</v>
      </c>
      <c r="F392" s="689">
        <f t="shared" si="63"/>
        <v>158.31348950497886</v>
      </c>
      <c r="G392" s="689">
        <f t="shared" si="63"/>
        <v>158.31348950497886</v>
      </c>
      <c r="H392" s="689">
        <f t="shared" si="63"/>
        <v>158.31348950497886</v>
      </c>
      <c r="I392" s="689">
        <f t="shared" si="63"/>
        <v>158.31348950497886</v>
      </c>
      <c r="J392" s="689">
        <f t="shared" si="63"/>
        <v>158.31348950497886</v>
      </c>
      <c r="K392" s="689">
        <f t="shared" si="63"/>
        <v>158.31348950497886</v>
      </c>
      <c r="L392" s="689">
        <f t="shared" si="63"/>
        <v>158.31348950497886</v>
      </c>
      <c r="M392" s="689">
        <f t="shared" si="63"/>
        <v>158.31348950497886</v>
      </c>
      <c r="N392" s="689">
        <f t="shared" si="63"/>
        <v>158.31348950497886</v>
      </c>
      <c r="O392" s="689">
        <f t="shared" si="63"/>
        <v>158.31348950497886</v>
      </c>
      <c r="P392" s="689">
        <f t="shared" si="63"/>
        <v>158.31348950497886</v>
      </c>
      <c r="Q392" s="689">
        <f t="shared" si="63"/>
        <v>158.31348950497886</v>
      </c>
      <c r="R392" s="689">
        <f t="shared" si="63"/>
        <v>158.31348950497886</v>
      </c>
      <c r="S392" s="689">
        <f t="shared" si="63"/>
        <v>158.31348950497886</v>
      </c>
      <c r="T392" s="689">
        <f t="shared" si="63"/>
        <v>158.31348950497886</v>
      </c>
      <c r="U392" s="689">
        <f t="shared" si="63"/>
        <v>158.31348950497886</v>
      </c>
      <c r="V392" s="689">
        <f t="shared" si="63"/>
        <v>158.31348950497886</v>
      </c>
      <c r="W392" s="689">
        <f t="shared" si="63"/>
        <v>158.31348950497886</v>
      </c>
      <c r="X392" s="689">
        <f t="shared" si="63"/>
        <v>158.31348950497886</v>
      </c>
      <c r="Y392" s="689">
        <f t="shared" si="63"/>
        <v>158.31348950497886</v>
      </c>
      <c r="Z392" s="689">
        <f t="shared" si="63"/>
        <v>158.31348950497886</v>
      </c>
      <c r="AA392" s="689">
        <f t="shared" si="63"/>
        <v>158.31348950497886</v>
      </c>
      <c r="AB392" s="689">
        <f t="shared" si="63"/>
        <v>158.31348950497886</v>
      </c>
      <c r="AC392" s="689">
        <f t="shared" si="63"/>
        <v>158.31348950497886</v>
      </c>
      <c r="AD392" s="689">
        <f t="shared" si="63"/>
        <v>158.31348950497886</v>
      </c>
      <c r="AE392" s="689">
        <f t="shared" si="63"/>
        <v>158.31348950497886</v>
      </c>
      <c r="AF392" s="689">
        <f t="shared" si="63"/>
        <v>158.31348950497886</v>
      </c>
      <c r="AG392" s="689">
        <f t="shared" si="63"/>
        <v>158.31348950497886</v>
      </c>
      <c r="AH392" s="689">
        <f t="shared" si="63"/>
        <v>158.31348950497886</v>
      </c>
      <c r="AI392" s="689">
        <f t="shared" si="63"/>
        <v>158.31348950497886</v>
      </c>
      <c r="AJ392" s="689">
        <f t="shared" si="63"/>
        <v>158.31348950497886</v>
      </c>
      <c r="AK392" s="689">
        <f t="shared" si="63"/>
        <v>158.31348950497886</v>
      </c>
      <c r="AL392" s="689">
        <f t="shared" si="63"/>
        <v>158.31348950497886</v>
      </c>
      <c r="AM392" s="689">
        <f t="shared" si="63"/>
        <v>158.31348950497886</v>
      </c>
      <c r="AN392" s="689">
        <f t="shared" si="63"/>
        <v>158.31348950497886</v>
      </c>
      <c r="AO392" s="689">
        <f t="shared" si="63"/>
        <v>158.31348950497886</v>
      </c>
      <c r="AP392" s="689">
        <f t="shared" si="63"/>
        <v>158.31348950497886</v>
      </c>
      <c r="AQ392" s="689">
        <f t="shared" si="63"/>
        <v>158.31348950497886</v>
      </c>
      <c r="AR392" s="689">
        <f t="shared" si="63"/>
        <v>158.31348950497886</v>
      </c>
      <c r="AS392" s="689">
        <f t="shared" si="63"/>
        <v>158.31348950497886</v>
      </c>
      <c r="AT392" s="689">
        <f t="shared" si="63"/>
        <v>158.31348950497886</v>
      </c>
      <c r="AU392" s="689">
        <f t="shared" si="63"/>
        <v>158.31348950497886</v>
      </c>
      <c r="AV392" s="689">
        <f t="shared" si="63"/>
        <v>158.31348950497886</v>
      </c>
      <c r="AW392" s="689">
        <f t="shared" si="63"/>
        <v>158.31348950497886</v>
      </c>
    </row>
    <row r="393" spans="1:49" s="683" customFormat="1" x14ac:dyDescent="0.2">
      <c r="A393" s="702" t="s">
        <v>498</v>
      </c>
      <c r="B393" s="689">
        <f t="shared" ref="B393:AW393" si="64">SUM($B$389)+- (3*$B$391)</f>
        <v>72.723547532058177</v>
      </c>
      <c r="C393" s="689">
        <f t="shared" si="64"/>
        <v>72.723547532058177</v>
      </c>
      <c r="D393" s="689">
        <f t="shared" si="64"/>
        <v>72.723547532058177</v>
      </c>
      <c r="E393" s="689">
        <f t="shared" si="64"/>
        <v>72.723547532058177</v>
      </c>
      <c r="F393" s="689">
        <f t="shared" si="64"/>
        <v>72.723547532058177</v>
      </c>
      <c r="G393" s="689">
        <f t="shared" si="64"/>
        <v>72.723547532058177</v>
      </c>
      <c r="H393" s="689">
        <f t="shared" si="64"/>
        <v>72.723547532058177</v>
      </c>
      <c r="I393" s="689">
        <f t="shared" si="64"/>
        <v>72.723547532058177</v>
      </c>
      <c r="J393" s="689">
        <f t="shared" si="64"/>
        <v>72.723547532058177</v>
      </c>
      <c r="K393" s="689">
        <f t="shared" si="64"/>
        <v>72.723547532058177</v>
      </c>
      <c r="L393" s="689">
        <f t="shared" si="64"/>
        <v>72.723547532058177</v>
      </c>
      <c r="M393" s="689">
        <f t="shared" si="64"/>
        <v>72.723547532058177</v>
      </c>
      <c r="N393" s="689">
        <f t="shared" si="64"/>
        <v>72.723547532058177</v>
      </c>
      <c r="O393" s="689">
        <f t="shared" si="64"/>
        <v>72.723547532058177</v>
      </c>
      <c r="P393" s="689">
        <f t="shared" si="64"/>
        <v>72.723547532058177</v>
      </c>
      <c r="Q393" s="689">
        <f t="shared" si="64"/>
        <v>72.723547532058177</v>
      </c>
      <c r="R393" s="689">
        <f t="shared" si="64"/>
        <v>72.723547532058177</v>
      </c>
      <c r="S393" s="689">
        <f t="shared" si="64"/>
        <v>72.723547532058177</v>
      </c>
      <c r="T393" s="689">
        <f t="shared" si="64"/>
        <v>72.723547532058177</v>
      </c>
      <c r="U393" s="689">
        <f t="shared" si="64"/>
        <v>72.723547532058177</v>
      </c>
      <c r="V393" s="689">
        <f t="shared" si="64"/>
        <v>72.723547532058177</v>
      </c>
      <c r="W393" s="689">
        <f t="shared" si="64"/>
        <v>72.723547532058177</v>
      </c>
      <c r="X393" s="689">
        <f t="shared" si="64"/>
        <v>72.723547532058177</v>
      </c>
      <c r="Y393" s="689">
        <f t="shared" si="64"/>
        <v>72.723547532058177</v>
      </c>
      <c r="Z393" s="689">
        <f t="shared" si="64"/>
        <v>72.723547532058177</v>
      </c>
      <c r="AA393" s="689">
        <f t="shared" si="64"/>
        <v>72.723547532058177</v>
      </c>
      <c r="AB393" s="689">
        <f t="shared" si="64"/>
        <v>72.723547532058177</v>
      </c>
      <c r="AC393" s="689">
        <f t="shared" si="64"/>
        <v>72.723547532058177</v>
      </c>
      <c r="AD393" s="689">
        <f t="shared" si="64"/>
        <v>72.723547532058177</v>
      </c>
      <c r="AE393" s="689">
        <f t="shared" si="64"/>
        <v>72.723547532058177</v>
      </c>
      <c r="AF393" s="689">
        <f t="shared" si="64"/>
        <v>72.723547532058177</v>
      </c>
      <c r="AG393" s="689">
        <f t="shared" si="64"/>
        <v>72.723547532058177</v>
      </c>
      <c r="AH393" s="689">
        <f t="shared" si="64"/>
        <v>72.723547532058177</v>
      </c>
      <c r="AI393" s="689">
        <f t="shared" si="64"/>
        <v>72.723547532058177</v>
      </c>
      <c r="AJ393" s="689">
        <f t="shared" si="64"/>
        <v>72.723547532058177</v>
      </c>
      <c r="AK393" s="689">
        <f t="shared" si="64"/>
        <v>72.723547532058177</v>
      </c>
      <c r="AL393" s="689">
        <f t="shared" si="64"/>
        <v>72.723547532058177</v>
      </c>
      <c r="AM393" s="689">
        <f t="shared" si="64"/>
        <v>72.723547532058177</v>
      </c>
      <c r="AN393" s="689">
        <f t="shared" si="64"/>
        <v>72.723547532058177</v>
      </c>
      <c r="AO393" s="689">
        <f t="shared" si="64"/>
        <v>72.723547532058177</v>
      </c>
      <c r="AP393" s="689">
        <f t="shared" si="64"/>
        <v>72.723547532058177</v>
      </c>
      <c r="AQ393" s="689">
        <f t="shared" si="64"/>
        <v>72.723547532058177</v>
      </c>
      <c r="AR393" s="689">
        <f t="shared" si="64"/>
        <v>72.723547532058177</v>
      </c>
      <c r="AS393" s="689">
        <f t="shared" si="64"/>
        <v>72.723547532058177</v>
      </c>
      <c r="AT393" s="689">
        <f t="shared" si="64"/>
        <v>72.723547532058177</v>
      </c>
      <c r="AU393" s="689">
        <f t="shared" si="64"/>
        <v>72.723547532058177</v>
      </c>
      <c r="AV393" s="689">
        <f t="shared" si="64"/>
        <v>72.723547532058177</v>
      </c>
      <c r="AW393" s="689">
        <f t="shared" si="64"/>
        <v>72.723547532058177</v>
      </c>
    </row>
    <row r="394" spans="1:49" s="683" customFormat="1" ht="7.5" customHeight="1" x14ac:dyDescent="0.2">
      <c r="A394" s="702"/>
      <c r="B394" s="689"/>
      <c r="C394" s="689"/>
      <c r="D394" s="689"/>
      <c r="E394" s="689"/>
      <c r="F394" s="689"/>
      <c r="G394" s="689"/>
      <c r="H394" s="689"/>
      <c r="I394" s="689"/>
      <c r="J394" s="689"/>
      <c r="K394" s="689"/>
      <c r="L394" s="689"/>
      <c r="M394" s="689"/>
      <c r="N394" s="689"/>
      <c r="O394" s="689"/>
      <c r="P394" s="689"/>
      <c r="Q394" s="689"/>
      <c r="R394" s="689"/>
      <c r="S394" s="689"/>
      <c r="T394" s="689"/>
      <c r="U394" s="689"/>
      <c r="V394" s="689"/>
      <c r="W394" s="689"/>
      <c r="X394" s="689"/>
      <c r="Y394" s="689"/>
      <c r="Z394" s="689"/>
      <c r="AA394" s="689"/>
      <c r="AB394" s="689"/>
      <c r="AC394" s="689"/>
      <c r="AD394" s="689"/>
      <c r="AE394" s="689"/>
      <c r="AF394" s="689"/>
      <c r="AG394" s="689"/>
      <c r="AH394" s="689"/>
      <c r="AI394" s="689"/>
      <c r="AJ394" s="689"/>
      <c r="AK394" s="689"/>
      <c r="AL394" s="689"/>
      <c r="AM394" s="689"/>
      <c r="AN394" s="689"/>
      <c r="AO394" s="689"/>
      <c r="AP394" s="689"/>
      <c r="AQ394" s="689"/>
      <c r="AR394" s="689"/>
      <c r="AS394" s="689"/>
      <c r="AT394" s="689"/>
      <c r="AU394" s="689"/>
      <c r="AV394" s="689"/>
      <c r="AW394" s="689"/>
    </row>
    <row r="395" spans="1:49" s="683" customFormat="1" ht="25.5" x14ac:dyDescent="0.2">
      <c r="A395" s="702" t="s">
        <v>506</v>
      </c>
      <c r="B395" s="728">
        <f t="shared" ref="B395:AB395" si="65">B21</f>
        <v>0.92753623188405798</v>
      </c>
      <c r="C395" s="728">
        <f t="shared" si="65"/>
        <v>0.90909090909090906</v>
      </c>
      <c r="D395" s="728">
        <f t="shared" si="65"/>
        <v>0.95081967213114749</v>
      </c>
      <c r="E395" s="728">
        <f t="shared" si="65"/>
        <v>0.8771929824561403</v>
      </c>
      <c r="F395" s="728">
        <f t="shared" si="65"/>
        <v>0.94915254237288138</v>
      </c>
      <c r="G395" s="728">
        <f t="shared" si="65"/>
        <v>0.92063492063492058</v>
      </c>
      <c r="H395" s="728">
        <f t="shared" si="65"/>
        <v>0.9552238805970148</v>
      </c>
      <c r="I395" s="728">
        <f t="shared" si="65"/>
        <v>0.93827160493827155</v>
      </c>
      <c r="J395" s="728">
        <f t="shared" si="65"/>
        <v>0.9</v>
      </c>
      <c r="K395" s="728">
        <f t="shared" si="65"/>
        <v>0.93333333333333324</v>
      </c>
      <c r="L395" s="728">
        <f t="shared" si="65"/>
        <v>0.92300000000000004</v>
      </c>
      <c r="M395" s="728">
        <f t="shared" si="65"/>
        <v>0.81666666666666676</v>
      </c>
      <c r="N395" s="728">
        <f t="shared" si="65"/>
        <v>0.90700000000000003</v>
      </c>
      <c r="O395" s="728">
        <f t="shared" si="65"/>
        <v>0.93421052631578949</v>
      </c>
      <c r="P395" s="728">
        <f t="shared" si="65"/>
        <v>0.92400000000000004</v>
      </c>
      <c r="Q395" s="728">
        <f t="shared" si="65"/>
        <v>0.92200000000000004</v>
      </c>
      <c r="R395" s="728">
        <f t="shared" si="65"/>
        <v>0.9285714285714286</v>
      </c>
      <c r="S395" s="728">
        <f t="shared" si="65"/>
        <v>0.90476190476190477</v>
      </c>
      <c r="T395" s="728">
        <f t="shared" si="65"/>
        <v>0.88461538461538458</v>
      </c>
      <c r="U395" s="728">
        <f t="shared" si="65"/>
        <v>0.8771929824561403</v>
      </c>
      <c r="V395" s="728">
        <f t="shared" si="65"/>
        <v>0.88749999999999996</v>
      </c>
      <c r="W395" s="728">
        <f t="shared" si="65"/>
        <v>0.9152542372881356</v>
      </c>
      <c r="X395" s="728">
        <f t="shared" si="65"/>
        <v>0.96226415094339623</v>
      </c>
      <c r="Y395" s="728">
        <f t="shared" si="65"/>
        <v>0.92207792207792205</v>
      </c>
      <c r="Z395" s="728">
        <f t="shared" si="65"/>
        <v>0.91891891891891897</v>
      </c>
      <c r="AA395" s="728">
        <f t="shared" si="65"/>
        <v>0.90361445783132543</v>
      </c>
      <c r="AB395" s="728">
        <f t="shared" si="65"/>
        <v>0.953125</v>
      </c>
      <c r="AC395" s="728"/>
      <c r="AD395" s="728"/>
      <c r="AE395" s="728"/>
      <c r="AF395" s="728"/>
      <c r="AG395" s="728"/>
      <c r="AH395" s="728"/>
      <c r="AI395" s="728"/>
      <c r="AJ395" s="728"/>
      <c r="AK395" s="728"/>
      <c r="AL395" s="728"/>
      <c r="AM395" s="728"/>
      <c r="AN395" s="728"/>
      <c r="AO395" s="728"/>
      <c r="AP395" s="728"/>
      <c r="AQ395" s="728"/>
      <c r="AR395" s="728"/>
      <c r="AS395" s="728"/>
      <c r="AT395" s="728"/>
      <c r="AU395" s="728"/>
      <c r="AV395" s="728"/>
      <c r="AW395" s="728"/>
    </row>
    <row r="396" spans="1:49" s="683" customFormat="1" x14ac:dyDescent="0.2">
      <c r="A396" s="702" t="s">
        <v>488</v>
      </c>
      <c r="B396" s="729">
        <v>0.95</v>
      </c>
      <c r="C396" s="729">
        <v>0.95</v>
      </c>
      <c r="D396" s="729">
        <v>0.95</v>
      </c>
      <c r="E396" s="729">
        <v>0.95</v>
      </c>
      <c r="F396" s="729">
        <v>0.95</v>
      </c>
      <c r="G396" s="729">
        <v>0.95</v>
      </c>
      <c r="H396" s="729">
        <v>0.95</v>
      </c>
      <c r="I396" s="729">
        <v>0.95</v>
      </c>
      <c r="J396" s="729">
        <v>0.95</v>
      </c>
      <c r="K396" s="729">
        <v>0.95</v>
      </c>
      <c r="L396" s="729">
        <v>0.95</v>
      </c>
      <c r="M396" s="729">
        <v>0.95</v>
      </c>
      <c r="N396" s="729">
        <v>0.95</v>
      </c>
      <c r="O396" s="729">
        <v>0.95</v>
      </c>
      <c r="P396" s="729">
        <v>0.95</v>
      </c>
      <c r="Q396" s="729">
        <v>0.95</v>
      </c>
      <c r="R396" s="729">
        <v>0.95</v>
      </c>
      <c r="S396" s="729">
        <v>0.95</v>
      </c>
      <c r="T396" s="729">
        <v>0.95</v>
      </c>
      <c r="U396" s="729">
        <v>0.95</v>
      </c>
      <c r="V396" s="729">
        <v>0.95</v>
      </c>
      <c r="W396" s="729">
        <v>0.95</v>
      </c>
      <c r="X396" s="729">
        <v>0.95</v>
      </c>
      <c r="Y396" s="729">
        <v>0.95</v>
      </c>
      <c r="Z396" s="729">
        <v>0.95</v>
      </c>
      <c r="AA396" s="729">
        <v>0.95</v>
      </c>
      <c r="AB396" s="729">
        <v>0.95</v>
      </c>
      <c r="AC396" s="729">
        <v>0.95</v>
      </c>
      <c r="AD396" s="729">
        <v>0.95</v>
      </c>
      <c r="AE396" s="729">
        <v>0.95</v>
      </c>
      <c r="AF396" s="729">
        <v>0.95</v>
      </c>
      <c r="AG396" s="729">
        <v>0.95</v>
      </c>
      <c r="AH396" s="729">
        <v>0.95</v>
      </c>
      <c r="AI396" s="729">
        <v>0.95</v>
      </c>
      <c r="AJ396" s="729">
        <v>0.95</v>
      </c>
      <c r="AK396" s="729">
        <v>0.95</v>
      </c>
      <c r="AL396" s="729">
        <v>0.95</v>
      </c>
      <c r="AM396" s="729">
        <v>0.95</v>
      </c>
      <c r="AN396" s="729">
        <v>0.95</v>
      </c>
      <c r="AO396" s="729">
        <v>0.95</v>
      </c>
      <c r="AP396" s="729">
        <v>0.95</v>
      </c>
      <c r="AQ396" s="729">
        <v>0.95</v>
      </c>
      <c r="AR396" s="729">
        <v>0.95</v>
      </c>
      <c r="AS396" s="729">
        <v>0.95</v>
      </c>
      <c r="AT396" s="729">
        <v>0.95</v>
      </c>
      <c r="AU396" s="729">
        <v>0.95</v>
      </c>
      <c r="AV396" s="729">
        <v>0.95</v>
      </c>
      <c r="AW396" s="729">
        <v>0.95</v>
      </c>
    </row>
    <row r="397" spans="1:49" s="683" customFormat="1" x14ac:dyDescent="0.2">
      <c r="A397" s="702" t="s">
        <v>131</v>
      </c>
      <c r="B397" s="732">
        <f t="shared" ref="B397:M397" si="66">MEDIAN($B$395:$M$395)</f>
        <v>0.92526811594202907</v>
      </c>
      <c r="C397" s="732">
        <f t="shared" si="66"/>
        <v>0.92526811594202907</v>
      </c>
      <c r="D397" s="732">
        <f t="shared" si="66"/>
        <v>0.92526811594202907</v>
      </c>
      <c r="E397" s="732">
        <f t="shared" si="66"/>
        <v>0.92526811594202907</v>
      </c>
      <c r="F397" s="732">
        <f t="shared" si="66"/>
        <v>0.92526811594202907</v>
      </c>
      <c r="G397" s="732">
        <f t="shared" si="66"/>
        <v>0.92526811594202907</v>
      </c>
      <c r="H397" s="732">
        <f t="shared" si="66"/>
        <v>0.92526811594202907</v>
      </c>
      <c r="I397" s="732">
        <f t="shared" si="66"/>
        <v>0.92526811594202907</v>
      </c>
      <c r="J397" s="732">
        <f t="shared" si="66"/>
        <v>0.92526811594202907</v>
      </c>
      <c r="K397" s="732">
        <f t="shared" si="66"/>
        <v>0.92526811594202907</v>
      </c>
      <c r="L397" s="732">
        <f t="shared" si="66"/>
        <v>0.92526811594202907</v>
      </c>
      <c r="M397" s="732">
        <f t="shared" si="66"/>
        <v>0.92526811594202907</v>
      </c>
    </row>
    <row r="398" spans="1:49" s="683" customFormat="1" x14ac:dyDescent="0.2">
      <c r="A398" s="702" t="s">
        <v>184</v>
      </c>
      <c r="M398" s="732">
        <f t="shared" ref="M398:AW398" si="67">MEDIAN($B$395:$M$395)</f>
        <v>0.92526811594202907</v>
      </c>
      <c r="N398" s="732">
        <f t="shared" si="67"/>
        <v>0.92526811594202907</v>
      </c>
      <c r="O398" s="732">
        <f t="shared" si="67"/>
        <v>0.92526811594202907</v>
      </c>
      <c r="P398" s="732">
        <f t="shared" si="67"/>
        <v>0.92526811594202907</v>
      </c>
      <c r="Q398" s="732">
        <f t="shared" si="67"/>
        <v>0.92526811594202907</v>
      </c>
      <c r="R398" s="732">
        <f t="shared" si="67"/>
        <v>0.92526811594202907</v>
      </c>
      <c r="S398" s="732">
        <f t="shared" si="67"/>
        <v>0.92526811594202907</v>
      </c>
      <c r="T398" s="732">
        <f t="shared" si="67"/>
        <v>0.92526811594202907</v>
      </c>
      <c r="U398" s="732">
        <f t="shared" si="67"/>
        <v>0.92526811594202907</v>
      </c>
      <c r="V398" s="732">
        <f t="shared" si="67"/>
        <v>0.92526811594202907</v>
      </c>
      <c r="W398" s="732">
        <f t="shared" si="67"/>
        <v>0.92526811594202907</v>
      </c>
      <c r="X398" s="732">
        <f t="shared" si="67"/>
        <v>0.92526811594202907</v>
      </c>
      <c r="Y398" s="732">
        <f t="shared" si="67"/>
        <v>0.92526811594202907</v>
      </c>
      <c r="Z398" s="732">
        <f t="shared" si="67"/>
        <v>0.92526811594202907</v>
      </c>
      <c r="AA398" s="732">
        <f t="shared" si="67"/>
        <v>0.92526811594202907</v>
      </c>
      <c r="AB398" s="732">
        <f t="shared" si="67"/>
        <v>0.92526811594202907</v>
      </c>
      <c r="AC398" s="732">
        <f t="shared" si="67"/>
        <v>0.92526811594202907</v>
      </c>
      <c r="AD398" s="732">
        <f t="shared" si="67"/>
        <v>0.92526811594202907</v>
      </c>
      <c r="AE398" s="732">
        <f t="shared" si="67"/>
        <v>0.92526811594202907</v>
      </c>
      <c r="AF398" s="732">
        <f t="shared" si="67"/>
        <v>0.92526811594202907</v>
      </c>
      <c r="AG398" s="732">
        <f t="shared" si="67"/>
        <v>0.92526811594202907</v>
      </c>
      <c r="AH398" s="732">
        <f t="shared" si="67"/>
        <v>0.92526811594202907</v>
      </c>
      <c r="AI398" s="732">
        <f t="shared" si="67"/>
        <v>0.92526811594202907</v>
      </c>
      <c r="AJ398" s="732">
        <f t="shared" si="67"/>
        <v>0.92526811594202907</v>
      </c>
      <c r="AK398" s="732">
        <f t="shared" si="67"/>
        <v>0.92526811594202907</v>
      </c>
      <c r="AL398" s="732">
        <f t="shared" si="67"/>
        <v>0.92526811594202907</v>
      </c>
      <c r="AM398" s="732">
        <f t="shared" si="67"/>
        <v>0.92526811594202907</v>
      </c>
      <c r="AN398" s="732">
        <f t="shared" si="67"/>
        <v>0.92526811594202907</v>
      </c>
      <c r="AO398" s="732">
        <f t="shared" si="67"/>
        <v>0.92526811594202907</v>
      </c>
      <c r="AP398" s="732">
        <f t="shared" si="67"/>
        <v>0.92526811594202907</v>
      </c>
      <c r="AQ398" s="732">
        <f t="shared" si="67"/>
        <v>0.92526811594202907</v>
      </c>
      <c r="AR398" s="732">
        <f t="shared" si="67"/>
        <v>0.92526811594202907</v>
      </c>
      <c r="AS398" s="732">
        <f t="shared" si="67"/>
        <v>0.92526811594202907</v>
      </c>
      <c r="AT398" s="732">
        <f t="shared" si="67"/>
        <v>0.92526811594202907</v>
      </c>
      <c r="AU398" s="732">
        <f t="shared" si="67"/>
        <v>0.92526811594202907</v>
      </c>
      <c r="AV398" s="732">
        <f t="shared" si="67"/>
        <v>0.92526811594202907</v>
      </c>
      <c r="AW398" s="732">
        <f t="shared" si="67"/>
        <v>0.92526811594202907</v>
      </c>
    </row>
    <row r="399" spans="1:49" s="683" customFormat="1" x14ac:dyDescent="0.2">
      <c r="A399" s="702" t="s">
        <v>490</v>
      </c>
      <c r="C399" s="732">
        <f>SUM(C395-B395)*-1</f>
        <v>1.8445322793148922E-2</v>
      </c>
      <c r="D399" s="732">
        <f t="shared" ref="D399:W399" si="68">SUM(D395-C395)</f>
        <v>4.1728763040238426E-2</v>
      </c>
      <c r="E399" s="732">
        <f>SUM(E395-D395)*-1</f>
        <v>7.3626689675007184E-2</v>
      </c>
      <c r="F399" s="732">
        <f t="shared" si="68"/>
        <v>7.1959559916741078E-2</v>
      </c>
      <c r="G399" s="732">
        <f>SUM(G395-F395)*-1</f>
        <v>2.8517621737960797E-2</v>
      </c>
      <c r="H399" s="732">
        <f t="shared" si="68"/>
        <v>3.4588959962094212E-2</v>
      </c>
      <c r="I399" s="732">
        <f>SUM(I395-H395)*-1</f>
        <v>1.6952275658743243E-2</v>
      </c>
      <c r="J399" s="732">
        <f>SUM(J395-I395)*-1</f>
        <v>3.8271604938271531E-2</v>
      </c>
      <c r="K399" s="732">
        <f t="shared" si="68"/>
        <v>3.3333333333333215E-2</v>
      </c>
      <c r="L399" s="732">
        <f>SUM(L395-K395)*-1</f>
        <v>1.0333333333333194E-2</v>
      </c>
      <c r="M399" s="732">
        <f>SUM(M395-L395)*-1</f>
        <v>0.10633333333333328</v>
      </c>
      <c r="N399" s="732">
        <f t="shared" si="68"/>
        <v>9.0333333333333266E-2</v>
      </c>
      <c r="O399" s="732">
        <f t="shared" si="68"/>
        <v>2.7210526315789463E-2</v>
      </c>
      <c r="P399" s="732">
        <f>SUM(P395-O395)*-1</f>
        <v>1.0210526315789448E-2</v>
      </c>
      <c r="Q399" s="732">
        <f>SUM(Q395-P395)*-1</f>
        <v>2.0000000000000018E-3</v>
      </c>
      <c r="R399" s="732">
        <f t="shared" si="68"/>
        <v>6.5714285714285614E-3</v>
      </c>
      <c r="S399" s="732">
        <f>SUM(S395-R395)*-1</f>
        <v>2.3809523809523836E-2</v>
      </c>
      <c r="T399" s="732">
        <f>SUM(T395-S395)*-1</f>
        <v>2.0146520146520186E-2</v>
      </c>
      <c r="U399" s="732">
        <f>SUM(U395-T395)*-1</f>
        <v>7.422402159244279E-3</v>
      </c>
      <c r="V399" s="732">
        <f t="shared" si="68"/>
        <v>1.0307017543859653E-2</v>
      </c>
      <c r="W399" s="732">
        <f t="shared" si="68"/>
        <v>2.7754237288135641E-2</v>
      </c>
      <c r="X399" s="732">
        <f>SUM(X395-W395)</f>
        <v>4.7009913655260638E-2</v>
      </c>
      <c r="Y399" s="732">
        <f>SUM(Y395-X395)*-1</f>
        <v>4.0186228865474183E-2</v>
      </c>
      <c r="Z399" s="732">
        <f>SUM(Z395-Y395)</f>
        <v>-3.159003159003082E-3</v>
      </c>
      <c r="AA399" s="732">
        <f>SUM(AA395-Z395)*-1</f>
        <v>1.5304461087593535E-2</v>
      </c>
      <c r="AB399" s="732">
        <f>SUM(AB395-AA395)</f>
        <v>4.9510542168674565E-2</v>
      </c>
      <c r="AC399" s="732"/>
      <c r="AD399" s="732"/>
      <c r="AE399" s="732"/>
      <c r="AF399" s="732"/>
      <c r="AG399" s="732"/>
      <c r="AH399" s="732"/>
      <c r="AI399" s="732"/>
      <c r="AJ399" s="732"/>
      <c r="AK399" s="732"/>
      <c r="AL399" s="732"/>
      <c r="AM399" s="732"/>
      <c r="AN399" s="732"/>
      <c r="AO399" s="732"/>
      <c r="AP399" s="732"/>
      <c r="AQ399" s="732"/>
      <c r="AR399" s="732"/>
      <c r="AS399" s="732"/>
      <c r="AT399" s="732"/>
      <c r="AU399" s="732"/>
      <c r="AV399" s="732"/>
      <c r="AW399" s="732"/>
    </row>
    <row r="400" spans="1:49" s="683" customFormat="1" ht="21.75" x14ac:dyDescent="0.2">
      <c r="A400" s="703" t="s">
        <v>493</v>
      </c>
      <c r="M400" s="732"/>
      <c r="N400" s="732"/>
      <c r="O400" s="732"/>
      <c r="P400" s="732"/>
      <c r="Q400" s="732"/>
      <c r="R400" s="732"/>
      <c r="S400" s="732"/>
      <c r="T400" s="732"/>
      <c r="U400" s="732"/>
      <c r="V400" s="732"/>
      <c r="W400" s="732"/>
      <c r="X400" s="732"/>
      <c r="Y400" s="732"/>
      <c r="Z400" s="732"/>
      <c r="AA400" s="732"/>
      <c r="AB400" s="732"/>
      <c r="AC400" s="732"/>
      <c r="AD400" s="732"/>
      <c r="AE400" s="732"/>
      <c r="AF400" s="732"/>
      <c r="AG400" s="732"/>
      <c r="AH400" s="732"/>
      <c r="AI400" s="732"/>
      <c r="AJ400" s="732"/>
      <c r="AK400" s="732"/>
      <c r="AL400" s="732"/>
      <c r="AM400" s="732"/>
      <c r="AN400" s="732"/>
      <c r="AO400" s="732"/>
      <c r="AP400" s="732"/>
      <c r="AQ400" s="732"/>
      <c r="AR400" s="732"/>
      <c r="AS400" s="732"/>
      <c r="AT400" s="732"/>
      <c r="AU400" s="732"/>
      <c r="AV400" s="732"/>
      <c r="AW400" s="732"/>
    </row>
    <row r="401" spans="1:49" s="683" customFormat="1" x14ac:dyDescent="0.2">
      <c r="A401" s="674" t="s">
        <v>492</v>
      </c>
      <c r="B401" s="732">
        <f t="shared" ref="B401:AW401" si="69">AVERAGE($B$395:$AW$395)</f>
        <v>0.91651961695872908</v>
      </c>
      <c r="C401" s="732">
        <f t="shared" si="69"/>
        <v>0.91651961695872908</v>
      </c>
      <c r="D401" s="732">
        <f t="shared" si="69"/>
        <v>0.91651961695872908</v>
      </c>
      <c r="E401" s="732">
        <f t="shared" si="69"/>
        <v>0.91651961695872908</v>
      </c>
      <c r="F401" s="732">
        <f t="shared" si="69"/>
        <v>0.91651961695872908</v>
      </c>
      <c r="G401" s="732">
        <f t="shared" si="69"/>
        <v>0.91651961695872908</v>
      </c>
      <c r="H401" s="732">
        <f t="shared" si="69"/>
        <v>0.91651961695872908</v>
      </c>
      <c r="I401" s="732">
        <f t="shared" si="69"/>
        <v>0.91651961695872908</v>
      </c>
      <c r="J401" s="732">
        <f t="shared" si="69"/>
        <v>0.91651961695872908</v>
      </c>
      <c r="K401" s="732">
        <f t="shared" si="69"/>
        <v>0.91651961695872908</v>
      </c>
      <c r="L401" s="732">
        <f t="shared" si="69"/>
        <v>0.91651961695872908</v>
      </c>
      <c r="M401" s="732">
        <f t="shared" si="69"/>
        <v>0.91651961695872908</v>
      </c>
      <c r="N401" s="732">
        <f t="shared" si="69"/>
        <v>0.91651961695872908</v>
      </c>
      <c r="O401" s="732">
        <f t="shared" si="69"/>
        <v>0.91651961695872908</v>
      </c>
      <c r="P401" s="732">
        <f t="shared" si="69"/>
        <v>0.91651961695872908</v>
      </c>
      <c r="Q401" s="732">
        <f t="shared" si="69"/>
        <v>0.91651961695872908</v>
      </c>
      <c r="R401" s="732">
        <f t="shared" si="69"/>
        <v>0.91651961695872908</v>
      </c>
      <c r="S401" s="732">
        <f t="shared" si="69"/>
        <v>0.91651961695872908</v>
      </c>
      <c r="T401" s="732">
        <f t="shared" si="69"/>
        <v>0.91651961695872908</v>
      </c>
      <c r="U401" s="732">
        <f t="shared" si="69"/>
        <v>0.91651961695872908</v>
      </c>
      <c r="V401" s="732">
        <f t="shared" si="69"/>
        <v>0.91651961695872908</v>
      </c>
      <c r="W401" s="732">
        <f t="shared" si="69"/>
        <v>0.91651961695872908</v>
      </c>
      <c r="X401" s="732">
        <f t="shared" si="69"/>
        <v>0.91651961695872908</v>
      </c>
      <c r="Y401" s="732">
        <f t="shared" si="69"/>
        <v>0.91651961695872908</v>
      </c>
      <c r="Z401" s="732">
        <f t="shared" si="69"/>
        <v>0.91651961695872908</v>
      </c>
      <c r="AA401" s="732">
        <f t="shared" si="69"/>
        <v>0.91651961695872908</v>
      </c>
      <c r="AB401" s="732">
        <f t="shared" si="69"/>
        <v>0.91651961695872908</v>
      </c>
      <c r="AC401" s="732">
        <f t="shared" si="69"/>
        <v>0.91651961695872908</v>
      </c>
      <c r="AD401" s="732">
        <f t="shared" si="69"/>
        <v>0.91651961695872908</v>
      </c>
      <c r="AE401" s="732">
        <f t="shared" si="69"/>
        <v>0.91651961695872908</v>
      </c>
      <c r="AF401" s="732">
        <f t="shared" si="69"/>
        <v>0.91651961695872908</v>
      </c>
      <c r="AG401" s="732">
        <f t="shared" si="69"/>
        <v>0.91651961695872908</v>
      </c>
      <c r="AH401" s="732">
        <f t="shared" si="69"/>
        <v>0.91651961695872908</v>
      </c>
      <c r="AI401" s="732">
        <f t="shared" si="69"/>
        <v>0.91651961695872908</v>
      </c>
      <c r="AJ401" s="732">
        <f t="shared" si="69"/>
        <v>0.91651961695872908</v>
      </c>
      <c r="AK401" s="732">
        <f t="shared" si="69"/>
        <v>0.91651961695872908</v>
      </c>
      <c r="AL401" s="732">
        <f t="shared" si="69"/>
        <v>0.91651961695872908</v>
      </c>
      <c r="AM401" s="732">
        <f t="shared" si="69"/>
        <v>0.91651961695872908</v>
      </c>
      <c r="AN401" s="732">
        <f t="shared" si="69"/>
        <v>0.91651961695872908</v>
      </c>
      <c r="AO401" s="732">
        <f t="shared" si="69"/>
        <v>0.91651961695872908</v>
      </c>
      <c r="AP401" s="732">
        <f t="shared" si="69"/>
        <v>0.91651961695872908</v>
      </c>
      <c r="AQ401" s="732">
        <f t="shared" si="69"/>
        <v>0.91651961695872908</v>
      </c>
      <c r="AR401" s="732">
        <f t="shared" si="69"/>
        <v>0.91651961695872908</v>
      </c>
      <c r="AS401" s="732">
        <f t="shared" si="69"/>
        <v>0.91651961695872908</v>
      </c>
      <c r="AT401" s="732">
        <f t="shared" si="69"/>
        <v>0.91651961695872908</v>
      </c>
      <c r="AU401" s="732">
        <f t="shared" si="69"/>
        <v>0.91651961695872908</v>
      </c>
      <c r="AV401" s="732">
        <f t="shared" si="69"/>
        <v>0.91651961695872908</v>
      </c>
      <c r="AW401" s="732">
        <f t="shared" si="69"/>
        <v>0.91651961695872908</v>
      </c>
    </row>
    <row r="402" spans="1:49" s="683" customFormat="1" x14ac:dyDescent="0.2">
      <c r="A402" s="702" t="s">
        <v>491</v>
      </c>
      <c r="B402" s="732">
        <f t="shared" ref="B402:AW402" si="70">SUM($C$399:$AW$399)/22</f>
        <v>3.8577657082901333E-2</v>
      </c>
      <c r="C402" s="732">
        <f t="shared" si="70"/>
        <v>3.8577657082901333E-2</v>
      </c>
      <c r="D402" s="732">
        <f t="shared" si="70"/>
        <v>3.8577657082901333E-2</v>
      </c>
      <c r="E402" s="732">
        <f t="shared" si="70"/>
        <v>3.8577657082901333E-2</v>
      </c>
      <c r="F402" s="732">
        <f t="shared" si="70"/>
        <v>3.8577657082901333E-2</v>
      </c>
      <c r="G402" s="732">
        <f t="shared" si="70"/>
        <v>3.8577657082901333E-2</v>
      </c>
      <c r="H402" s="732">
        <f t="shared" si="70"/>
        <v>3.8577657082901333E-2</v>
      </c>
      <c r="I402" s="732">
        <f t="shared" si="70"/>
        <v>3.8577657082901333E-2</v>
      </c>
      <c r="J402" s="732">
        <f t="shared" si="70"/>
        <v>3.8577657082901333E-2</v>
      </c>
      <c r="K402" s="732">
        <f t="shared" si="70"/>
        <v>3.8577657082901333E-2</v>
      </c>
      <c r="L402" s="732">
        <f t="shared" si="70"/>
        <v>3.8577657082901333E-2</v>
      </c>
      <c r="M402" s="732">
        <f t="shared" si="70"/>
        <v>3.8577657082901333E-2</v>
      </c>
      <c r="N402" s="732">
        <f t="shared" si="70"/>
        <v>3.8577657082901333E-2</v>
      </c>
      <c r="O402" s="732">
        <f t="shared" si="70"/>
        <v>3.8577657082901333E-2</v>
      </c>
      <c r="P402" s="732">
        <f t="shared" si="70"/>
        <v>3.8577657082901333E-2</v>
      </c>
      <c r="Q402" s="732">
        <f t="shared" si="70"/>
        <v>3.8577657082901333E-2</v>
      </c>
      <c r="R402" s="732">
        <f t="shared" si="70"/>
        <v>3.8577657082901333E-2</v>
      </c>
      <c r="S402" s="732">
        <f t="shared" si="70"/>
        <v>3.8577657082901333E-2</v>
      </c>
      <c r="T402" s="732">
        <f t="shared" si="70"/>
        <v>3.8577657082901333E-2</v>
      </c>
      <c r="U402" s="732">
        <f t="shared" si="70"/>
        <v>3.8577657082901333E-2</v>
      </c>
      <c r="V402" s="732">
        <f t="shared" si="70"/>
        <v>3.8577657082901333E-2</v>
      </c>
      <c r="W402" s="732">
        <f t="shared" si="70"/>
        <v>3.8577657082901333E-2</v>
      </c>
      <c r="X402" s="732">
        <f t="shared" si="70"/>
        <v>3.8577657082901333E-2</v>
      </c>
      <c r="Y402" s="732">
        <f t="shared" si="70"/>
        <v>3.8577657082901333E-2</v>
      </c>
      <c r="Z402" s="732">
        <f t="shared" si="70"/>
        <v>3.8577657082901333E-2</v>
      </c>
      <c r="AA402" s="732">
        <f t="shared" si="70"/>
        <v>3.8577657082901333E-2</v>
      </c>
      <c r="AB402" s="732">
        <f t="shared" si="70"/>
        <v>3.8577657082901333E-2</v>
      </c>
      <c r="AC402" s="732">
        <f t="shared" si="70"/>
        <v>3.8577657082901333E-2</v>
      </c>
      <c r="AD402" s="732">
        <f t="shared" si="70"/>
        <v>3.8577657082901333E-2</v>
      </c>
      <c r="AE402" s="732">
        <f t="shared" si="70"/>
        <v>3.8577657082901333E-2</v>
      </c>
      <c r="AF402" s="732">
        <f t="shared" si="70"/>
        <v>3.8577657082901333E-2</v>
      </c>
      <c r="AG402" s="732">
        <f t="shared" si="70"/>
        <v>3.8577657082901333E-2</v>
      </c>
      <c r="AH402" s="732">
        <f t="shared" si="70"/>
        <v>3.8577657082901333E-2</v>
      </c>
      <c r="AI402" s="732">
        <f t="shared" si="70"/>
        <v>3.8577657082901333E-2</v>
      </c>
      <c r="AJ402" s="732">
        <f t="shared" si="70"/>
        <v>3.8577657082901333E-2</v>
      </c>
      <c r="AK402" s="732">
        <f t="shared" si="70"/>
        <v>3.8577657082901333E-2</v>
      </c>
      <c r="AL402" s="732">
        <f t="shared" si="70"/>
        <v>3.8577657082901333E-2</v>
      </c>
      <c r="AM402" s="732">
        <f t="shared" si="70"/>
        <v>3.8577657082901333E-2</v>
      </c>
      <c r="AN402" s="732">
        <f t="shared" si="70"/>
        <v>3.8577657082901333E-2</v>
      </c>
      <c r="AO402" s="732">
        <f t="shared" si="70"/>
        <v>3.8577657082901333E-2</v>
      </c>
      <c r="AP402" s="732">
        <f t="shared" si="70"/>
        <v>3.8577657082901333E-2</v>
      </c>
      <c r="AQ402" s="732">
        <f t="shared" si="70"/>
        <v>3.8577657082901333E-2</v>
      </c>
      <c r="AR402" s="732">
        <f t="shared" si="70"/>
        <v>3.8577657082901333E-2</v>
      </c>
      <c r="AS402" s="732">
        <f t="shared" si="70"/>
        <v>3.8577657082901333E-2</v>
      </c>
      <c r="AT402" s="732">
        <f t="shared" si="70"/>
        <v>3.8577657082901333E-2</v>
      </c>
      <c r="AU402" s="732">
        <f t="shared" si="70"/>
        <v>3.8577657082901333E-2</v>
      </c>
      <c r="AV402" s="732">
        <f t="shared" si="70"/>
        <v>3.8577657082901333E-2</v>
      </c>
      <c r="AW402" s="732">
        <f t="shared" si="70"/>
        <v>3.8577657082901333E-2</v>
      </c>
    </row>
    <row r="403" spans="1:49" s="683" customFormat="1" ht="25.5" x14ac:dyDescent="0.2">
      <c r="A403" s="702" t="s">
        <v>494</v>
      </c>
      <c r="B403" s="732">
        <f t="shared" ref="B403:AW403" si="71">$B$402/1.128</f>
        <v>3.420005060540899E-2</v>
      </c>
      <c r="C403" s="732">
        <f t="shared" si="71"/>
        <v>3.420005060540899E-2</v>
      </c>
      <c r="D403" s="732">
        <f t="shared" si="71"/>
        <v>3.420005060540899E-2</v>
      </c>
      <c r="E403" s="732">
        <f t="shared" si="71"/>
        <v>3.420005060540899E-2</v>
      </c>
      <c r="F403" s="732">
        <f t="shared" si="71"/>
        <v>3.420005060540899E-2</v>
      </c>
      <c r="G403" s="732">
        <f t="shared" si="71"/>
        <v>3.420005060540899E-2</v>
      </c>
      <c r="H403" s="732">
        <f t="shared" si="71"/>
        <v>3.420005060540899E-2</v>
      </c>
      <c r="I403" s="732">
        <f t="shared" si="71"/>
        <v>3.420005060540899E-2</v>
      </c>
      <c r="J403" s="732">
        <f t="shared" si="71"/>
        <v>3.420005060540899E-2</v>
      </c>
      <c r="K403" s="732">
        <f t="shared" si="71"/>
        <v>3.420005060540899E-2</v>
      </c>
      <c r="L403" s="732">
        <f t="shared" si="71"/>
        <v>3.420005060540899E-2</v>
      </c>
      <c r="M403" s="732">
        <f t="shared" si="71"/>
        <v>3.420005060540899E-2</v>
      </c>
      <c r="N403" s="732">
        <f t="shared" si="71"/>
        <v>3.420005060540899E-2</v>
      </c>
      <c r="O403" s="732">
        <f t="shared" si="71"/>
        <v>3.420005060540899E-2</v>
      </c>
      <c r="P403" s="732">
        <f t="shared" si="71"/>
        <v>3.420005060540899E-2</v>
      </c>
      <c r="Q403" s="732">
        <f t="shared" si="71"/>
        <v>3.420005060540899E-2</v>
      </c>
      <c r="R403" s="732">
        <f t="shared" si="71"/>
        <v>3.420005060540899E-2</v>
      </c>
      <c r="S403" s="732">
        <f t="shared" si="71"/>
        <v>3.420005060540899E-2</v>
      </c>
      <c r="T403" s="732">
        <f t="shared" si="71"/>
        <v>3.420005060540899E-2</v>
      </c>
      <c r="U403" s="732">
        <f t="shared" si="71"/>
        <v>3.420005060540899E-2</v>
      </c>
      <c r="V403" s="732">
        <f t="shared" si="71"/>
        <v>3.420005060540899E-2</v>
      </c>
      <c r="W403" s="732">
        <f t="shared" si="71"/>
        <v>3.420005060540899E-2</v>
      </c>
      <c r="X403" s="732">
        <f t="shared" si="71"/>
        <v>3.420005060540899E-2</v>
      </c>
      <c r="Y403" s="732">
        <f t="shared" si="71"/>
        <v>3.420005060540899E-2</v>
      </c>
      <c r="Z403" s="732">
        <f t="shared" si="71"/>
        <v>3.420005060540899E-2</v>
      </c>
      <c r="AA403" s="732">
        <f t="shared" si="71"/>
        <v>3.420005060540899E-2</v>
      </c>
      <c r="AB403" s="732">
        <f t="shared" si="71"/>
        <v>3.420005060540899E-2</v>
      </c>
      <c r="AC403" s="732">
        <f t="shared" si="71"/>
        <v>3.420005060540899E-2</v>
      </c>
      <c r="AD403" s="732">
        <f t="shared" si="71"/>
        <v>3.420005060540899E-2</v>
      </c>
      <c r="AE403" s="732">
        <f t="shared" si="71"/>
        <v>3.420005060540899E-2</v>
      </c>
      <c r="AF403" s="732">
        <f t="shared" si="71"/>
        <v>3.420005060540899E-2</v>
      </c>
      <c r="AG403" s="732">
        <f t="shared" si="71"/>
        <v>3.420005060540899E-2</v>
      </c>
      <c r="AH403" s="732">
        <f t="shared" si="71"/>
        <v>3.420005060540899E-2</v>
      </c>
      <c r="AI403" s="732">
        <f t="shared" si="71"/>
        <v>3.420005060540899E-2</v>
      </c>
      <c r="AJ403" s="732">
        <f t="shared" si="71"/>
        <v>3.420005060540899E-2</v>
      </c>
      <c r="AK403" s="732">
        <f t="shared" si="71"/>
        <v>3.420005060540899E-2</v>
      </c>
      <c r="AL403" s="732">
        <f t="shared" si="71"/>
        <v>3.420005060540899E-2</v>
      </c>
      <c r="AM403" s="732">
        <f t="shared" si="71"/>
        <v>3.420005060540899E-2</v>
      </c>
      <c r="AN403" s="732">
        <f t="shared" si="71"/>
        <v>3.420005060540899E-2</v>
      </c>
      <c r="AO403" s="732">
        <f t="shared" si="71"/>
        <v>3.420005060540899E-2</v>
      </c>
      <c r="AP403" s="732">
        <f t="shared" si="71"/>
        <v>3.420005060540899E-2</v>
      </c>
      <c r="AQ403" s="732">
        <f t="shared" si="71"/>
        <v>3.420005060540899E-2</v>
      </c>
      <c r="AR403" s="732">
        <f t="shared" si="71"/>
        <v>3.420005060540899E-2</v>
      </c>
      <c r="AS403" s="732">
        <f t="shared" si="71"/>
        <v>3.420005060540899E-2</v>
      </c>
      <c r="AT403" s="732">
        <f t="shared" si="71"/>
        <v>3.420005060540899E-2</v>
      </c>
      <c r="AU403" s="732">
        <f t="shared" si="71"/>
        <v>3.420005060540899E-2</v>
      </c>
      <c r="AV403" s="732">
        <f t="shared" si="71"/>
        <v>3.420005060540899E-2</v>
      </c>
      <c r="AW403" s="732">
        <f t="shared" si="71"/>
        <v>3.420005060540899E-2</v>
      </c>
    </row>
    <row r="404" spans="1:49" s="683" customFormat="1" ht="25.5" x14ac:dyDescent="0.2">
      <c r="A404" s="702" t="s">
        <v>501</v>
      </c>
      <c r="B404" s="732">
        <f t="shared" ref="B404:AW404" si="72">$B$401+(3*$B$403)</f>
        <v>1.019119768774956</v>
      </c>
      <c r="C404" s="732">
        <f t="shared" si="72"/>
        <v>1.019119768774956</v>
      </c>
      <c r="D404" s="732">
        <f t="shared" si="72"/>
        <v>1.019119768774956</v>
      </c>
      <c r="E404" s="732">
        <f t="shared" si="72"/>
        <v>1.019119768774956</v>
      </c>
      <c r="F404" s="732">
        <f t="shared" si="72"/>
        <v>1.019119768774956</v>
      </c>
      <c r="G404" s="732">
        <f t="shared" si="72"/>
        <v>1.019119768774956</v>
      </c>
      <c r="H404" s="732">
        <f t="shared" si="72"/>
        <v>1.019119768774956</v>
      </c>
      <c r="I404" s="732">
        <f t="shared" si="72"/>
        <v>1.019119768774956</v>
      </c>
      <c r="J404" s="732">
        <f t="shared" si="72"/>
        <v>1.019119768774956</v>
      </c>
      <c r="K404" s="732">
        <f t="shared" si="72"/>
        <v>1.019119768774956</v>
      </c>
      <c r="L404" s="732">
        <f t="shared" si="72"/>
        <v>1.019119768774956</v>
      </c>
      <c r="M404" s="732">
        <f t="shared" si="72"/>
        <v>1.019119768774956</v>
      </c>
      <c r="N404" s="732">
        <f t="shared" si="72"/>
        <v>1.019119768774956</v>
      </c>
      <c r="O404" s="732">
        <f t="shared" si="72"/>
        <v>1.019119768774956</v>
      </c>
      <c r="P404" s="732">
        <f t="shared" si="72"/>
        <v>1.019119768774956</v>
      </c>
      <c r="Q404" s="732">
        <f t="shared" si="72"/>
        <v>1.019119768774956</v>
      </c>
      <c r="R404" s="732">
        <f t="shared" si="72"/>
        <v>1.019119768774956</v>
      </c>
      <c r="S404" s="732">
        <f t="shared" si="72"/>
        <v>1.019119768774956</v>
      </c>
      <c r="T404" s="732">
        <f t="shared" si="72"/>
        <v>1.019119768774956</v>
      </c>
      <c r="U404" s="732">
        <f t="shared" si="72"/>
        <v>1.019119768774956</v>
      </c>
      <c r="V404" s="732">
        <f t="shared" si="72"/>
        <v>1.019119768774956</v>
      </c>
      <c r="W404" s="732">
        <f t="shared" si="72"/>
        <v>1.019119768774956</v>
      </c>
      <c r="X404" s="732">
        <f t="shared" si="72"/>
        <v>1.019119768774956</v>
      </c>
      <c r="Y404" s="732">
        <f t="shared" si="72"/>
        <v>1.019119768774956</v>
      </c>
      <c r="Z404" s="732">
        <f t="shared" si="72"/>
        <v>1.019119768774956</v>
      </c>
      <c r="AA404" s="732">
        <f t="shared" si="72"/>
        <v>1.019119768774956</v>
      </c>
      <c r="AB404" s="732">
        <f t="shared" si="72"/>
        <v>1.019119768774956</v>
      </c>
      <c r="AC404" s="732">
        <f t="shared" si="72"/>
        <v>1.019119768774956</v>
      </c>
      <c r="AD404" s="732">
        <f t="shared" si="72"/>
        <v>1.019119768774956</v>
      </c>
      <c r="AE404" s="732">
        <f t="shared" si="72"/>
        <v>1.019119768774956</v>
      </c>
      <c r="AF404" s="732">
        <f t="shared" si="72"/>
        <v>1.019119768774956</v>
      </c>
      <c r="AG404" s="732">
        <f t="shared" si="72"/>
        <v>1.019119768774956</v>
      </c>
      <c r="AH404" s="732">
        <f t="shared" si="72"/>
        <v>1.019119768774956</v>
      </c>
      <c r="AI404" s="732">
        <f t="shared" si="72"/>
        <v>1.019119768774956</v>
      </c>
      <c r="AJ404" s="732">
        <f t="shared" si="72"/>
        <v>1.019119768774956</v>
      </c>
      <c r="AK404" s="732">
        <f t="shared" si="72"/>
        <v>1.019119768774956</v>
      </c>
      <c r="AL404" s="732">
        <f t="shared" si="72"/>
        <v>1.019119768774956</v>
      </c>
      <c r="AM404" s="732">
        <f t="shared" si="72"/>
        <v>1.019119768774956</v>
      </c>
      <c r="AN404" s="732">
        <f t="shared" si="72"/>
        <v>1.019119768774956</v>
      </c>
      <c r="AO404" s="732">
        <f t="shared" si="72"/>
        <v>1.019119768774956</v>
      </c>
      <c r="AP404" s="732">
        <f t="shared" si="72"/>
        <v>1.019119768774956</v>
      </c>
      <c r="AQ404" s="732">
        <f t="shared" si="72"/>
        <v>1.019119768774956</v>
      </c>
      <c r="AR404" s="732">
        <f t="shared" si="72"/>
        <v>1.019119768774956</v>
      </c>
      <c r="AS404" s="732">
        <f t="shared" si="72"/>
        <v>1.019119768774956</v>
      </c>
      <c r="AT404" s="732">
        <f t="shared" si="72"/>
        <v>1.019119768774956</v>
      </c>
      <c r="AU404" s="732">
        <f t="shared" si="72"/>
        <v>1.019119768774956</v>
      </c>
      <c r="AV404" s="732">
        <f t="shared" si="72"/>
        <v>1.019119768774956</v>
      </c>
      <c r="AW404" s="732">
        <f t="shared" si="72"/>
        <v>1.019119768774956</v>
      </c>
    </row>
    <row r="405" spans="1:49" s="683" customFormat="1" x14ac:dyDescent="0.2">
      <c r="A405" s="702" t="s">
        <v>499</v>
      </c>
      <c r="B405" s="732">
        <f t="shared" ref="B405:AW405" si="73">$B$401-(3*$B$403)</f>
        <v>0.81391946514250213</v>
      </c>
      <c r="C405" s="732">
        <f t="shared" si="73"/>
        <v>0.81391946514250213</v>
      </c>
      <c r="D405" s="732">
        <f t="shared" si="73"/>
        <v>0.81391946514250213</v>
      </c>
      <c r="E405" s="732">
        <f t="shared" si="73"/>
        <v>0.81391946514250213</v>
      </c>
      <c r="F405" s="732">
        <f t="shared" si="73"/>
        <v>0.81391946514250213</v>
      </c>
      <c r="G405" s="732">
        <f t="shared" si="73"/>
        <v>0.81391946514250213</v>
      </c>
      <c r="H405" s="732">
        <f t="shared" si="73"/>
        <v>0.81391946514250213</v>
      </c>
      <c r="I405" s="732">
        <f t="shared" si="73"/>
        <v>0.81391946514250213</v>
      </c>
      <c r="J405" s="732">
        <f t="shared" si="73"/>
        <v>0.81391946514250213</v>
      </c>
      <c r="K405" s="732">
        <f t="shared" si="73"/>
        <v>0.81391946514250213</v>
      </c>
      <c r="L405" s="732">
        <f t="shared" si="73"/>
        <v>0.81391946514250213</v>
      </c>
      <c r="M405" s="732">
        <f t="shared" si="73"/>
        <v>0.81391946514250213</v>
      </c>
      <c r="N405" s="732">
        <f t="shared" si="73"/>
        <v>0.81391946514250213</v>
      </c>
      <c r="O405" s="732">
        <f t="shared" si="73"/>
        <v>0.81391946514250213</v>
      </c>
      <c r="P405" s="732">
        <f t="shared" si="73"/>
        <v>0.81391946514250213</v>
      </c>
      <c r="Q405" s="732">
        <f t="shared" si="73"/>
        <v>0.81391946514250213</v>
      </c>
      <c r="R405" s="732">
        <f t="shared" si="73"/>
        <v>0.81391946514250213</v>
      </c>
      <c r="S405" s="732">
        <f t="shared" si="73"/>
        <v>0.81391946514250213</v>
      </c>
      <c r="T405" s="732">
        <f t="shared" si="73"/>
        <v>0.81391946514250213</v>
      </c>
      <c r="U405" s="732">
        <f t="shared" si="73"/>
        <v>0.81391946514250213</v>
      </c>
      <c r="V405" s="732">
        <f t="shared" si="73"/>
        <v>0.81391946514250213</v>
      </c>
      <c r="W405" s="732">
        <f t="shared" si="73"/>
        <v>0.81391946514250213</v>
      </c>
      <c r="X405" s="732">
        <f t="shared" si="73"/>
        <v>0.81391946514250213</v>
      </c>
      <c r="Y405" s="732">
        <f t="shared" si="73"/>
        <v>0.81391946514250213</v>
      </c>
      <c r="Z405" s="732">
        <f t="shared" si="73"/>
        <v>0.81391946514250213</v>
      </c>
      <c r="AA405" s="732">
        <f t="shared" si="73"/>
        <v>0.81391946514250213</v>
      </c>
      <c r="AB405" s="732">
        <f t="shared" si="73"/>
        <v>0.81391946514250213</v>
      </c>
      <c r="AC405" s="732">
        <f t="shared" si="73"/>
        <v>0.81391946514250213</v>
      </c>
      <c r="AD405" s="732">
        <f t="shared" si="73"/>
        <v>0.81391946514250213</v>
      </c>
      <c r="AE405" s="732">
        <f t="shared" si="73"/>
        <v>0.81391946514250213</v>
      </c>
      <c r="AF405" s="732">
        <f t="shared" si="73"/>
        <v>0.81391946514250213</v>
      </c>
      <c r="AG405" s="732">
        <f t="shared" si="73"/>
        <v>0.81391946514250213</v>
      </c>
      <c r="AH405" s="732">
        <f t="shared" si="73"/>
        <v>0.81391946514250213</v>
      </c>
      <c r="AI405" s="732">
        <f t="shared" si="73"/>
        <v>0.81391946514250213</v>
      </c>
      <c r="AJ405" s="732">
        <f t="shared" si="73"/>
        <v>0.81391946514250213</v>
      </c>
      <c r="AK405" s="732">
        <f t="shared" si="73"/>
        <v>0.81391946514250213</v>
      </c>
      <c r="AL405" s="732">
        <f t="shared" si="73"/>
        <v>0.81391946514250213</v>
      </c>
      <c r="AM405" s="732">
        <f t="shared" si="73"/>
        <v>0.81391946514250213</v>
      </c>
      <c r="AN405" s="732">
        <f t="shared" si="73"/>
        <v>0.81391946514250213</v>
      </c>
      <c r="AO405" s="732">
        <f t="shared" si="73"/>
        <v>0.81391946514250213</v>
      </c>
      <c r="AP405" s="732">
        <f t="shared" si="73"/>
        <v>0.81391946514250213</v>
      </c>
      <c r="AQ405" s="732">
        <f t="shared" si="73"/>
        <v>0.81391946514250213</v>
      </c>
      <c r="AR405" s="732">
        <f t="shared" si="73"/>
        <v>0.81391946514250213</v>
      </c>
      <c r="AS405" s="732">
        <f t="shared" si="73"/>
        <v>0.81391946514250213</v>
      </c>
      <c r="AT405" s="732">
        <f t="shared" si="73"/>
        <v>0.81391946514250213</v>
      </c>
      <c r="AU405" s="732">
        <f t="shared" si="73"/>
        <v>0.81391946514250213</v>
      </c>
      <c r="AV405" s="732">
        <f t="shared" si="73"/>
        <v>0.81391946514250213</v>
      </c>
      <c r="AW405" s="732">
        <f t="shared" si="73"/>
        <v>0.81391946514250213</v>
      </c>
    </row>
    <row r="406" spans="1:49" s="683" customFormat="1" x14ac:dyDescent="0.2">
      <c r="A406" s="702"/>
      <c r="M406" s="732"/>
      <c r="N406" s="732"/>
      <c r="O406" s="732"/>
      <c r="P406" s="732"/>
      <c r="Q406" s="732"/>
      <c r="R406" s="732"/>
      <c r="S406" s="732"/>
      <c r="T406" s="732"/>
      <c r="U406" s="732"/>
      <c r="V406" s="732"/>
      <c r="W406" s="732"/>
      <c r="X406" s="732"/>
      <c r="Y406" s="732"/>
      <c r="Z406" s="732"/>
      <c r="AA406" s="732"/>
      <c r="AB406" s="732"/>
      <c r="AC406" s="732"/>
      <c r="AD406" s="732"/>
      <c r="AE406" s="732"/>
      <c r="AF406" s="732"/>
      <c r="AG406" s="732"/>
      <c r="AH406" s="732"/>
      <c r="AI406" s="732"/>
      <c r="AJ406" s="732"/>
      <c r="AK406" s="732"/>
      <c r="AL406" s="732"/>
      <c r="AM406" s="732"/>
      <c r="AN406" s="732"/>
      <c r="AO406" s="732"/>
      <c r="AP406" s="732"/>
      <c r="AQ406" s="732"/>
      <c r="AR406" s="732"/>
      <c r="AS406" s="732"/>
      <c r="AT406" s="732"/>
      <c r="AU406" s="732"/>
      <c r="AV406" s="732"/>
      <c r="AW406" s="732"/>
    </row>
    <row r="407" spans="1:49" s="683" customFormat="1" ht="25.5" x14ac:dyDescent="0.2">
      <c r="A407" s="702" t="s">
        <v>507</v>
      </c>
      <c r="B407" s="685">
        <v>64</v>
      </c>
      <c r="C407" s="685">
        <v>70</v>
      </c>
      <c r="D407" s="685">
        <v>58</v>
      </c>
      <c r="E407" s="685">
        <v>50</v>
      </c>
      <c r="F407" s="685">
        <v>56</v>
      </c>
      <c r="G407" s="685">
        <v>58</v>
      </c>
      <c r="H407" s="685">
        <v>64</v>
      </c>
      <c r="I407" s="685">
        <v>76</v>
      </c>
      <c r="J407" s="685">
        <v>54</v>
      </c>
      <c r="K407" s="685">
        <v>70</v>
      </c>
      <c r="L407" s="685">
        <v>60</v>
      </c>
      <c r="M407" s="685">
        <v>49</v>
      </c>
      <c r="N407" s="685">
        <v>68</v>
      </c>
      <c r="O407" s="685">
        <v>71</v>
      </c>
      <c r="P407" s="685">
        <v>61</v>
      </c>
      <c r="Q407" s="685">
        <v>59</v>
      </c>
      <c r="R407" s="685">
        <v>52</v>
      </c>
      <c r="S407" s="685">
        <v>57</v>
      </c>
      <c r="T407" s="685">
        <v>46</v>
      </c>
      <c r="U407" s="685">
        <v>50</v>
      </c>
      <c r="V407" s="685">
        <v>71</v>
      </c>
      <c r="W407" s="685">
        <v>54</v>
      </c>
      <c r="X407" s="685">
        <v>51</v>
      </c>
      <c r="Y407" s="685">
        <v>71</v>
      </c>
      <c r="Z407" s="685">
        <v>68</v>
      </c>
      <c r="AA407" s="685">
        <v>75</v>
      </c>
      <c r="AB407" s="685">
        <v>61</v>
      </c>
      <c r="AC407" s="685"/>
      <c r="AD407" s="685"/>
      <c r="AE407" s="685"/>
      <c r="AF407" s="685"/>
      <c r="AG407" s="685"/>
      <c r="AH407" s="685"/>
      <c r="AI407" s="685"/>
      <c r="AJ407" s="685"/>
      <c r="AK407" s="685"/>
      <c r="AL407" s="685"/>
      <c r="AM407" s="685"/>
      <c r="AN407" s="685"/>
      <c r="AO407" s="685"/>
      <c r="AP407" s="685"/>
      <c r="AQ407" s="685"/>
      <c r="AR407" s="685"/>
      <c r="AS407" s="685"/>
      <c r="AT407" s="685"/>
      <c r="AU407" s="685"/>
      <c r="AV407" s="685"/>
      <c r="AW407" s="685"/>
    </row>
    <row r="408" spans="1:49" s="683" customFormat="1" x14ac:dyDescent="0.2">
      <c r="A408" s="702" t="s">
        <v>490</v>
      </c>
      <c r="B408" s="685"/>
      <c r="C408" s="685">
        <f>SUM(C407-B407)</f>
        <v>6</v>
      </c>
      <c r="D408" s="685">
        <f>SUM(D407-C407)*-1</f>
        <v>12</v>
      </c>
      <c r="E408" s="685">
        <f>SUM(E407-D407)*-1</f>
        <v>8</v>
      </c>
      <c r="F408" s="685">
        <f t="shared" ref="F408:V408" si="74">SUM(F407-E407)</f>
        <v>6</v>
      </c>
      <c r="G408" s="685">
        <f t="shared" si="74"/>
        <v>2</v>
      </c>
      <c r="H408" s="685">
        <f t="shared" si="74"/>
        <v>6</v>
      </c>
      <c r="I408" s="685">
        <f t="shared" si="74"/>
        <v>12</v>
      </c>
      <c r="J408" s="685">
        <f>SUM(J407-I407)*-1</f>
        <v>22</v>
      </c>
      <c r="K408" s="685">
        <f t="shared" si="74"/>
        <v>16</v>
      </c>
      <c r="L408" s="685">
        <f>SUM(L407-K407)*-1</f>
        <v>10</v>
      </c>
      <c r="M408" s="685">
        <f>SUM(M407-L407)*-1</f>
        <v>11</v>
      </c>
      <c r="N408" s="685">
        <f t="shared" si="74"/>
        <v>19</v>
      </c>
      <c r="O408" s="685">
        <f t="shared" si="74"/>
        <v>3</v>
      </c>
      <c r="P408" s="685">
        <f>SUM(P407-O407)*-1</f>
        <v>10</v>
      </c>
      <c r="Q408" s="685">
        <f>SUM(Q407-P407)*-1</f>
        <v>2</v>
      </c>
      <c r="R408" s="685">
        <f>SUM(R407-Q407)*-1</f>
        <v>7</v>
      </c>
      <c r="S408" s="685">
        <f t="shared" si="74"/>
        <v>5</v>
      </c>
      <c r="T408" s="685">
        <f>SUM(T407-S407)*-1</f>
        <v>11</v>
      </c>
      <c r="U408" s="685">
        <f t="shared" si="74"/>
        <v>4</v>
      </c>
      <c r="V408" s="685">
        <f t="shared" si="74"/>
        <v>21</v>
      </c>
      <c r="W408" s="685">
        <f>SUM(W407-V407)*-1</f>
        <v>17</v>
      </c>
      <c r="X408" s="685">
        <f>SUM(X407-W407)*-1</f>
        <v>3</v>
      </c>
      <c r="Y408" s="685">
        <f>SUM(Y407-X407)</f>
        <v>20</v>
      </c>
      <c r="Z408" s="685">
        <f>SUM(Z407-Y407)*-1</f>
        <v>3</v>
      </c>
      <c r="AA408" s="685">
        <f>SUM(AA407-Z407)</f>
        <v>7</v>
      </c>
      <c r="AB408" s="685">
        <f>SUM(AB407-AA407)*-1</f>
        <v>14</v>
      </c>
      <c r="AC408" s="685"/>
      <c r="AD408" s="685"/>
      <c r="AE408" s="685"/>
      <c r="AF408" s="685"/>
      <c r="AG408" s="685"/>
      <c r="AH408" s="685"/>
      <c r="AI408" s="685"/>
      <c r="AJ408" s="685"/>
      <c r="AK408" s="685"/>
      <c r="AL408" s="685"/>
      <c r="AM408" s="685"/>
      <c r="AN408" s="685"/>
      <c r="AO408" s="685"/>
      <c r="AP408" s="685"/>
      <c r="AQ408" s="685"/>
      <c r="AR408" s="685"/>
      <c r="AS408" s="685"/>
      <c r="AT408" s="685"/>
      <c r="AU408" s="685"/>
      <c r="AV408" s="685"/>
      <c r="AW408" s="685"/>
    </row>
    <row r="409" spans="1:49" s="683" customFormat="1" ht="21.75" x14ac:dyDescent="0.2">
      <c r="A409" s="703" t="s">
        <v>493</v>
      </c>
      <c r="B409" s="685"/>
      <c r="C409" s="685"/>
      <c r="D409" s="685"/>
      <c r="E409" s="685"/>
      <c r="F409" s="685"/>
      <c r="G409" s="685"/>
      <c r="H409" s="685"/>
      <c r="I409" s="685"/>
      <c r="J409" s="685"/>
      <c r="K409" s="685"/>
      <c r="L409" s="685"/>
      <c r="M409" s="685"/>
      <c r="N409" s="685"/>
      <c r="O409" s="685"/>
      <c r="P409" s="685"/>
      <c r="Q409" s="685"/>
      <c r="R409" s="685"/>
      <c r="S409" s="685"/>
      <c r="T409" s="685"/>
      <c r="U409" s="685"/>
      <c r="V409" s="685"/>
      <c r="W409" s="685"/>
      <c r="X409" s="685"/>
      <c r="Y409" s="685"/>
      <c r="Z409" s="685"/>
      <c r="AA409" s="685"/>
      <c r="AB409" s="685"/>
      <c r="AC409" s="685"/>
      <c r="AD409" s="685"/>
      <c r="AE409" s="685"/>
      <c r="AF409" s="685"/>
      <c r="AG409" s="685"/>
      <c r="AH409" s="685"/>
      <c r="AI409" s="685"/>
      <c r="AJ409" s="685"/>
      <c r="AK409" s="685"/>
      <c r="AL409" s="685"/>
      <c r="AM409" s="685"/>
      <c r="AN409" s="685"/>
      <c r="AO409" s="685"/>
      <c r="AP409" s="685"/>
      <c r="AQ409" s="685"/>
      <c r="AR409" s="685"/>
      <c r="AS409" s="685"/>
      <c r="AT409" s="685"/>
      <c r="AU409" s="685"/>
      <c r="AV409" s="685"/>
      <c r="AW409" s="685"/>
    </row>
    <row r="410" spans="1:49" s="683" customFormat="1" x14ac:dyDescent="0.2">
      <c r="A410" s="683" t="s">
        <v>492</v>
      </c>
      <c r="B410" s="685">
        <f t="shared" ref="B410:AW410" si="75">SUM($B$407:$AW$407)/23</f>
        <v>71.478260869565219</v>
      </c>
      <c r="C410" s="685">
        <f t="shared" si="75"/>
        <v>71.478260869565219</v>
      </c>
      <c r="D410" s="685">
        <f t="shared" si="75"/>
        <v>71.478260869565219</v>
      </c>
      <c r="E410" s="685">
        <f t="shared" si="75"/>
        <v>71.478260869565219</v>
      </c>
      <c r="F410" s="685">
        <f t="shared" si="75"/>
        <v>71.478260869565219</v>
      </c>
      <c r="G410" s="685">
        <f t="shared" si="75"/>
        <v>71.478260869565219</v>
      </c>
      <c r="H410" s="685">
        <f t="shared" si="75"/>
        <v>71.478260869565219</v>
      </c>
      <c r="I410" s="685">
        <f t="shared" si="75"/>
        <v>71.478260869565219</v>
      </c>
      <c r="J410" s="685">
        <f t="shared" si="75"/>
        <v>71.478260869565219</v>
      </c>
      <c r="K410" s="685">
        <f t="shared" si="75"/>
        <v>71.478260869565219</v>
      </c>
      <c r="L410" s="685">
        <f t="shared" si="75"/>
        <v>71.478260869565219</v>
      </c>
      <c r="M410" s="685">
        <f t="shared" si="75"/>
        <v>71.478260869565219</v>
      </c>
      <c r="N410" s="685">
        <f t="shared" si="75"/>
        <v>71.478260869565219</v>
      </c>
      <c r="O410" s="685">
        <f t="shared" si="75"/>
        <v>71.478260869565219</v>
      </c>
      <c r="P410" s="685">
        <f t="shared" si="75"/>
        <v>71.478260869565219</v>
      </c>
      <c r="Q410" s="685">
        <f t="shared" si="75"/>
        <v>71.478260869565219</v>
      </c>
      <c r="R410" s="685">
        <f t="shared" si="75"/>
        <v>71.478260869565219</v>
      </c>
      <c r="S410" s="685">
        <f t="shared" si="75"/>
        <v>71.478260869565219</v>
      </c>
      <c r="T410" s="685">
        <f t="shared" si="75"/>
        <v>71.478260869565219</v>
      </c>
      <c r="U410" s="685">
        <f t="shared" si="75"/>
        <v>71.478260869565219</v>
      </c>
      <c r="V410" s="685">
        <f t="shared" si="75"/>
        <v>71.478260869565219</v>
      </c>
      <c r="W410" s="685">
        <f t="shared" si="75"/>
        <v>71.478260869565219</v>
      </c>
      <c r="X410" s="685">
        <f t="shared" si="75"/>
        <v>71.478260869565219</v>
      </c>
      <c r="Y410" s="685">
        <f t="shared" si="75"/>
        <v>71.478260869565219</v>
      </c>
      <c r="Z410" s="685">
        <f t="shared" si="75"/>
        <v>71.478260869565219</v>
      </c>
      <c r="AA410" s="685">
        <f t="shared" si="75"/>
        <v>71.478260869565219</v>
      </c>
      <c r="AB410" s="685">
        <f t="shared" si="75"/>
        <v>71.478260869565219</v>
      </c>
      <c r="AC410" s="685">
        <f t="shared" si="75"/>
        <v>71.478260869565219</v>
      </c>
      <c r="AD410" s="685">
        <f t="shared" si="75"/>
        <v>71.478260869565219</v>
      </c>
      <c r="AE410" s="685">
        <f t="shared" si="75"/>
        <v>71.478260869565219</v>
      </c>
      <c r="AF410" s="685">
        <f t="shared" si="75"/>
        <v>71.478260869565219</v>
      </c>
      <c r="AG410" s="685">
        <f t="shared" si="75"/>
        <v>71.478260869565219</v>
      </c>
      <c r="AH410" s="685">
        <f t="shared" si="75"/>
        <v>71.478260869565219</v>
      </c>
      <c r="AI410" s="685">
        <f t="shared" si="75"/>
        <v>71.478260869565219</v>
      </c>
      <c r="AJ410" s="685">
        <f t="shared" si="75"/>
        <v>71.478260869565219</v>
      </c>
      <c r="AK410" s="685">
        <f t="shared" si="75"/>
        <v>71.478260869565219</v>
      </c>
      <c r="AL410" s="685">
        <f t="shared" si="75"/>
        <v>71.478260869565219</v>
      </c>
      <c r="AM410" s="685">
        <f t="shared" si="75"/>
        <v>71.478260869565219</v>
      </c>
      <c r="AN410" s="685">
        <f t="shared" si="75"/>
        <v>71.478260869565219</v>
      </c>
      <c r="AO410" s="685">
        <f t="shared" si="75"/>
        <v>71.478260869565219</v>
      </c>
      <c r="AP410" s="685">
        <f t="shared" si="75"/>
        <v>71.478260869565219</v>
      </c>
      <c r="AQ410" s="685">
        <f t="shared" si="75"/>
        <v>71.478260869565219</v>
      </c>
      <c r="AR410" s="685">
        <f t="shared" si="75"/>
        <v>71.478260869565219</v>
      </c>
      <c r="AS410" s="685">
        <f t="shared" si="75"/>
        <v>71.478260869565219</v>
      </c>
      <c r="AT410" s="685">
        <f t="shared" si="75"/>
        <v>71.478260869565219</v>
      </c>
      <c r="AU410" s="685">
        <f t="shared" si="75"/>
        <v>71.478260869565219</v>
      </c>
      <c r="AV410" s="685">
        <f t="shared" si="75"/>
        <v>71.478260869565219</v>
      </c>
      <c r="AW410" s="685">
        <f t="shared" si="75"/>
        <v>71.478260869565219</v>
      </c>
    </row>
    <row r="411" spans="1:49" s="683" customFormat="1" x14ac:dyDescent="0.2">
      <c r="A411" s="702" t="s">
        <v>491</v>
      </c>
      <c r="B411" s="685">
        <f t="shared" ref="B411:AW411" si="76">SUM($C$408:$AW$408)/22</f>
        <v>11.681818181818182</v>
      </c>
      <c r="C411" s="685">
        <f t="shared" si="76"/>
        <v>11.681818181818182</v>
      </c>
      <c r="D411" s="685">
        <f t="shared" si="76"/>
        <v>11.681818181818182</v>
      </c>
      <c r="E411" s="685">
        <f t="shared" si="76"/>
        <v>11.681818181818182</v>
      </c>
      <c r="F411" s="685">
        <f t="shared" si="76"/>
        <v>11.681818181818182</v>
      </c>
      <c r="G411" s="685">
        <f t="shared" si="76"/>
        <v>11.681818181818182</v>
      </c>
      <c r="H411" s="685">
        <f t="shared" si="76"/>
        <v>11.681818181818182</v>
      </c>
      <c r="I411" s="685">
        <f t="shared" si="76"/>
        <v>11.681818181818182</v>
      </c>
      <c r="J411" s="685">
        <f t="shared" si="76"/>
        <v>11.681818181818182</v>
      </c>
      <c r="K411" s="685">
        <f t="shared" si="76"/>
        <v>11.681818181818182</v>
      </c>
      <c r="L411" s="685">
        <f t="shared" si="76"/>
        <v>11.681818181818182</v>
      </c>
      <c r="M411" s="685">
        <f t="shared" si="76"/>
        <v>11.681818181818182</v>
      </c>
      <c r="N411" s="685">
        <f t="shared" si="76"/>
        <v>11.681818181818182</v>
      </c>
      <c r="O411" s="685">
        <f t="shared" si="76"/>
        <v>11.681818181818182</v>
      </c>
      <c r="P411" s="685">
        <f t="shared" si="76"/>
        <v>11.681818181818182</v>
      </c>
      <c r="Q411" s="685">
        <f t="shared" si="76"/>
        <v>11.681818181818182</v>
      </c>
      <c r="R411" s="685">
        <f t="shared" si="76"/>
        <v>11.681818181818182</v>
      </c>
      <c r="S411" s="685">
        <f t="shared" si="76"/>
        <v>11.681818181818182</v>
      </c>
      <c r="T411" s="685">
        <f t="shared" si="76"/>
        <v>11.681818181818182</v>
      </c>
      <c r="U411" s="685">
        <f t="shared" si="76"/>
        <v>11.681818181818182</v>
      </c>
      <c r="V411" s="685">
        <f t="shared" si="76"/>
        <v>11.681818181818182</v>
      </c>
      <c r="W411" s="685">
        <f t="shared" si="76"/>
        <v>11.681818181818182</v>
      </c>
      <c r="X411" s="685">
        <f t="shared" si="76"/>
        <v>11.681818181818182</v>
      </c>
      <c r="Y411" s="685">
        <f t="shared" si="76"/>
        <v>11.681818181818182</v>
      </c>
      <c r="Z411" s="685">
        <f t="shared" si="76"/>
        <v>11.681818181818182</v>
      </c>
      <c r="AA411" s="685">
        <f t="shared" si="76"/>
        <v>11.681818181818182</v>
      </c>
      <c r="AB411" s="685">
        <f t="shared" si="76"/>
        <v>11.681818181818182</v>
      </c>
      <c r="AC411" s="685">
        <f t="shared" si="76"/>
        <v>11.681818181818182</v>
      </c>
      <c r="AD411" s="685">
        <f t="shared" si="76"/>
        <v>11.681818181818182</v>
      </c>
      <c r="AE411" s="685">
        <f t="shared" si="76"/>
        <v>11.681818181818182</v>
      </c>
      <c r="AF411" s="685">
        <f t="shared" si="76"/>
        <v>11.681818181818182</v>
      </c>
      <c r="AG411" s="685">
        <f t="shared" si="76"/>
        <v>11.681818181818182</v>
      </c>
      <c r="AH411" s="685">
        <f t="shared" si="76"/>
        <v>11.681818181818182</v>
      </c>
      <c r="AI411" s="685">
        <f t="shared" si="76"/>
        <v>11.681818181818182</v>
      </c>
      <c r="AJ411" s="685">
        <f t="shared" si="76"/>
        <v>11.681818181818182</v>
      </c>
      <c r="AK411" s="685">
        <f t="shared" si="76"/>
        <v>11.681818181818182</v>
      </c>
      <c r="AL411" s="685">
        <f t="shared" si="76"/>
        <v>11.681818181818182</v>
      </c>
      <c r="AM411" s="685">
        <f t="shared" si="76"/>
        <v>11.681818181818182</v>
      </c>
      <c r="AN411" s="685">
        <f t="shared" si="76"/>
        <v>11.681818181818182</v>
      </c>
      <c r="AO411" s="685">
        <f t="shared" si="76"/>
        <v>11.681818181818182</v>
      </c>
      <c r="AP411" s="685">
        <f t="shared" si="76"/>
        <v>11.681818181818182</v>
      </c>
      <c r="AQ411" s="685">
        <f t="shared" si="76"/>
        <v>11.681818181818182</v>
      </c>
      <c r="AR411" s="685">
        <f t="shared" si="76"/>
        <v>11.681818181818182</v>
      </c>
      <c r="AS411" s="685">
        <f t="shared" si="76"/>
        <v>11.681818181818182</v>
      </c>
      <c r="AT411" s="685">
        <f t="shared" si="76"/>
        <v>11.681818181818182</v>
      </c>
      <c r="AU411" s="685">
        <f t="shared" si="76"/>
        <v>11.681818181818182</v>
      </c>
      <c r="AV411" s="685">
        <f t="shared" si="76"/>
        <v>11.681818181818182</v>
      </c>
      <c r="AW411" s="685">
        <f t="shared" si="76"/>
        <v>11.681818181818182</v>
      </c>
    </row>
    <row r="412" spans="1:49" s="683" customFormat="1" ht="25.5" x14ac:dyDescent="0.2">
      <c r="A412" s="702" t="s">
        <v>494</v>
      </c>
      <c r="B412" s="685">
        <f t="shared" ref="B412:AW412" si="77">SUM($B$411)/1.128</f>
        <v>10.356221792392006</v>
      </c>
      <c r="C412" s="685">
        <f t="shared" si="77"/>
        <v>10.356221792392006</v>
      </c>
      <c r="D412" s="685">
        <f t="shared" si="77"/>
        <v>10.356221792392006</v>
      </c>
      <c r="E412" s="685">
        <f t="shared" si="77"/>
        <v>10.356221792392006</v>
      </c>
      <c r="F412" s="685">
        <f t="shared" si="77"/>
        <v>10.356221792392006</v>
      </c>
      <c r="G412" s="685">
        <f t="shared" si="77"/>
        <v>10.356221792392006</v>
      </c>
      <c r="H412" s="685">
        <f t="shared" si="77"/>
        <v>10.356221792392006</v>
      </c>
      <c r="I412" s="685">
        <f t="shared" si="77"/>
        <v>10.356221792392006</v>
      </c>
      <c r="J412" s="685">
        <f t="shared" si="77"/>
        <v>10.356221792392006</v>
      </c>
      <c r="K412" s="685">
        <f t="shared" si="77"/>
        <v>10.356221792392006</v>
      </c>
      <c r="L412" s="685">
        <f t="shared" si="77"/>
        <v>10.356221792392006</v>
      </c>
      <c r="M412" s="685">
        <f t="shared" si="77"/>
        <v>10.356221792392006</v>
      </c>
      <c r="N412" s="685">
        <f t="shared" si="77"/>
        <v>10.356221792392006</v>
      </c>
      <c r="O412" s="685">
        <f t="shared" si="77"/>
        <v>10.356221792392006</v>
      </c>
      <c r="P412" s="685">
        <f t="shared" si="77"/>
        <v>10.356221792392006</v>
      </c>
      <c r="Q412" s="685">
        <f t="shared" si="77"/>
        <v>10.356221792392006</v>
      </c>
      <c r="R412" s="685">
        <f t="shared" si="77"/>
        <v>10.356221792392006</v>
      </c>
      <c r="S412" s="685">
        <f t="shared" si="77"/>
        <v>10.356221792392006</v>
      </c>
      <c r="T412" s="685">
        <f t="shared" si="77"/>
        <v>10.356221792392006</v>
      </c>
      <c r="U412" s="685">
        <f t="shared" si="77"/>
        <v>10.356221792392006</v>
      </c>
      <c r="V412" s="685">
        <f t="shared" si="77"/>
        <v>10.356221792392006</v>
      </c>
      <c r="W412" s="685">
        <f t="shared" si="77"/>
        <v>10.356221792392006</v>
      </c>
      <c r="X412" s="685">
        <f t="shared" si="77"/>
        <v>10.356221792392006</v>
      </c>
      <c r="Y412" s="685">
        <f t="shared" si="77"/>
        <v>10.356221792392006</v>
      </c>
      <c r="Z412" s="685">
        <f t="shared" si="77"/>
        <v>10.356221792392006</v>
      </c>
      <c r="AA412" s="685">
        <f t="shared" si="77"/>
        <v>10.356221792392006</v>
      </c>
      <c r="AB412" s="685">
        <f t="shared" si="77"/>
        <v>10.356221792392006</v>
      </c>
      <c r="AC412" s="685">
        <f t="shared" si="77"/>
        <v>10.356221792392006</v>
      </c>
      <c r="AD412" s="685">
        <f t="shared" si="77"/>
        <v>10.356221792392006</v>
      </c>
      <c r="AE412" s="685">
        <f t="shared" si="77"/>
        <v>10.356221792392006</v>
      </c>
      <c r="AF412" s="685">
        <f t="shared" si="77"/>
        <v>10.356221792392006</v>
      </c>
      <c r="AG412" s="685">
        <f t="shared" si="77"/>
        <v>10.356221792392006</v>
      </c>
      <c r="AH412" s="685">
        <f t="shared" si="77"/>
        <v>10.356221792392006</v>
      </c>
      <c r="AI412" s="685">
        <f t="shared" si="77"/>
        <v>10.356221792392006</v>
      </c>
      <c r="AJ412" s="685">
        <f t="shared" si="77"/>
        <v>10.356221792392006</v>
      </c>
      <c r="AK412" s="685">
        <f t="shared" si="77"/>
        <v>10.356221792392006</v>
      </c>
      <c r="AL412" s="685">
        <f t="shared" si="77"/>
        <v>10.356221792392006</v>
      </c>
      <c r="AM412" s="685">
        <f t="shared" si="77"/>
        <v>10.356221792392006</v>
      </c>
      <c r="AN412" s="685">
        <f t="shared" si="77"/>
        <v>10.356221792392006</v>
      </c>
      <c r="AO412" s="685">
        <f t="shared" si="77"/>
        <v>10.356221792392006</v>
      </c>
      <c r="AP412" s="685">
        <f t="shared" si="77"/>
        <v>10.356221792392006</v>
      </c>
      <c r="AQ412" s="685">
        <f t="shared" si="77"/>
        <v>10.356221792392006</v>
      </c>
      <c r="AR412" s="685">
        <f t="shared" si="77"/>
        <v>10.356221792392006</v>
      </c>
      <c r="AS412" s="685">
        <f t="shared" si="77"/>
        <v>10.356221792392006</v>
      </c>
      <c r="AT412" s="685">
        <f t="shared" si="77"/>
        <v>10.356221792392006</v>
      </c>
      <c r="AU412" s="685">
        <f t="shared" si="77"/>
        <v>10.356221792392006</v>
      </c>
      <c r="AV412" s="685">
        <f t="shared" si="77"/>
        <v>10.356221792392006</v>
      </c>
      <c r="AW412" s="685">
        <f t="shared" si="77"/>
        <v>10.356221792392006</v>
      </c>
    </row>
    <row r="413" spans="1:49" s="683" customFormat="1" x14ac:dyDescent="0.2">
      <c r="A413" s="702" t="s">
        <v>500</v>
      </c>
      <c r="B413" s="685">
        <f t="shared" ref="B413:AW413" si="78">SUM($B$410)+ (3*$B$412)</f>
        <v>102.54692624674124</v>
      </c>
      <c r="C413" s="685">
        <f t="shared" si="78"/>
        <v>102.54692624674124</v>
      </c>
      <c r="D413" s="685">
        <f t="shared" si="78"/>
        <v>102.54692624674124</v>
      </c>
      <c r="E413" s="685">
        <f t="shared" si="78"/>
        <v>102.54692624674124</v>
      </c>
      <c r="F413" s="685">
        <f t="shared" si="78"/>
        <v>102.54692624674124</v>
      </c>
      <c r="G413" s="685">
        <f t="shared" si="78"/>
        <v>102.54692624674124</v>
      </c>
      <c r="H413" s="685">
        <f t="shared" si="78"/>
        <v>102.54692624674124</v>
      </c>
      <c r="I413" s="685">
        <f t="shared" si="78"/>
        <v>102.54692624674124</v>
      </c>
      <c r="J413" s="685">
        <f t="shared" si="78"/>
        <v>102.54692624674124</v>
      </c>
      <c r="K413" s="685">
        <f t="shared" si="78"/>
        <v>102.54692624674124</v>
      </c>
      <c r="L413" s="685">
        <f t="shared" si="78"/>
        <v>102.54692624674124</v>
      </c>
      <c r="M413" s="685">
        <f t="shared" si="78"/>
        <v>102.54692624674124</v>
      </c>
      <c r="N413" s="685">
        <f t="shared" si="78"/>
        <v>102.54692624674124</v>
      </c>
      <c r="O413" s="685">
        <f t="shared" si="78"/>
        <v>102.54692624674124</v>
      </c>
      <c r="P413" s="685">
        <f t="shared" si="78"/>
        <v>102.54692624674124</v>
      </c>
      <c r="Q413" s="685">
        <f t="shared" si="78"/>
        <v>102.54692624674124</v>
      </c>
      <c r="R413" s="685">
        <f t="shared" si="78"/>
        <v>102.54692624674124</v>
      </c>
      <c r="S413" s="685">
        <f t="shared" si="78"/>
        <v>102.54692624674124</v>
      </c>
      <c r="T413" s="685">
        <f t="shared" si="78"/>
        <v>102.54692624674124</v>
      </c>
      <c r="U413" s="685">
        <f t="shared" si="78"/>
        <v>102.54692624674124</v>
      </c>
      <c r="V413" s="685">
        <f t="shared" si="78"/>
        <v>102.54692624674124</v>
      </c>
      <c r="W413" s="685">
        <f t="shared" si="78"/>
        <v>102.54692624674124</v>
      </c>
      <c r="X413" s="685">
        <f t="shared" si="78"/>
        <v>102.54692624674124</v>
      </c>
      <c r="Y413" s="685">
        <f t="shared" si="78"/>
        <v>102.54692624674124</v>
      </c>
      <c r="Z413" s="685">
        <f t="shared" si="78"/>
        <v>102.54692624674124</v>
      </c>
      <c r="AA413" s="685">
        <f t="shared" si="78"/>
        <v>102.54692624674124</v>
      </c>
      <c r="AB413" s="685">
        <f t="shared" si="78"/>
        <v>102.54692624674124</v>
      </c>
      <c r="AC413" s="685">
        <f t="shared" si="78"/>
        <v>102.54692624674124</v>
      </c>
      <c r="AD413" s="685">
        <f t="shared" si="78"/>
        <v>102.54692624674124</v>
      </c>
      <c r="AE413" s="685">
        <f t="shared" si="78"/>
        <v>102.54692624674124</v>
      </c>
      <c r="AF413" s="685">
        <f t="shared" si="78"/>
        <v>102.54692624674124</v>
      </c>
      <c r="AG413" s="685">
        <f t="shared" si="78"/>
        <v>102.54692624674124</v>
      </c>
      <c r="AH413" s="685">
        <f t="shared" si="78"/>
        <v>102.54692624674124</v>
      </c>
      <c r="AI413" s="685">
        <f t="shared" si="78"/>
        <v>102.54692624674124</v>
      </c>
      <c r="AJ413" s="685">
        <f t="shared" si="78"/>
        <v>102.54692624674124</v>
      </c>
      <c r="AK413" s="685">
        <f t="shared" si="78"/>
        <v>102.54692624674124</v>
      </c>
      <c r="AL413" s="685">
        <f t="shared" si="78"/>
        <v>102.54692624674124</v>
      </c>
      <c r="AM413" s="685">
        <f t="shared" si="78"/>
        <v>102.54692624674124</v>
      </c>
      <c r="AN413" s="685">
        <f t="shared" si="78"/>
        <v>102.54692624674124</v>
      </c>
      <c r="AO413" s="685">
        <f t="shared" si="78"/>
        <v>102.54692624674124</v>
      </c>
      <c r="AP413" s="685">
        <f t="shared" si="78"/>
        <v>102.54692624674124</v>
      </c>
      <c r="AQ413" s="685">
        <f t="shared" si="78"/>
        <v>102.54692624674124</v>
      </c>
      <c r="AR413" s="685">
        <f t="shared" si="78"/>
        <v>102.54692624674124</v>
      </c>
      <c r="AS413" s="685">
        <f t="shared" si="78"/>
        <v>102.54692624674124</v>
      </c>
      <c r="AT413" s="685">
        <f t="shared" si="78"/>
        <v>102.54692624674124</v>
      </c>
      <c r="AU413" s="685">
        <f t="shared" si="78"/>
        <v>102.54692624674124</v>
      </c>
      <c r="AV413" s="685">
        <f t="shared" si="78"/>
        <v>102.54692624674124</v>
      </c>
      <c r="AW413" s="685">
        <f t="shared" si="78"/>
        <v>102.54692624674124</v>
      </c>
    </row>
    <row r="414" spans="1:49" s="683" customFormat="1" x14ac:dyDescent="0.2">
      <c r="A414" s="702" t="s">
        <v>499</v>
      </c>
      <c r="B414" s="685">
        <f t="shared" ref="B414:AW414" si="79">SUM($B$410)- (3*$B$412)</f>
        <v>40.409595492389201</v>
      </c>
      <c r="C414" s="685">
        <f t="shared" si="79"/>
        <v>40.409595492389201</v>
      </c>
      <c r="D414" s="685">
        <f t="shared" si="79"/>
        <v>40.409595492389201</v>
      </c>
      <c r="E414" s="685">
        <f t="shared" si="79"/>
        <v>40.409595492389201</v>
      </c>
      <c r="F414" s="685">
        <f t="shared" si="79"/>
        <v>40.409595492389201</v>
      </c>
      <c r="G414" s="685">
        <f t="shared" si="79"/>
        <v>40.409595492389201</v>
      </c>
      <c r="H414" s="685">
        <f t="shared" si="79"/>
        <v>40.409595492389201</v>
      </c>
      <c r="I414" s="685">
        <f t="shared" si="79"/>
        <v>40.409595492389201</v>
      </c>
      <c r="J414" s="685">
        <f t="shared" si="79"/>
        <v>40.409595492389201</v>
      </c>
      <c r="K414" s="685">
        <f t="shared" si="79"/>
        <v>40.409595492389201</v>
      </c>
      <c r="L414" s="685">
        <f t="shared" si="79"/>
        <v>40.409595492389201</v>
      </c>
      <c r="M414" s="685">
        <f t="shared" si="79"/>
        <v>40.409595492389201</v>
      </c>
      <c r="N414" s="685">
        <f t="shared" si="79"/>
        <v>40.409595492389201</v>
      </c>
      <c r="O414" s="685">
        <f t="shared" si="79"/>
        <v>40.409595492389201</v>
      </c>
      <c r="P414" s="685">
        <f t="shared" si="79"/>
        <v>40.409595492389201</v>
      </c>
      <c r="Q414" s="685">
        <f t="shared" si="79"/>
        <v>40.409595492389201</v>
      </c>
      <c r="R414" s="685">
        <f t="shared" si="79"/>
        <v>40.409595492389201</v>
      </c>
      <c r="S414" s="685">
        <f t="shared" si="79"/>
        <v>40.409595492389201</v>
      </c>
      <c r="T414" s="685">
        <f t="shared" si="79"/>
        <v>40.409595492389201</v>
      </c>
      <c r="U414" s="685">
        <f t="shared" si="79"/>
        <v>40.409595492389201</v>
      </c>
      <c r="V414" s="685">
        <f t="shared" si="79"/>
        <v>40.409595492389201</v>
      </c>
      <c r="W414" s="685">
        <f t="shared" si="79"/>
        <v>40.409595492389201</v>
      </c>
      <c r="X414" s="685">
        <f t="shared" si="79"/>
        <v>40.409595492389201</v>
      </c>
      <c r="Y414" s="685">
        <f t="shared" si="79"/>
        <v>40.409595492389201</v>
      </c>
      <c r="Z414" s="685">
        <f t="shared" si="79"/>
        <v>40.409595492389201</v>
      </c>
      <c r="AA414" s="685">
        <f t="shared" si="79"/>
        <v>40.409595492389201</v>
      </c>
      <c r="AB414" s="685">
        <f t="shared" si="79"/>
        <v>40.409595492389201</v>
      </c>
      <c r="AC414" s="685">
        <f t="shared" si="79"/>
        <v>40.409595492389201</v>
      </c>
      <c r="AD414" s="685">
        <f t="shared" si="79"/>
        <v>40.409595492389201</v>
      </c>
      <c r="AE414" s="685">
        <f t="shared" si="79"/>
        <v>40.409595492389201</v>
      </c>
      <c r="AF414" s="685">
        <f t="shared" si="79"/>
        <v>40.409595492389201</v>
      </c>
      <c r="AG414" s="685">
        <f t="shared" si="79"/>
        <v>40.409595492389201</v>
      </c>
      <c r="AH414" s="685">
        <f t="shared" si="79"/>
        <v>40.409595492389201</v>
      </c>
      <c r="AI414" s="685">
        <f t="shared" si="79"/>
        <v>40.409595492389201</v>
      </c>
      <c r="AJ414" s="685">
        <f t="shared" si="79"/>
        <v>40.409595492389201</v>
      </c>
      <c r="AK414" s="685">
        <f t="shared" si="79"/>
        <v>40.409595492389201</v>
      </c>
      <c r="AL414" s="685">
        <f t="shared" si="79"/>
        <v>40.409595492389201</v>
      </c>
      <c r="AM414" s="685">
        <f t="shared" si="79"/>
        <v>40.409595492389201</v>
      </c>
      <c r="AN414" s="685">
        <f t="shared" si="79"/>
        <v>40.409595492389201</v>
      </c>
      <c r="AO414" s="685">
        <f t="shared" si="79"/>
        <v>40.409595492389201</v>
      </c>
      <c r="AP414" s="685">
        <f t="shared" si="79"/>
        <v>40.409595492389201</v>
      </c>
      <c r="AQ414" s="685">
        <f t="shared" si="79"/>
        <v>40.409595492389201</v>
      </c>
      <c r="AR414" s="685">
        <f t="shared" si="79"/>
        <v>40.409595492389201</v>
      </c>
      <c r="AS414" s="685">
        <f t="shared" si="79"/>
        <v>40.409595492389201</v>
      </c>
      <c r="AT414" s="685">
        <f t="shared" si="79"/>
        <v>40.409595492389201</v>
      </c>
      <c r="AU414" s="685">
        <f t="shared" si="79"/>
        <v>40.409595492389201</v>
      </c>
      <c r="AV414" s="685">
        <f t="shared" si="79"/>
        <v>40.409595492389201</v>
      </c>
      <c r="AW414" s="685">
        <f t="shared" si="79"/>
        <v>40.409595492389201</v>
      </c>
    </row>
    <row r="415" spans="1:49" s="683" customFormat="1" x14ac:dyDescent="0.2"/>
  </sheetData>
  <phoneticPr fontId="0" type="noConversion"/>
  <hyperlinks>
    <hyperlink ref="A1" location="Content!A1" display="Return to Contents"/>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56"/>
  <sheetViews>
    <sheetView workbookViewId="0"/>
  </sheetViews>
  <sheetFormatPr defaultColWidth="9.140625" defaultRowHeight="12.75" x14ac:dyDescent="0.2"/>
  <cols>
    <col min="1" max="1" width="19.5703125" style="151" bestFit="1" customWidth="1"/>
    <col min="2" max="2" width="10.85546875" style="151" customWidth="1"/>
    <col min="3" max="3" width="12" style="151" bestFit="1" customWidth="1"/>
    <col min="4" max="16384" width="9.140625" style="151"/>
  </cols>
  <sheetData>
    <row r="1" spans="1:11" ht="15" customHeight="1" x14ac:dyDescent="0.2">
      <c r="A1" s="116" t="s">
        <v>360</v>
      </c>
      <c r="B1" s="117"/>
      <c r="C1" s="563"/>
      <c r="D1" s="563"/>
      <c r="E1" s="563"/>
      <c r="F1" s="563"/>
      <c r="G1" s="563"/>
      <c r="H1" s="563"/>
      <c r="I1" s="563"/>
      <c r="J1" s="563"/>
      <c r="K1" s="563"/>
    </row>
    <row r="2" spans="1:11" x14ac:dyDescent="0.2">
      <c r="A2" s="116"/>
      <c r="B2" s="117"/>
      <c r="C2" s="563"/>
      <c r="D2" s="563"/>
      <c r="E2" s="563"/>
      <c r="F2" s="563"/>
      <c r="G2" s="563"/>
      <c r="H2" s="563"/>
      <c r="I2" s="563"/>
      <c r="J2" s="563"/>
      <c r="K2" s="563"/>
    </row>
    <row r="3" spans="1:11" x14ac:dyDescent="0.2">
      <c r="A3" s="116"/>
      <c r="B3" s="117"/>
      <c r="C3" s="563"/>
      <c r="D3" s="563"/>
      <c r="E3" s="563"/>
      <c r="F3" s="563"/>
      <c r="G3" s="563"/>
      <c r="H3" s="563"/>
      <c r="I3" s="563"/>
      <c r="J3" s="563"/>
      <c r="K3" s="563"/>
    </row>
    <row r="4" spans="1:11" x14ac:dyDescent="0.2">
      <c r="A4" s="118" t="s">
        <v>454</v>
      </c>
      <c r="B4" s="337" t="s">
        <v>457</v>
      </c>
      <c r="C4" s="337"/>
      <c r="D4" s="337"/>
      <c r="E4" s="337"/>
      <c r="F4" s="337"/>
      <c r="G4" s="337"/>
      <c r="H4" s="337"/>
      <c r="I4" s="337"/>
      <c r="J4" s="337"/>
      <c r="K4" s="337"/>
    </row>
    <row r="5" spans="1:11" x14ac:dyDescent="0.2">
      <c r="A5" s="118" t="s">
        <v>147</v>
      </c>
      <c r="B5" s="149">
        <f>VLOOKUP(MAX(A14:A29),A14:C29,2,0)</f>
        <v>3932</v>
      </c>
      <c r="C5" s="117"/>
      <c r="D5" s="117"/>
      <c r="E5" s="117"/>
      <c r="F5" s="117"/>
      <c r="G5" s="117"/>
      <c r="H5" s="117"/>
      <c r="I5" s="117"/>
      <c r="J5" s="117"/>
      <c r="K5" s="117"/>
    </row>
    <row r="6" spans="1:11" x14ac:dyDescent="0.2">
      <c r="A6" s="118" t="s">
        <v>119</v>
      </c>
      <c r="B6" s="138">
        <f>MAX(A14:A29)</f>
        <v>42887</v>
      </c>
      <c r="C6" s="117"/>
      <c r="D6" s="117"/>
      <c r="E6" s="117"/>
      <c r="F6" s="117"/>
      <c r="G6" s="117"/>
      <c r="H6" s="117"/>
      <c r="I6" s="117"/>
      <c r="J6" s="117"/>
      <c r="K6" s="117"/>
    </row>
    <row r="7" spans="1:11" x14ac:dyDescent="0.2">
      <c r="A7" s="118" t="s">
        <v>201</v>
      </c>
      <c r="B7" s="138"/>
      <c r="C7" s="117"/>
      <c r="D7" s="117"/>
      <c r="E7" s="117"/>
      <c r="F7" s="117"/>
      <c r="G7" s="117"/>
      <c r="H7" s="117"/>
      <c r="I7" s="117"/>
      <c r="J7" s="117"/>
      <c r="K7" s="117"/>
    </row>
    <row r="8" spans="1:11" x14ac:dyDescent="0.2">
      <c r="A8" s="118" t="s">
        <v>456</v>
      </c>
      <c r="B8" s="122" t="s">
        <v>160</v>
      </c>
      <c r="C8" s="117"/>
      <c r="D8" s="117"/>
      <c r="E8" s="117"/>
      <c r="F8" s="117"/>
      <c r="G8" s="117"/>
      <c r="H8" s="117"/>
      <c r="I8" s="117"/>
      <c r="J8" s="117"/>
      <c r="K8" s="117"/>
    </row>
    <row r="9" spans="1:11" x14ac:dyDescent="0.2">
      <c r="A9" s="137" t="s">
        <v>146</v>
      </c>
      <c r="B9" s="149">
        <f>VLOOKUP(MAX(A14:A29),A14:C29,3,0)</f>
        <v>2434.5</v>
      </c>
      <c r="C9" s="117"/>
      <c r="D9" s="117"/>
      <c r="E9" s="117"/>
      <c r="F9" s="117"/>
      <c r="G9" s="117"/>
      <c r="H9" s="117"/>
      <c r="I9" s="117"/>
      <c r="J9" s="117"/>
      <c r="K9" s="117"/>
    </row>
    <row r="10" spans="1:11" x14ac:dyDescent="0.2">
      <c r="A10" s="137" t="s">
        <v>120</v>
      </c>
      <c r="B10" s="357" t="str">
        <f>IF(B5&gt;=B9,"Met","Not Met")</f>
        <v>Met</v>
      </c>
      <c r="C10" s="117"/>
      <c r="D10" s="117"/>
      <c r="E10" s="117"/>
      <c r="F10" s="117"/>
      <c r="G10" s="117"/>
      <c r="H10" s="117"/>
      <c r="I10" s="117"/>
      <c r="J10" s="117"/>
      <c r="K10" s="117"/>
    </row>
    <row r="11" spans="1:11" x14ac:dyDescent="0.2">
      <c r="A11" s="137"/>
      <c r="B11" s="139"/>
      <c r="C11" s="117"/>
      <c r="D11" s="117"/>
      <c r="E11" s="117"/>
      <c r="F11" s="117"/>
      <c r="G11" s="117"/>
      <c r="H11" s="117"/>
      <c r="I11" s="117"/>
      <c r="J11" s="117"/>
      <c r="K11" s="117"/>
    </row>
    <row r="12" spans="1:11" x14ac:dyDescent="0.2">
      <c r="A12" s="134"/>
      <c r="B12" s="155" t="s">
        <v>169</v>
      </c>
      <c r="C12" s="155" t="s">
        <v>169</v>
      </c>
      <c r="D12" s="155"/>
      <c r="E12" s="117"/>
    </row>
    <row r="13" spans="1:11" ht="38.25" x14ac:dyDescent="0.2">
      <c r="A13" s="135"/>
      <c r="B13" s="135" t="s">
        <v>331</v>
      </c>
      <c r="C13" s="135" t="s">
        <v>15</v>
      </c>
      <c r="D13" s="117"/>
      <c r="E13" s="127" t="s">
        <v>170</v>
      </c>
    </row>
    <row r="14" spans="1:11" x14ac:dyDescent="0.2">
      <c r="A14" s="147">
        <v>42156</v>
      </c>
      <c r="B14" s="148">
        <v>5748</v>
      </c>
      <c r="C14" s="148">
        <v>2440</v>
      </c>
      <c r="D14" s="117"/>
      <c r="E14" s="156"/>
    </row>
    <row r="15" spans="1:11" x14ac:dyDescent="0.2">
      <c r="A15" s="147">
        <v>42248</v>
      </c>
      <c r="B15" s="148">
        <v>12856</v>
      </c>
      <c r="C15" s="148">
        <f>C17*0.5</f>
        <v>4878.5</v>
      </c>
      <c r="D15" s="117"/>
      <c r="E15" s="156"/>
    </row>
    <row r="16" spans="1:11" x14ac:dyDescent="0.2">
      <c r="A16" s="147">
        <v>42339</v>
      </c>
      <c r="B16" s="148">
        <v>21470</v>
      </c>
      <c r="C16" s="148">
        <f>C17*0.75</f>
        <v>7317.75</v>
      </c>
      <c r="D16" s="117"/>
      <c r="E16" s="156"/>
    </row>
    <row r="17" spans="1:14" x14ac:dyDescent="0.2">
      <c r="A17" s="147">
        <v>42430</v>
      </c>
      <c r="B17" s="148">
        <v>28972</v>
      </c>
      <c r="C17" s="148">
        <v>9757</v>
      </c>
      <c r="D17" s="157"/>
      <c r="E17" s="156"/>
    </row>
    <row r="18" spans="1:14" x14ac:dyDescent="0.2">
      <c r="A18" s="147">
        <v>42522</v>
      </c>
      <c r="B18" s="148">
        <f>SUM($E$18:E18)</f>
        <v>6192</v>
      </c>
      <c r="C18" s="148">
        <v>2440</v>
      </c>
      <c r="D18" s="117" t="s">
        <v>385</v>
      </c>
      <c r="E18" s="156">
        <v>6192</v>
      </c>
    </row>
    <row r="19" spans="1:14" x14ac:dyDescent="0.2">
      <c r="A19" s="147">
        <v>42614</v>
      </c>
      <c r="B19" s="148">
        <f>SUM($E$18:E19)</f>
        <v>11370</v>
      </c>
      <c r="C19" s="148">
        <v>4879</v>
      </c>
      <c r="D19" s="117" t="s">
        <v>385</v>
      </c>
      <c r="E19" s="156">
        <v>5178</v>
      </c>
    </row>
    <row r="20" spans="1:14" x14ac:dyDescent="0.2">
      <c r="A20" s="147">
        <v>42705</v>
      </c>
      <c r="B20" s="148">
        <f>SUM($E$18:E20)</f>
        <v>16831</v>
      </c>
      <c r="C20" s="148">
        <v>7318</v>
      </c>
      <c r="D20" s="117"/>
      <c r="E20" s="156">
        <v>5461</v>
      </c>
    </row>
    <row r="21" spans="1:14" x14ac:dyDescent="0.2">
      <c r="A21" s="147">
        <v>42795</v>
      </c>
      <c r="B21" s="148">
        <f>SUM($E$18:E21)</f>
        <v>22291</v>
      </c>
      <c r="C21" s="148">
        <v>9757</v>
      </c>
      <c r="D21" s="414"/>
      <c r="E21" s="156">
        <v>5460</v>
      </c>
    </row>
    <row r="22" spans="1:14" x14ac:dyDescent="0.2">
      <c r="A22" s="147">
        <v>42887</v>
      </c>
      <c r="B22" s="148">
        <v>3932</v>
      </c>
      <c r="C22" s="148">
        <f>C25/4</f>
        <v>2434.5</v>
      </c>
      <c r="E22" s="129">
        <v>3932</v>
      </c>
    </row>
    <row r="23" spans="1:14" x14ac:dyDescent="0.2">
      <c r="A23" s="147"/>
      <c r="B23" s="148"/>
      <c r="C23" s="148">
        <f>C25/2</f>
        <v>4869</v>
      </c>
      <c r="E23" s="147"/>
    </row>
    <row r="24" spans="1:14" x14ac:dyDescent="0.2">
      <c r="A24" s="147"/>
      <c r="B24" s="148"/>
      <c r="C24" s="148">
        <f>C25/4*3</f>
        <v>7303.5</v>
      </c>
      <c r="E24" s="147"/>
    </row>
    <row r="25" spans="1:14" x14ac:dyDescent="0.2">
      <c r="A25" s="147"/>
      <c r="B25" s="148"/>
      <c r="C25" s="148">
        <v>9738</v>
      </c>
      <c r="E25" s="147"/>
    </row>
    <row r="26" spans="1:14" x14ac:dyDescent="0.2">
      <c r="A26" s="147"/>
      <c r="B26" s="148"/>
      <c r="C26" s="148"/>
      <c r="E26" s="147"/>
    </row>
    <row r="27" spans="1:14" x14ac:dyDescent="0.2">
      <c r="A27" s="147"/>
      <c r="B27" s="148"/>
      <c r="C27" s="148"/>
      <c r="E27" s="147"/>
    </row>
    <row r="28" spans="1:14" x14ac:dyDescent="0.2">
      <c r="A28" s="147"/>
      <c r="B28" s="148"/>
      <c r="C28" s="148"/>
      <c r="E28" s="147"/>
    </row>
    <row r="29" spans="1:14" x14ac:dyDescent="0.2">
      <c r="A29" s="147"/>
      <c r="B29" s="148"/>
      <c r="C29" s="148"/>
      <c r="E29" s="147"/>
    </row>
    <row r="30" spans="1:14" x14ac:dyDescent="0.2">
      <c r="A30" s="158"/>
      <c r="D30" s="111" t="s">
        <v>385</v>
      </c>
    </row>
    <row r="31" spans="1:14" x14ac:dyDescent="0.2">
      <c r="A31" s="623" t="s">
        <v>69</v>
      </c>
      <c r="D31" s="460" t="s">
        <v>385</v>
      </c>
      <c r="N31" s="137" t="s">
        <v>231</v>
      </c>
    </row>
    <row r="32" spans="1:14" x14ac:dyDescent="0.2">
      <c r="A32" s="158"/>
    </row>
    <row r="33" spans="1:1" x14ac:dyDescent="0.2">
      <c r="A33" s="158"/>
    </row>
    <row r="34" spans="1:1" x14ac:dyDescent="0.2">
      <c r="A34" s="158"/>
    </row>
    <row r="35" spans="1:1" x14ac:dyDescent="0.2">
      <c r="A35" s="158"/>
    </row>
    <row r="36" spans="1:1" x14ac:dyDescent="0.2">
      <c r="A36" s="158"/>
    </row>
    <row r="37" spans="1:1" x14ac:dyDescent="0.2">
      <c r="A37" s="158"/>
    </row>
    <row r="38" spans="1:1" x14ac:dyDescent="0.2">
      <c r="A38" s="158"/>
    </row>
    <row r="39" spans="1:1" x14ac:dyDescent="0.2">
      <c r="A39" s="158"/>
    </row>
    <row r="40" spans="1:1" x14ac:dyDescent="0.2">
      <c r="A40" s="158"/>
    </row>
    <row r="41" spans="1:1" x14ac:dyDescent="0.2">
      <c r="A41" s="158"/>
    </row>
    <row r="42" spans="1:1" x14ac:dyDescent="0.2">
      <c r="A42" s="158"/>
    </row>
    <row r="43" spans="1:1" x14ac:dyDescent="0.2">
      <c r="A43" s="158"/>
    </row>
    <row r="44" spans="1:1" x14ac:dyDescent="0.2">
      <c r="A44" s="158"/>
    </row>
    <row r="45" spans="1:1" x14ac:dyDescent="0.2">
      <c r="A45" s="158"/>
    </row>
    <row r="56" spans="1:1" x14ac:dyDescent="0.2">
      <c r="A56" s="137" t="s">
        <v>469</v>
      </c>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42" orientation="portrait" r:id="rId1"/>
  <ignoredErrors>
    <ignoredError sqref="B19:B20"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0C0"/>
  </sheetPr>
  <dimension ref="A1:G16"/>
  <sheetViews>
    <sheetView workbookViewId="0"/>
  </sheetViews>
  <sheetFormatPr defaultColWidth="9.140625" defaultRowHeight="12.75" x14ac:dyDescent="0.2"/>
  <cols>
    <col min="1" max="1" width="18.85546875" style="151" bestFit="1" customWidth="1"/>
    <col min="2" max="16384" width="9.140625" style="151"/>
  </cols>
  <sheetData>
    <row r="1" spans="1:7" x14ac:dyDescent="0.2">
      <c r="A1" s="116" t="s">
        <v>360</v>
      </c>
      <c r="B1" s="117"/>
      <c r="C1" s="117"/>
      <c r="D1" s="117"/>
      <c r="F1" s="117"/>
      <c r="G1" s="117"/>
    </row>
    <row r="2" spans="1:7" x14ac:dyDescent="0.2">
      <c r="A2" s="116"/>
      <c r="B2" s="117"/>
      <c r="C2" s="117"/>
      <c r="D2" s="117"/>
      <c r="F2" s="117"/>
      <c r="G2" s="117"/>
    </row>
    <row r="3" spans="1:7" x14ac:dyDescent="0.2">
      <c r="A3" s="137" t="s">
        <v>151</v>
      </c>
      <c r="B3" s="139" t="s">
        <v>83</v>
      </c>
      <c r="C3" s="117"/>
      <c r="D3" s="117"/>
      <c r="E3" s="117"/>
      <c r="F3" s="117"/>
      <c r="G3" s="117"/>
    </row>
    <row r="4" spans="1:7" x14ac:dyDescent="0.2">
      <c r="A4" s="137" t="s">
        <v>148</v>
      </c>
      <c r="B4" s="419" t="s">
        <v>231</v>
      </c>
      <c r="C4" s="117"/>
      <c r="D4" s="117"/>
      <c r="E4" s="117"/>
      <c r="F4" s="117"/>
      <c r="G4" s="117"/>
    </row>
    <row r="5" spans="1:7" x14ac:dyDescent="0.2">
      <c r="A5" s="137" t="s">
        <v>215</v>
      </c>
      <c r="B5" s="138" t="s">
        <v>232</v>
      </c>
      <c r="C5" s="117"/>
      <c r="D5" s="117"/>
      <c r="E5" s="117"/>
      <c r="F5" s="117"/>
      <c r="G5" s="117"/>
    </row>
    <row r="6" spans="1:7" x14ac:dyDescent="0.2">
      <c r="A6" s="159"/>
    </row>
    <row r="7" spans="1:7" x14ac:dyDescent="0.2">
      <c r="A7" s="140"/>
      <c r="B7" s="160" t="s">
        <v>129</v>
      </c>
      <c r="C7" s="160" t="s">
        <v>69</v>
      </c>
      <c r="D7" s="160" t="s">
        <v>231</v>
      </c>
      <c r="E7" s="160" t="s">
        <v>469</v>
      </c>
      <c r="F7" s="160" t="s">
        <v>470</v>
      </c>
    </row>
    <row r="8" spans="1:7" x14ac:dyDescent="0.2">
      <c r="A8" s="144" t="s">
        <v>386</v>
      </c>
      <c r="B8" s="161">
        <v>99252</v>
      </c>
      <c r="C8" s="161">
        <v>97245</v>
      </c>
      <c r="D8" s="161">
        <v>86560</v>
      </c>
      <c r="E8" s="161"/>
      <c r="F8" s="161"/>
    </row>
    <row r="9" spans="1:7" x14ac:dyDescent="0.2">
      <c r="A9" s="144" t="s">
        <v>230</v>
      </c>
      <c r="B9" s="161">
        <f>(B8/100)*14.5</f>
        <v>14391.539999999999</v>
      </c>
      <c r="C9" s="161">
        <f>(C8/100)*14.5</f>
        <v>14100.525000000001</v>
      </c>
      <c r="D9" s="162">
        <f>(D8/100)*14.66</f>
        <v>12689.696</v>
      </c>
      <c r="E9" s="426">
        <f>(E8/100)*14.76</f>
        <v>0</v>
      </c>
      <c r="F9" s="420"/>
    </row>
    <row r="10" spans="1:7" x14ac:dyDescent="0.2">
      <c r="A10" s="144" t="s">
        <v>387</v>
      </c>
      <c r="B10" s="161">
        <v>24386</v>
      </c>
      <c r="C10" s="161">
        <v>28972</v>
      </c>
      <c r="D10" s="161">
        <v>21828</v>
      </c>
      <c r="E10" s="161"/>
      <c r="F10" s="161"/>
    </row>
    <row r="13" spans="1:7" x14ac:dyDescent="0.2">
      <c r="A13" s="345" t="s">
        <v>597</v>
      </c>
    </row>
    <row r="14" spans="1:7" x14ac:dyDescent="0.2">
      <c r="A14" s="564" t="s">
        <v>598</v>
      </c>
    </row>
    <row r="16" spans="1:7" x14ac:dyDescent="0.2">
      <c r="B16" s="163"/>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W15"/>
  <sheetViews>
    <sheetView workbookViewId="0">
      <pane xSplit="1" topLeftCell="B1" activePane="topRight" state="frozen"/>
      <selection pane="topRight"/>
    </sheetView>
  </sheetViews>
  <sheetFormatPr defaultColWidth="9.140625" defaultRowHeight="12.75" x14ac:dyDescent="0.2"/>
  <cols>
    <col min="1" max="1" width="19.85546875" style="117" bestFit="1" customWidth="1"/>
    <col min="2" max="2" width="11.140625" style="117" bestFit="1" customWidth="1"/>
    <col min="3" max="16384" width="9.140625" style="117"/>
  </cols>
  <sheetData>
    <row r="1" spans="1:49" x14ac:dyDescent="0.2">
      <c r="A1" s="116" t="s">
        <v>360</v>
      </c>
    </row>
    <row r="3" spans="1:49" x14ac:dyDescent="0.2">
      <c r="A3" s="118" t="s">
        <v>454</v>
      </c>
      <c r="B3" s="117" t="s">
        <v>458</v>
      </c>
    </row>
    <row r="4" spans="1:49" x14ac:dyDescent="0.2">
      <c r="A4" s="118" t="s">
        <v>147</v>
      </c>
      <c r="B4" s="120">
        <f>HLOOKUP(MAX(B9:AW9),A9:AW13,2,0)</f>
        <v>0.91600000000000004</v>
      </c>
    </row>
    <row r="5" spans="1:49" x14ac:dyDescent="0.2">
      <c r="A5" s="118" t="s">
        <v>119</v>
      </c>
      <c r="B5" s="138">
        <f>MAX(B9:AW9)</f>
        <v>42917</v>
      </c>
    </row>
    <row r="6" spans="1:49" x14ac:dyDescent="0.2">
      <c r="A6" s="118" t="s">
        <v>201</v>
      </c>
      <c r="B6" s="138"/>
    </row>
    <row r="7" spans="1:49" x14ac:dyDescent="0.2">
      <c r="A7" s="118" t="s">
        <v>456</v>
      </c>
      <c r="B7" s="139" t="s">
        <v>285</v>
      </c>
    </row>
    <row r="9" spans="1:49" x14ac:dyDescent="0.2">
      <c r="A9" s="127"/>
      <c r="B9" s="124">
        <v>42095</v>
      </c>
      <c r="C9" s="124">
        <v>42125</v>
      </c>
      <c r="D9" s="124">
        <v>42156</v>
      </c>
      <c r="E9" s="124">
        <v>42186</v>
      </c>
      <c r="F9" s="152">
        <v>42217</v>
      </c>
      <c r="G9" s="124">
        <v>42248</v>
      </c>
      <c r="H9" s="124">
        <v>42278</v>
      </c>
      <c r="I9" s="124">
        <v>42309</v>
      </c>
      <c r="J9" s="124">
        <v>42339</v>
      </c>
      <c r="K9" s="124">
        <v>42370</v>
      </c>
      <c r="L9" s="124">
        <v>42401</v>
      </c>
      <c r="M9" s="124">
        <v>42430</v>
      </c>
      <c r="N9" s="124">
        <v>42461</v>
      </c>
      <c r="O9" s="124">
        <v>42491</v>
      </c>
      <c r="P9" s="124">
        <v>42522</v>
      </c>
      <c r="Q9" s="124">
        <v>42552</v>
      </c>
      <c r="R9" s="124">
        <v>42583</v>
      </c>
      <c r="S9" s="124">
        <v>42614</v>
      </c>
      <c r="T9" s="124">
        <v>42644</v>
      </c>
      <c r="U9" s="124">
        <v>42675</v>
      </c>
      <c r="V9" s="124">
        <v>42705</v>
      </c>
      <c r="W9" s="124">
        <v>42736</v>
      </c>
      <c r="X9" s="124">
        <v>42767</v>
      </c>
      <c r="Y9" s="124">
        <v>42795</v>
      </c>
      <c r="Z9" s="124">
        <v>42826</v>
      </c>
      <c r="AA9" s="124">
        <v>42856</v>
      </c>
      <c r="AB9" s="124">
        <v>42887</v>
      </c>
      <c r="AC9" s="124">
        <v>42917</v>
      </c>
      <c r="AD9" s="152"/>
      <c r="AE9" s="124"/>
      <c r="AF9" s="124"/>
      <c r="AG9" s="124"/>
      <c r="AH9" s="124"/>
      <c r="AI9" s="124"/>
      <c r="AJ9" s="124"/>
      <c r="AK9" s="124"/>
      <c r="AL9" s="124"/>
      <c r="AM9" s="124"/>
      <c r="AN9" s="124"/>
      <c r="AO9" s="124"/>
      <c r="AP9" s="124"/>
      <c r="AQ9" s="124"/>
      <c r="AR9" s="124"/>
      <c r="AS9" s="124"/>
      <c r="AT9" s="124"/>
      <c r="AU9" s="124"/>
      <c r="AV9" s="124"/>
      <c r="AW9" s="124"/>
    </row>
    <row r="10" spans="1:49" x14ac:dyDescent="0.2">
      <c r="A10" s="144" t="s">
        <v>66</v>
      </c>
      <c r="B10" s="97">
        <v>0.876</v>
      </c>
      <c r="C10" s="97">
        <v>0.85899999999999999</v>
      </c>
      <c r="D10" s="97">
        <v>0.9</v>
      </c>
      <c r="E10" s="97">
        <v>0.89100000000000001</v>
      </c>
      <c r="F10" s="97">
        <v>0.84399999999999997</v>
      </c>
      <c r="G10" s="97">
        <v>0.88100000000000001</v>
      </c>
      <c r="H10" s="97">
        <v>0.85899999999999999</v>
      </c>
      <c r="I10" s="97">
        <v>0.89700000000000002</v>
      </c>
      <c r="J10" s="97">
        <v>0.871</v>
      </c>
      <c r="K10" s="97">
        <v>0.85699999999999998</v>
      </c>
      <c r="L10" s="97">
        <v>0.90700000000000003</v>
      </c>
      <c r="M10" s="97">
        <v>0.90800000000000003</v>
      </c>
      <c r="N10" s="97">
        <v>0.88200000000000001</v>
      </c>
      <c r="O10" s="97">
        <v>0.86899999999999999</v>
      </c>
      <c r="P10" s="97">
        <v>0.86599999999999999</v>
      </c>
      <c r="Q10" s="97">
        <v>0.88900000000000001</v>
      </c>
      <c r="R10" s="97">
        <v>0.86</v>
      </c>
      <c r="S10" s="97">
        <v>0.88800000000000001</v>
      </c>
      <c r="T10" s="97">
        <v>0.871</v>
      </c>
      <c r="U10" s="97">
        <v>0.88700000000000001</v>
      </c>
      <c r="V10" s="97">
        <v>0.89</v>
      </c>
      <c r="W10" s="97">
        <v>0.88500000000000001</v>
      </c>
      <c r="X10" s="97">
        <v>0.85899999999999999</v>
      </c>
      <c r="Y10" s="97">
        <v>0.88900000000000001</v>
      </c>
      <c r="Z10" s="97">
        <v>0.81499999999999995</v>
      </c>
      <c r="AA10" s="97">
        <v>0.88800000000000001</v>
      </c>
      <c r="AB10" s="97">
        <v>0.89200000000000002</v>
      </c>
      <c r="AC10" s="97">
        <v>0.91600000000000004</v>
      </c>
      <c r="AD10" s="97"/>
      <c r="AE10" s="97"/>
      <c r="AF10" s="97"/>
      <c r="AG10" s="97"/>
      <c r="AH10" s="97"/>
      <c r="AI10" s="97"/>
      <c r="AJ10" s="97"/>
      <c r="AK10" s="97"/>
      <c r="AL10" s="97"/>
      <c r="AM10" s="97"/>
      <c r="AN10" s="97"/>
      <c r="AO10" s="97"/>
      <c r="AP10" s="97"/>
      <c r="AQ10" s="97"/>
      <c r="AR10" s="97"/>
      <c r="AS10" s="97"/>
      <c r="AT10" s="97"/>
      <c r="AU10" s="97"/>
      <c r="AV10" s="97"/>
      <c r="AW10" s="97"/>
    </row>
    <row r="11" spans="1:49" x14ac:dyDescent="0.2">
      <c r="A11" s="144" t="s">
        <v>121</v>
      </c>
      <c r="B11" s="153">
        <v>3</v>
      </c>
      <c r="C11" s="153">
        <v>1</v>
      </c>
      <c r="D11" s="153">
        <v>5</v>
      </c>
      <c r="E11" s="153">
        <v>1</v>
      </c>
      <c r="F11" s="153">
        <v>1</v>
      </c>
      <c r="G11" s="153">
        <v>2</v>
      </c>
      <c r="H11" s="153">
        <v>1</v>
      </c>
      <c r="I11" s="153">
        <v>1</v>
      </c>
      <c r="J11" s="153">
        <v>1</v>
      </c>
      <c r="K11" s="153">
        <v>1</v>
      </c>
      <c r="L11" s="153">
        <v>3</v>
      </c>
      <c r="M11" s="153">
        <v>1</v>
      </c>
      <c r="N11" s="153">
        <v>1</v>
      </c>
      <c r="O11" s="153">
        <v>4</v>
      </c>
      <c r="P11" s="153">
        <v>1</v>
      </c>
      <c r="Q11" s="153">
        <v>5</v>
      </c>
      <c r="R11" s="153">
        <v>1</v>
      </c>
      <c r="S11" s="153">
        <v>1</v>
      </c>
      <c r="T11" s="153">
        <v>1</v>
      </c>
      <c r="U11" s="153">
        <v>3</v>
      </c>
      <c r="V11" s="153">
        <v>4</v>
      </c>
      <c r="W11" s="153">
        <v>1</v>
      </c>
      <c r="X11" s="153">
        <v>3</v>
      </c>
      <c r="Y11" s="153">
        <v>5</v>
      </c>
      <c r="Z11" s="153">
        <v>1</v>
      </c>
      <c r="AA11" s="153">
        <v>1</v>
      </c>
      <c r="AB11" s="153">
        <v>1</v>
      </c>
      <c r="AC11" s="153">
        <v>5</v>
      </c>
      <c r="AD11" s="153"/>
      <c r="AE11" s="153"/>
      <c r="AF11" s="153"/>
      <c r="AG11" s="153"/>
      <c r="AH11" s="153"/>
      <c r="AI11" s="153"/>
      <c r="AJ11" s="153"/>
      <c r="AK11" s="153"/>
      <c r="AL11" s="153"/>
      <c r="AM11" s="153"/>
      <c r="AN11" s="153"/>
      <c r="AO11" s="153"/>
      <c r="AP11" s="153"/>
      <c r="AQ11" s="153"/>
      <c r="AR11" s="153"/>
      <c r="AS11" s="153"/>
      <c r="AT11" s="153"/>
      <c r="AU11" s="153"/>
      <c r="AV11" s="153"/>
      <c r="AW11" s="153"/>
    </row>
    <row r="12" spans="1:49" x14ac:dyDescent="0.2">
      <c r="A12" s="144" t="s">
        <v>65</v>
      </c>
      <c r="B12" s="154">
        <v>161</v>
      </c>
      <c r="C12" s="154">
        <v>213</v>
      </c>
      <c r="D12" s="154">
        <v>120</v>
      </c>
      <c r="E12" s="154">
        <v>192</v>
      </c>
      <c r="F12" s="154">
        <v>173</v>
      </c>
      <c r="G12" s="154">
        <v>176</v>
      </c>
      <c r="H12" s="154">
        <v>206</v>
      </c>
      <c r="I12" s="154">
        <v>185</v>
      </c>
      <c r="J12" s="154">
        <v>171</v>
      </c>
      <c r="K12" s="154">
        <v>210</v>
      </c>
      <c r="L12" s="154">
        <v>151</v>
      </c>
      <c r="M12" s="154">
        <v>174</v>
      </c>
      <c r="N12" s="154">
        <v>169</v>
      </c>
      <c r="O12" s="154">
        <v>145</v>
      </c>
      <c r="P12" s="154">
        <v>186</v>
      </c>
      <c r="Q12" s="154">
        <v>126</v>
      </c>
      <c r="R12" s="154">
        <v>200</v>
      </c>
      <c r="S12" s="154">
        <v>170</v>
      </c>
      <c r="T12" s="154">
        <v>186</v>
      </c>
      <c r="U12" s="154">
        <v>168</v>
      </c>
      <c r="V12" s="154">
        <v>118</v>
      </c>
      <c r="W12" s="154">
        <v>192</v>
      </c>
      <c r="X12" s="154">
        <v>128</v>
      </c>
      <c r="Y12" s="154">
        <v>99</v>
      </c>
      <c r="Z12" s="154">
        <v>173</v>
      </c>
      <c r="AA12" s="154">
        <v>179</v>
      </c>
      <c r="AB12" s="154">
        <v>166</v>
      </c>
      <c r="AC12" s="154">
        <v>119</v>
      </c>
      <c r="AD12" s="154"/>
      <c r="AE12" s="154"/>
      <c r="AF12" s="154"/>
      <c r="AG12" s="154"/>
      <c r="AH12" s="154"/>
      <c r="AI12" s="154"/>
      <c r="AJ12" s="154"/>
      <c r="AK12" s="154"/>
      <c r="AL12" s="154"/>
      <c r="AM12" s="154"/>
      <c r="AN12" s="154"/>
      <c r="AO12" s="154"/>
      <c r="AP12" s="154"/>
      <c r="AQ12" s="154"/>
      <c r="AR12" s="154"/>
      <c r="AS12" s="154"/>
      <c r="AT12" s="154"/>
      <c r="AU12" s="154"/>
      <c r="AV12" s="154"/>
      <c r="AW12" s="154"/>
    </row>
    <row r="13" spans="1:49" x14ac:dyDescent="0.2">
      <c r="A13" s="127" t="s">
        <v>64</v>
      </c>
      <c r="B13" s="154">
        <v>141</v>
      </c>
      <c r="C13" s="154">
        <v>183</v>
      </c>
      <c r="D13" s="154">
        <v>108</v>
      </c>
      <c r="E13" s="154">
        <v>171</v>
      </c>
      <c r="F13" s="154">
        <v>146</v>
      </c>
      <c r="G13" s="154">
        <v>155</v>
      </c>
      <c r="H13" s="154">
        <v>177</v>
      </c>
      <c r="I13" s="154">
        <v>166</v>
      </c>
      <c r="J13" s="154">
        <v>149</v>
      </c>
      <c r="K13" s="154">
        <v>180</v>
      </c>
      <c r="L13" s="154">
        <v>137</v>
      </c>
      <c r="M13" s="154">
        <v>158</v>
      </c>
      <c r="N13" s="154">
        <v>149</v>
      </c>
      <c r="O13" s="154">
        <v>126</v>
      </c>
      <c r="P13" s="154">
        <v>161</v>
      </c>
      <c r="Q13" s="154">
        <v>112</v>
      </c>
      <c r="R13" s="154">
        <v>172</v>
      </c>
      <c r="S13" s="154">
        <v>151</v>
      </c>
      <c r="T13" s="154">
        <v>162</v>
      </c>
      <c r="U13" s="154">
        <v>149</v>
      </c>
      <c r="V13" s="154">
        <v>105</v>
      </c>
      <c r="W13" s="154">
        <v>170</v>
      </c>
      <c r="X13" s="154">
        <v>110</v>
      </c>
      <c r="Y13" s="154">
        <v>88</v>
      </c>
      <c r="Z13" s="154">
        <v>141</v>
      </c>
      <c r="AA13" s="154">
        <v>159</v>
      </c>
      <c r="AB13" s="154">
        <v>148</v>
      </c>
      <c r="AC13" s="154">
        <v>109</v>
      </c>
      <c r="AD13" s="154"/>
      <c r="AE13" s="154"/>
      <c r="AF13" s="154"/>
      <c r="AG13" s="154"/>
      <c r="AH13" s="154"/>
      <c r="AI13" s="154"/>
      <c r="AJ13" s="154"/>
      <c r="AK13" s="154"/>
      <c r="AL13" s="154"/>
      <c r="AM13" s="154"/>
      <c r="AN13" s="154"/>
      <c r="AO13" s="154"/>
      <c r="AP13" s="154"/>
      <c r="AQ13" s="154"/>
      <c r="AR13" s="154"/>
      <c r="AS13" s="154"/>
      <c r="AT13" s="154"/>
      <c r="AU13" s="154"/>
      <c r="AV13" s="154"/>
      <c r="AW13" s="154"/>
    </row>
    <row r="14" spans="1:49" x14ac:dyDescent="0.2">
      <c r="A14" s="66" t="s">
        <v>15</v>
      </c>
      <c r="B14" s="164">
        <v>0.8</v>
      </c>
      <c r="C14" s="164">
        <v>0.8</v>
      </c>
      <c r="D14" s="164">
        <v>0.8</v>
      </c>
      <c r="E14" s="164">
        <v>0.8</v>
      </c>
      <c r="F14" s="164">
        <v>0.8</v>
      </c>
      <c r="G14" s="164">
        <v>0.8</v>
      </c>
      <c r="H14" s="164">
        <v>0.8</v>
      </c>
      <c r="I14" s="164">
        <v>0.8</v>
      </c>
      <c r="J14" s="164">
        <v>0.8</v>
      </c>
      <c r="K14" s="164">
        <v>0.8</v>
      </c>
      <c r="L14" s="164">
        <v>0.8</v>
      </c>
      <c r="M14" s="164">
        <v>0.8</v>
      </c>
      <c r="N14" s="164">
        <v>0.8</v>
      </c>
      <c r="O14" s="164">
        <v>0.8</v>
      </c>
      <c r="P14" s="164">
        <v>0.8</v>
      </c>
      <c r="Q14" s="164">
        <v>0.8</v>
      </c>
      <c r="R14" s="164">
        <v>0.8</v>
      </c>
      <c r="S14" s="164">
        <v>0.8</v>
      </c>
      <c r="T14" s="164">
        <v>0.8</v>
      </c>
      <c r="U14" s="164">
        <v>0.8</v>
      </c>
      <c r="V14" s="164">
        <v>0.8</v>
      </c>
      <c r="W14" s="164">
        <v>0.8</v>
      </c>
      <c r="X14" s="164">
        <v>0.8</v>
      </c>
      <c r="Y14" s="164">
        <v>0.8</v>
      </c>
      <c r="Z14" s="164">
        <v>0.8</v>
      </c>
      <c r="AA14" s="164">
        <v>0.8</v>
      </c>
      <c r="AB14" s="164">
        <v>0.8</v>
      </c>
      <c r="AC14" s="164">
        <v>0.8</v>
      </c>
      <c r="AD14" s="164">
        <v>0.8</v>
      </c>
      <c r="AE14" s="164">
        <v>0.8</v>
      </c>
      <c r="AF14" s="164">
        <v>0.8</v>
      </c>
      <c r="AG14" s="164">
        <v>0.8</v>
      </c>
      <c r="AH14" s="164">
        <v>0.8</v>
      </c>
      <c r="AI14" s="164">
        <v>0.8</v>
      </c>
      <c r="AJ14" s="164">
        <v>0.8</v>
      </c>
      <c r="AK14" s="164">
        <v>0.8</v>
      </c>
      <c r="AL14" s="164">
        <v>0.8</v>
      </c>
      <c r="AM14" s="164">
        <v>0.8</v>
      </c>
      <c r="AN14" s="164">
        <v>0.8</v>
      </c>
      <c r="AO14" s="164">
        <v>0.8</v>
      </c>
      <c r="AP14" s="164">
        <v>0.8</v>
      </c>
      <c r="AQ14" s="164">
        <v>0.8</v>
      </c>
      <c r="AR14" s="164">
        <v>0.8</v>
      </c>
      <c r="AS14" s="164">
        <v>0.8</v>
      </c>
      <c r="AT14" s="164">
        <v>0.8</v>
      </c>
      <c r="AU14" s="164">
        <v>0.8</v>
      </c>
      <c r="AV14" s="164">
        <v>0.8</v>
      </c>
      <c r="AW14" s="164">
        <v>0.8</v>
      </c>
    </row>
    <row r="15" spans="1:49" x14ac:dyDescent="0.2">
      <c r="B15" s="165"/>
      <c r="C15" s="165"/>
      <c r="D15" s="165"/>
      <c r="E15" s="165"/>
      <c r="F15" s="165"/>
      <c r="G15" s="165"/>
      <c r="H15" s="165"/>
      <c r="I15" s="165"/>
      <c r="J15" s="165"/>
      <c r="K15" s="165"/>
      <c r="L15" s="165"/>
      <c r="M15" s="165"/>
      <c r="N15" s="165"/>
      <c r="O15" s="165"/>
      <c r="P15" s="165"/>
      <c r="Q15" s="165"/>
      <c r="R15" s="165"/>
      <c r="S15" s="165"/>
      <c r="T15" s="165"/>
      <c r="U15" s="368"/>
      <c r="V15" s="368"/>
      <c r="W15" s="368"/>
      <c r="X15" s="368"/>
      <c r="Y15" s="368"/>
    </row>
  </sheetData>
  <phoneticPr fontId="0" type="noConversion"/>
  <hyperlinks>
    <hyperlink ref="A1" location="Content!A1" display="Return to Contents"/>
  </hyperlinks>
  <pageMargins left="0.70866141732283472" right="0.70866141732283472" top="0.74803149606299213" bottom="0.74803149606299213" header="0.31496062992125984" footer="0.31496062992125984"/>
  <pageSetup paperSize="9" scale="28" orientation="landscape" copies="2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70C0"/>
  </sheetPr>
  <dimension ref="A1:F16"/>
  <sheetViews>
    <sheetView workbookViewId="0"/>
  </sheetViews>
  <sheetFormatPr defaultColWidth="9.140625" defaultRowHeight="12.75" x14ac:dyDescent="0.2"/>
  <cols>
    <col min="1" max="1" width="18.85546875" style="117" bestFit="1" customWidth="1"/>
    <col min="2" max="16384" width="9.140625" style="117"/>
  </cols>
  <sheetData>
    <row r="1" spans="1:6" x14ac:dyDescent="0.2">
      <c r="A1" s="116" t="s">
        <v>360</v>
      </c>
    </row>
    <row r="2" spans="1:6" x14ac:dyDescent="0.2">
      <c r="A2" s="116"/>
    </row>
    <row r="3" spans="1:6" x14ac:dyDescent="0.2">
      <c r="A3" s="137" t="s">
        <v>151</v>
      </c>
      <c r="B3" s="139" t="s">
        <v>83</v>
      </c>
    </row>
    <row r="4" spans="1:6" x14ac:dyDescent="0.2">
      <c r="A4" s="137" t="s">
        <v>148</v>
      </c>
      <c r="B4" s="138" t="s">
        <v>69</v>
      </c>
    </row>
    <row r="5" spans="1:6" x14ac:dyDescent="0.2">
      <c r="A5" s="137" t="s">
        <v>215</v>
      </c>
      <c r="B5" s="138" t="s">
        <v>228</v>
      </c>
    </row>
    <row r="6" spans="1:6" x14ac:dyDescent="0.2">
      <c r="A6" s="134"/>
    </row>
    <row r="7" spans="1:6" x14ac:dyDescent="0.2">
      <c r="A7" s="140"/>
      <c r="B7" s="160" t="s">
        <v>129</v>
      </c>
      <c r="C7" s="160" t="s">
        <v>69</v>
      </c>
      <c r="D7" s="160" t="s">
        <v>231</v>
      </c>
      <c r="E7" s="160" t="s">
        <v>469</v>
      </c>
      <c r="F7" s="160" t="s">
        <v>470</v>
      </c>
    </row>
    <row r="8" spans="1:6" x14ac:dyDescent="0.2">
      <c r="A8" s="144" t="s">
        <v>386</v>
      </c>
      <c r="B8" s="145">
        <v>0.82299999999999995</v>
      </c>
      <c r="C8" s="145">
        <v>0.85899999999999999</v>
      </c>
      <c r="D8" s="145"/>
      <c r="E8" s="161"/>
      <c r="F8" s="161"/>
    </row>
    <row r="9" spans="1:6" x14ac:dyDescent="0.2">
      <c r="A9" s="144" t="s">
        <v>387</v>
      </c>
      <c r="B9" s="145">
        <v>0.89</v>
      </c>
      <c r="C9" s="145">
        <v>0.88300000000000001</v>
      </c>
      <c r="D9" s="145"/>
      <c r="E9" s="420"/>
      <c r="F9" s="420"/>
    </row>
    <row r="16" spans="1:6" x14ac:dyDescent="0.2">
      <c r="B16" s="166"/>
    </row>
  </sheetData>
  <phoneticPr fontId="0" type="noConversion"/>
  <hyperlinks>
    <hyperlink ref="A1" location="Content!A1" display="Return to Contents"/>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W175"/>
  <sheetViews>
    <sheetView workbookViewId="0">
      <pane xSplit="1" topLeftCell="B1" activePane="topRight" state="frozen"/>
      <selection pane="topRight"/>
    </sheetView>
  </sheetViews>
  <sheetFormatPr defaultColWidth="9.140625" defaultRowHeight="12.75" x14ac:dyDescent="0.2"/>
  <cols>
    <col min="1" max="1" width="27.140625" style="117" customWidth="1"/>
    <col min="2" max="16384" width="9.140625" style="117"/>
  </cols>
  <sheetData>
    <row r="1" spans="1:49" x14ac:dyDescent="0.2">
      <c r="A1" s="116" t="s">
        <v>360</v>
      </c>
      <c r="B1" s="199"/>
    </row>
    <row r="2" spans="1:49" x14ac:dyDescent="0.2">
      <c r="A2" s="116"/>
      <c r="B2" s="668"/>
    </row>
    <row r="3" spans="1:49" x14ac:dyDescent="0.2">
      <c r="A3" s="118" t="s">
        <v>454</v>
      </c>
      <c r="B3" s="331" t="s">
        <v>740</v>
      </c>
      <c r="C3" s="337"/>
      <c r="D3" s="337"/>
      <c r="E3" s="337"/>
      <c r="F3" s="337"/>
      <c r="G3" s="337"/>
      <c r="H3" s="337"/>
      <c r="I3" s="337"/>
      <c r="J3" s="337"/>
      <c r="K3" s="337"/>
      <c r="L3" s="337"/>
      <c r="M3" s="337"/>
      <c r="N3" s="337"/>
      <c r="O3" s="337"/>
      <c r="P3" s="337"/>
      <c r="Q3" s="337"/>
      <c r="R3" s="337"/>
      <c r="S3" s="337"/>
      <c r="T3" s="119"/>
      <c r="U3" s="119"/>
      <c r="V3" s="119"/>
    </row>
    <row r="4" spans="1:49" x14ac:dyDescent="0.2">
      <c r="A4" s="118" t="s">
        <v>147</v>
      </c>
      <c r="B4" s="120">
        <f>HLOOKUP(MAX(B9:AW9),A9:AW16,2,0)</f>
        <v>0.51658767772511849</v>
      </c>
      <c r="C4" s="119"/>
      <c r="D4" s="119"/>
      <c r="E4" s="119"/>
      <c r="F4" s="119"/>
      <c r="G4" s="119"/>
      <c r="H4" s="119"/>
      <c r="I4" s="119"/>
      <c r="J4" s="119"/>
      <c r="K4" s="119"/>
      <c r="L4" s="119"/>
      <c r="M4" s="119"/>
      <c r="N4" s="119"/>
      <c r="O4" s="119"/>
      <c r="P4" s="119"/>
      <c r="Q4" s="119"/>
      <c r="R4" s="119"/>
      <c r="S4" s="119"/>
      <c r="T4" s="119"/>
      <c r="U4" s="119"/>
      <c r="V4" s="119"/>
    </row>
    <row r="5" spans="1:49" x14ac:dyDescent="0.2">
      <c r="A5" s="118" t="s">
        <v>119</v>
      </c>
      <c r="B5" s="121">
        <f>MAX(B9:AW9)</f>
        <v>42948</v>
      </c>
    </row>
    <row r="6" spans="1:49" x14ac:dyDescent="0.2">
      <c r="A6" s="118" t="s">
        <v>201</v>
      </c>
      <c r="B6" s="506" t="s">
        <v>182</v>
      </c>
    </row>
    <row r="7" spans="1:49" x14ac:dyDescent="0.2">
      <c r="A7" s="118" t="s">
        <v>456</v>
      </c>
      <c r="B7" s="122" t="s">
        <v>135</v>
      </c>
    </row>
    <row r="8" spans="1:49" x14ac:dyDescent="0.2">
      <c r="A8" s="116"/>
    </row>
    <row r="9" spans="1:49" x14ac:dyDescent="0.2">
      <c r="A9" s="123"/>
      <c r="B9" s="124">
        <v>42095</v>
      </c>
      <c r="C9" s="124">
        <v>42125</v>
      </c>
      <c r="D9" s="124">
        <v>42156</v>
      </c>
      <c r="E9" s="124">
        <v>42186</v>
      </c>
      <c r="F9" s="124">
        <v>42217</v>
      </c>
      <c r="G9" s="124">
        <v>42248</v>
      </c>
      <c r="H9" s="124">
        <v>42278</v>
      </c>
      <c r="I9" s="124">
        <v>42309</v>
      </c>
      <c r="J9" s="124">
        <v>42339</v>
      </c>
      <c r="K9" s="124">
        <v>42370</v>
      </c>
      <c r="L9" s="124">
        <v>42401</v>
      </c>
      <c r="M9" s="124">
        <v>42430</v>
      </c>
      <c r="N9" s="124">
        <v>42461</v>
      </c>
      <c r="O9" s="124">
        <v>42491</v>
      </c>
      <c r="P9" s="124">
        <v>42522</v>
      </c>
      <c r="Q9" s="124">
        <v>42552</v>
      </c>
      <c r="R9" s="124">
        <v>42583</v>
      </c>
      <c r="S9" s="124">
        <v>42614</v>
      </c>
      <c r="T9" s="124">
        <v>42644</v>
      </c>
      <c r="U9" s="124">
        <v>42675</v>
      </c>
      <c r="V9" s="124">
        <v>42705</v>
      </c>
      <c r="W9" s="124">
        <v>42736</v>
      </c>
      <c r="X9" s="124">
        <v>42767</v>
      </c>
      <c r="Y9" s="124">
        <v>42795</v>
      </c>
      <c r="Z9" s="124">
        <v>42826</v>
      </c>
      <c r="AA9" s="124">
        <v>42856</v>
      </c>
      <c r="AB9" s="124">
        <v>42887</v>
      </c>
      <c r="AC9" s="124">
        <v>42917</v>
      </c>
      <c r="AD9" s="124">
        <v>42948</v>
      </c>
      <c r="AE9" s="124"/>
      <c r="AF9" s="124"/>
      <c r="AG9" s="124"/>
      <c r="AH9" s="124"/>
      <c r="AI9" s="124"/>
      <c r="AJ9" s="124"/>
      <c r="AK9" s="124"/>
      <c r="AL9" s="124"/>
      <c r="AM9" s="124"/>
      <c r="AN9" s="124"/>
      <c r="AO9" s="124"/>
      <c r="AP9" s="124"/>
      <c r="AQ9" s="124"/>
      <c r="AR9" s="124"/>
      <c r="AS9" s="124"/>
      <c r="AT9" s="124"/>
      <c r="AU9" s="124"/>
      <c r="AV9" s="124"/>
      <c r="AW9" s="124"/>
    </row>
    <row r="10" spans="1:49" ht="38.25" x14ac:dyDescent="0.2">
      <c r="A10" s="125" t="s">
        <v>465</v>
      </c>
      <c r="B10" s="126">
        <f t="shared" ref="B10:Z10" si="0">B24</f>
        <v>0.5752212389380531</v>
      </c>
      <c r="C10" s="126">
        <f t="shared" si="0"/>
        <v>0.5668016194331984</v>
      </c>
      <c r="D10" s="126">
        <f t="shared" si="0"/>
        <v>0.602112676056338</v>
      </c>
      <c r="E10" s="126">
        <f t="shared" si="0"/>
        <v>0.70666666666666667</v>
      </c>
      <c r="F10" s="126">
        <f t="shared" si="0"/>
        <v>0.7584905660377359</v>
      </c>
      <c r="G10" s="126">
        <f t="shared" si="0"/>
        <v>0.59090909090909094</v>
      </c>
      <c r="H10" s="126">
        <f t="shared" si="0"/>
        <v>0.61373390557939911</v>
      </c>
      <c r="I10" s="126">
        <f t="shared" si="0"/>
        <v>0.53558052434456926</v>
      </c>
      <c r="J10" s="126">
        <f t="shared" si="0"/>
        <v>0.64646464646464652</v>
      </c>
      <c r="K10" s="126">
        <f t="shared" si="0"/>
        <v>0.56281407035175879</v>
      </c>
      <c r="L10" s="126">
        <f t="shared" si="0"/>
        <v>0.72687224669603523</v>
      </c>
      <c r="M10" s="126">
        <f t="shared" si="0"/>
        <v>0.69711538461538458</v>
      </c>
      <c r="N10" s="126">
        <f t="shared" si="0"/>
        <v>0.59514170040485825</v>
      </c>
      <c r="O10" s="126">
        <f t="shared" si="0"/>
        <v>0.56081081081081086</v>
      </c>
      <c r="P10" s="126">
        <f t="shared" si="0"/>
        <v>0.56849315068493156</v>
      </c>
      <c r="Q10" s="126">
        <f t="shared" si="0"/>
        <v>0.58282208588957052</v>
      </c>
      <c r="R10" s="126">
        <f t="shared" si="0"/>
        <v>0.55188679245283023</v>
      </c>
      <c r="S10" s="126">
        <f t="shared" si="0"/>
        <v>0.54655870445344135</v>
      </c>
      <c r="T10" s="126">
        <f t="shared" si="0"/>
        <v>0.56190476190476191</v>
      </c>
      <c r="U10" s="126">
        <f t="shared" si="0"/>
        <v>0.42474916387959866</v>
      </c>
      <c r="V10" s="126">
        <f t="shared" si="0"/>
        <v>0.48717948717948717</v>
      </c>
      <c r="W10" s="126">
        <f t="shared" si="0"/>
        <v>0.42439024390243901</v>
      </c>
      <c r="X10" s="126">
        <f t="shared" si="0"/>
        <v>0.484375</v>
      </c>
      <c r="Y10" s="126">
        <f t="shared" si="0"/>
        <v>0.51361867704280151</v>
      </c>
      <c r="Z10" s="126">
        <f t="shared" si="0"/>
        <v>0.569620253164557</v>
      </c>
      <c r="AA10" s="126">
        <f>AA24</f>
        <v>0.5607843137254902</v>
      </c>
      <c r="AB10" s="126">
        <f t="shared" ref="AB10:AW10" si="1">AB24</f>
        <v>0.62761506276150625</v>
      </c>
      <c r="AC10" s="126">
        <f t="shared" si="1"/>
        <v>0.6211180124223602</v>
      </c>
      <c r="AD10" s="126">
        <f t="shared" si="1"/>
        <v>0.51658767772511849</v>
      </c>
      <c r="AE10" s="126" t="e">
        <f t="shared" si="1"/>
        <v>#DIV/0!</v>
      </c>
      <c r="AF10" s="126" t="e">
        <f t="shared" si="1"/>
        <v>#DIV/0!</v>
      </c>
      <c r="AG10" s="126" t="e">
        <f t="shared" si="1"/>
        <v>#DIV/0!</v>
      </c>
      <c r="AH10" s="126" t="e">
        <f t="shared" si="1"/>
        <v>#DIV/0!</v>
      </c>
      <c r="AI10" s="126" t="e">
        <f t="shared" si="1"/>
        <v>#DIV/0!</v>
      </c>
      <c r="AJ10" s="126" t="e">
        <f t="shared" si="1"/>
        <v>#DIV/0!</v>
      </c>
      <c r="AK10" s="126" t="e">
        <f t="shared" si="1"/>
        <v>#DIV/0!</v>
      </c>
      <c r="AL10" s="126" t="e">
        <f t="shared" si="1"/>
        <v>#DIV/0!</v>
      </c>
      <c r="AM10" s="126" t="e">
        <f t="shared" si="1"/>
        <v>#DIV/0!</v>
      </c>
      <c r="AN10" s="126" t="e">
        <f t="shared" si="1"/>
        <v>#DIV/0!</v>
      </c>
      <c r="AO10" s="126" t="e">
        <f t="shared" si="1"/>
        <v>#DIV/0!</v>
      </c>
      <c r="AP10" s="126" t="e">
        <f t="shared" si="1"/>
        <v>#DIV/0!</v>
      </c>
      <c r="AQ10" s="126" t="e">
        <f t="shared" si="1"/>
        <v>#DIV/0!</v>
      </c>
      <c r="AR10" s="126" t="e">
        <f t="shared" si="1"/>
        <v>#DIV/0!</v>
      </c>
      <c r="AS10" s="126" t="e">
        <f t="shared" si="1"/>
        <v>#DIV/0!</v>
      </c>
      <c r="AT10" s="126" t="e">
        <f t="shared" si="1"/>
        <v>#DIV/0!</v>
      </c>
      <c r="AU10" s="126" t="e">
        <f t="shared" si="1"/>
        <v>#DIV/0!</v>
      </c>
      <c r="AV10" s="126" t="e">
        <f t="shared" si="1"/>
        <v>#DIV/0!</v>
      </c>
      <c r="AW10" s="126" t="e">
        <f t="shared" si="1"/>
        <v>#DIV/0!</v>
      </c>
    </row>
    <row r="11" spans="1:49" x14ac:dyDescent="0.2">
      <c r="A11" s="127" t="s">
        <v>131</v>
      </c>
      <c r="B11" s="128">
        <f>MEDIAN($B$10:$G$10)</f>
        <v>0.59651088348271442</v>
      </c>
      <c r="C11" s="128">
        <f>MEDIAN($B$10:$G$10)</f>
        <v>0.59651088348271442</v>
      </c>
      <c r="D11" s="128">
        <f>MEDIAN($B$10:$G$10)</f>
        <v>0.59651088348271442</v>
      </c>
      <c r="E11" s="128">
        <f>MEDIAN($B$10:$G$10)</f>
        <v>0.59651088348271442</v>
      </c>
      <c r="F11" s="128">
        <f>MEDIAN($B$10:$G$10)</f>
        <v>0.59651088348271442</v>
      </c>
      <c r="G11" s="128">
        <f>MEDIAN($B$10:$G10)</f>
        <v>0.59651088348271442</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row>
    <row r="12" spans="1:49" x14ac:dyDescent="0.2">
      <c r="A12" s="127" t="s">
        <v>132</v>
      </c>
      <c r="B12" s="128"/>
      <c r="C12" s="128"/>
      <c r="D12" s="128"/>
      <c r="E12" s="128"/>
      <c r="F12" s="128"/>
      <c r="G12" s="128">
        <f>MEDIAN($B$10:$G11)</f>
        <v>0.59651088348271442</v>
      </c>
      <c r="H12" s="128">
        <f>MEDIAN($B$10:$G11)</f>
        <v>0.59651088348271442</v>
      </c>
      <c r="I12" s="128">
        <f>MEDIAN($B$10:$G11)</f>
        <v>0.59651088348271442</v>
      </c>
      <c r="J12" s="128">
        <f>MEDIAN($B$10:$G11)</f>
        <v>0.59651088348271442</v>
      </c>
      <c r="K12" s="128">
        <f>MEDIAN($B$10:$G11)</f>
        <v>0.59651088348271442</v>
      </c>
      <c r="L12" s="128">
        <f>MEDIAN($B$10:$G11)</f>
        <v>0.59651088348271442</v>
      </c>
      <c r="M12" s="128">
        <f>MEDIAN($B$10:$G11)</f>
        <v>0.59651088348271442</v>
      </c>
      <c r="N12" s="128">
        <f>MEDIAN($B$10:$G11)</f>
        <v>0.59651088348271442</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row>
    <row r="13" spans="1:49" x14ac:dyDescent="0.2">
      <c r="A13" s="127" t="s">
        <v>318</v>
      </c>
      <c r="B13" s="128"/>
      <c r="C13" s="128"/>
      <c r="D13" s="128"/>
      <c r="E13" s="128"/>
      <c r="F13" s="128"/>
      <c r="G13" s="128"/>
      <c r="H13" s="128"/>
      <c r="I13" s="128"/>
      <c r="J13" s="128"/>
      <c r="K13" s="128"/>
      <c r="L13" s="128"/>
      <c r="M13" s="128"/>
      <c r="N13" s="128">
        <f>MEDIAN($N$10:$S$10)</f>
        <v>0.56465198074787115</v>
      </c>
      <c r="O13" s="128">
        <f t="shared" ref="O13:X14" si="2">MEDIAN($N$10:$S$10)</f>
        <v>0.56465198074787115</v>
      </c>
      <c r="P13" s="128">
        <f t="shared" si="2"/>
        <v>0.56465198074787115</v>
      </c>
      <c r="Q13" s="128">
        <f t="shared" si="2"/>
        <v>0.56465198074787115</v>
      </c>
      <c r="R13" s="128">
        <f t="shared" si="2"/>
        <v>0.56465198074787115</v>
      </c>
      <c r="S13" s="128">
        <f t="shared" si="2"/>
        <v>0.56465198074787115</v>
      </c>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row>
    <row r="14" spans="1:49" x14ac:dyDescent="0.2">
      <c r="A14" s="127" t="s">
        <v>319</v>
      </c>
      <c r="B14" s="128"/>
      <c r="C14" s="128"/>
      <c r="D14" s="128"/>
      <c r="E14" s="128"/>
      <c r="F14" s="128"/>
      <c r="G14" s="128"/>
      <c r="H14" s="128"/>
      <c r="I14" s="128"/>
      <c r="J14" s="128"/>
      <c r="K14" s="128"/>
      <c r="L14" s="128"/>
      <c r="M14" s="128"/>
      <c r="N14" s="128"/>
      <c r="O14" s="128"/>
      <c r="P14" s="128"/>
      <c r="Q14" s="128"/>
      <c r="R14" s="128"/>
      <c r="S14" s="128">
        <f t="shared" si="2"/>
        <v>0.56465198074787115</v>
      </c>
      <c r="T14" s="128">
        <f t="shared" si="2"/>
        <v>0.56465198074787115</v>
      </c>
      <c r="U14" s="128">
        <f t="shared" si="2"/>
        <v>0.56465198074787115</v>
      </c>
      <c r="V14" s="128">
        <f t="shared" si="2"/>
        <v>0.56465198074787115</v>
      </c>
      <c r="W14" s="128">
        <f t="shared" si="2"/>
        <v>0.56465198074787115</v>
      </c>
      <c r="X14" s="128">
        <f t="shared" si="2"/>
        <v>0.56465198074787115</v>
      </c>
      <c r="Y14" s="128">
        <f>MEDIAN($N$10:$S$10)</f>
        <v>0.56465198074787115</v>
      </c>
      <c r="Z14" s="128">
        <f>MEDIAN($N$10:$S$10)</f>
        <v>0.56465198074787115</v>
      </c>
      <c r="AA14" s="128">
        <f>MEDIAN($N$10:$S$10)</f>
        <v>0.56465198074787115</v>
      </c>
      <c r="AB14" s="128">
        <f t="shared" ref="AB14:AW14" si="3">MEDIAN($N$10:$S$10)</f>
        <v>0.56465198074787115</v>
      </c>
      <c r="AC14" s="128">
        <f t="shared" si="3"/>
        <v>0.56465198074787115</v>
      </c>
      <c r="AD14" s="128">
        <f t="shared" si="3"/>
        <v>0.56465198074787115</v>
      </c>
      <c r="AE14" s="128">
        <f t="shared" si="3"/>
        <v>0.56465198074787115</v>
      </c>
      <c r="AF14" s="128">
        <f t="shared" si="3"/>
        <v>0.56465198074787115</v>
      </c>
      <c r="AG14" s="128">
        <f t="shared" si="3"/>
        <v>0.56465198074787115</v>
      </c>
      <c r="AH14" s="128">
        <f t="shared" si="3"/>
        <v>0.56465198074787115</v>
      </c>
      <c r="AI14" s="128">
        <f t="shared" si="3"/>
        <v>0.56465198074787115</v>
      </c>
      <c r="AJ14" s="128">
        <f t="shared" si="3"/>
        <v>0.56465198074787115</v>
      </c>
      <c r="AK14" s="128">
        <f t="shared" si="3"/>
        <v>0.56465198074787115</v>
      </c>
      <c r="AL14" s="128">
        <f t="shared" si="3"/>
        <v>0.56465198074787115</v>
      </c>
      <c r="AM14" s="128">
        <f t="shared" si="3"/>
        <v>0.56465198074787115</v>
      </c>
      <c r="AN14" s="128">
        <f t="shared" si="3"/>
        <v>0.56465198074787115</v>
      </c>
      <c r="AO14" s="128">
        <f t="shared" si="3"/>
        <v>0.56465198074787115</v>
      </c>
      <c r="AP14" s="128">
        <f t="shared" si="3"/>
        <v>0.56465198074787115</v>
      </c>
      <c r="AQ14" s="128">
        <f t="shared" si="3"/>
        <v>0.56465198074787115</v>
      </c>
      <c r="AR14" s="128">
        <f t="shared" si="3"/>
        <v>0.56465198074787115</v>
      </c>
      <c r="AS14" s="128">
        <f t="shared" si="3"/>
        <v>0.56465198074787115</v>
      </c>
      <c r="AT14" s="128">
        <f t="shared" si="3"/>
        <v>0.56465198074787115</v>
      </c>
      <c r="AU14" s="128">
        <f t="shared" si="3"/>
        <v>0.56465198074787115</v>
      </c>
      <c r="AV14" s="128">
        <f t="shared" si="3"/>
        <v>0.56465198074787115</v>
      </c>
      <c r="AW14" s="128">
        <f t="shared" si="3"/>
        <v>0.56465198074787115</v>
      </c>
    </row>
    <row r="15" spans="1:49" ht="25.5" x14ac:dyDescent="0.2">
      <c r="A15" s="127" t="s">
        <v>466</v>
      </c>
      <c r="B15" s="129">
        <f>B28</f>
        <v>1687</v>
      </c>
      <c r="C15" s="129">
        <f t="shared" ref="C15:AA15" si="4">C28</f>
        <v>1709</v>
      </c>
      <c r="D15" s="129">
        <f t="shared" si="4"/>
        <v>1708</v>
      </c>
      <c r="E15" s="129">
        <f t="shared" si="4"/>
        <v>1737</v>
      </c>
      <c r="F15" s="129">
        <f t="shared" si="4"/>
        <v>1737</v>
      </c>
      <c r="G15" s="129">
        <f t="shared" si="4"/>
        <v>1668</v>
      </c>
      <c r="H15" s="129">
        <f t="shared" si="4"/>
        <v>1677</v>
      </c>
      <c r="I15" s="129">
        <f t="shared" si="4"/>
        <v>1826</v>
      </c>
      <c r="J15" s="129">
        <f t="shared" si="4"/>
        <v>1900</v>
      </c>
      <c r="K15" s="129">
        <f t="shared" si="4"/>
        <v>1929</v>
      </c>
      <c r="L15" s="129">
        <f t="shared" si="4"/>
        <v>2060</v>
      </c>
      <c r="M15" s="129">
        <f t="shared" si="4"/>
        <v>2078</v>
      </c>
      <c r="N15" s="129">
        <f t="shared" si="4"/>
        <v>2085</v>
      </c>
      <c r="O15" s="129">
        <f t="shared" si="4"/>
        <v>1996</v>
      </c>
      <c r="P15" s="129">
        <f t="shared" si="4"/>
        <v>1857</v>
      </c>
      <c r="Q15" s="129">
        <f t="shared" si="4"/>
        <v>1817</v>
      </c>
      <c r="R15" s="129">
        <f t="shared" si="4"/>
        <v>1691</v>
      </c>
      <c r="S15" s="129">
        <f t="shared" si="4"/>
        <v>1629</v>
      </c>
      <c r="T15" s="129">
        <f t="shared" si="4"/>
        <v>1588</v>
      </c>
      <c r="U15" s="129">
        <f t="shared" si="4"/>
        <v>1570</v>
      </c>
      <c r="V15" s="129">
        <f t="shared" si="4"/>
        <v>1551</v>
      </c>
      <c r="W15" s="129">
        <f t="shared" si="4"/>
        <v>1564</v>
      </c>
      <c r="X15" s="129">
        <f t="shared" si="4"/>
        <v>1470</v>
      </c>
      <c r="Y15" s="129">
        <f t="shared" si="4"/>
        <v>1472</v>
      </c>
      <c r="Z15" s="129">
        <f t="shared" si="4"/>
        <v>1457</v>
      </c>
      <c r="AA15" s="129">
        <f t="shared" si="4"/>
        <v>1425</v>
      </c>
      <c r="AB15" s="129">
        <f t="shared" ref="AB15:AW15" si="5">AB28</f>
        <v>1501</v>
      </c>
      <c r="AC15" s="129">
        <f t="shared" si="5"/>
        <v>1499</v>
      </c>
      <c r="AD15" s="129">
        <f t="shared" si="5"/>
        <v>1456</v>
      </c>
      <c r="AE15" s="129">
        <f t="shared" si="5"/>
        <v>0</v>
      </c>
      <c r="AF15" s="129">
        <f t="shared" si="5"/>
        <v>0</v>
      </c>
      <c r="AG15" s="129">
        <f t="shared" si="5"/>
        <v>0</v>
      </c>
      <c r="AH15" s="129">
        <f t="shared" si="5"/>
        <v>0</v>
      </c>
      <c r="AI15" s="129">
        <f t="shared" si="5"/>
        <v>0</v>
      </c>
      <c r="AJ15" s="129">
        <f t="shared" si="5"/>
        <v>0</v>
      </c>
      <c r="AK15" s="129">
        <f t="shared" si="5"/>
        <v>0</v>
      </c>
      <c r="AL15" s="129">
        <f t="shared" si="5"/>
        <v>0</v>
      </c>
      <c r="AM15" s="129">
        <f t="shared" si="5"/>
        <v>0</v>
      </c>
      <c r="AN15" s="129">
        <f t="shared" si="5"/>
        <v>0</v>
      </c>
      <c r="AO15" s="129">
        <f t="shared" si="5"/>
        <v>0</v>
      </c>
      <c r="AP15" s="129">
        <f t="shared" si="5"/>
        <v>0</v>
      </c>
      <c r="AQ15" s="129">
        <f t="shared" si="5"/>
        <v>0</v>
      </c>
      <c r="AR15" s="129">
        <f t="shared" si="5"/>
        <v>0</v>
      </c>
      <c r="AS15" s="129">
        <f t="shared" si="5"/>
        <v>0</v>
      </c>
      <c r="AT15" s="129">
        <f t="shared" si="5"/>
        <v>0</v>
      </c>
      <c r="AU15" s="129">
        <f t="shared" si="5"/>
        <v>0</v>
      </c>
      <c r="AV15" s="129">
        <f t="shared" si="5"/>
        <v>0</v>
      </c>
      <c r="AW15" s="129">
        <f t="shared" si="5"/>
        <v>0</v>
      </c>
    </row>
    <row r="16" spans="1:49" ht="25.5" x14ac:dyDescent="0.2">
      <c r="A16" s="127" t="s">
        <v>467</v>
      </c>
      <c r="B16" s="129">
        <f t="shared" ref="B16:Z16" si="6">B30</f>
        <v>481</v>
      </c>
      <c r="C16" s="129">
        <f t="shared" si="6"/>
        <v>487</v>
      </c>
      <c r="D16" s="129">
        <f t="shared" si="6"/>
        <v>516</v>
      </c>
      <c r="E16" s="129">
        <f t="shared" si="6"/>
        <v>639</v>
      </c>
      <c r="F16" s="129">
        <f t="shared" si="6"/>
        <v>694</v>
      </c>
      <c r="G16" s="129">
        <f t="shared" si="6"/>
        <v>680</v>
      </c>
      <c r="H16" s="129">
        <f t="shared" si="6"/>
        <v>730</v>
      </c>
      <c r="I16" s="129">
        <f t="shared" si="6"/>
        <v>687</v>
      </c>
      <c r="J16" s="129">
        <f t="shared" si="6"/>
        <v>709</v>
      </c>
      <c r="K16" s="129">
        <f t="shared" si="6"/>
        <v>747</v>
      </c>
      <c r="L16" s="129">
        <f t="shared" si="6"/>
        <v>815</v>
      </c>
      <c r="M16" s="129">
        <f t="shared" si="6"/>
        <v>888</v>
      </c>
      <c r="N16" s="129">
        <f t="shared" si="6"/>
        <v>931</v>
      </c>
      <c r="O16" s="129">
        <f t="shared" si="6"/>
        <v>864</v>
      </c>
      <c r="P16" s="129">
        <f t="shared" si="6"/>
        <v>817</v>
      </c>
      <c r="Q16" s="129">
        <f t="shared" si="6"/>
        <v>861</v>
      </c>
      <c r="R16" s="129">
        <f t="shared" si="6"/>
        <v>853</v>
      </c>
      <c r="S16" s="129">
        <f t="shared" si="6"/>
        <v>810</v>
      </c>
      <c r="T16" s="129">
        <f t="shared" si="6"/>
        <v>783</v>
      </c>
      <c r="U16" s="129">
        <f t="shared" si="6"/>
        <v>684</v>
      </c>
      <c r="V16" s="129">
        <f t="shared" si="6"/>
        <v>626</v>
      </c>
      <c r="W16" s="129">
        <f t="shared" si="6"/>
        <v>572</v>
      </c>
      <c r="X16" s="129">
        <f t="shared" si="6"/>
        <v>478</v>
      </c>
      <c r="Y16" s="129">
        <f t="shared" si="6"/>
        <v>466</v>
      </c>
      <c r="Z16" s="129">
        <f t="shared" si="6"/>
        <v>493</v>
      </c>
      <c r="AA16" s="129">
        <f>AA30</f>
        <v>419</v>
      </c>
      <c r="AB16" s="129">
        <f t="shared" ref="AB16:AW16" si="7">AB30</f>
        <v>477</v>
      </c>
      <c r="AC16" s="129">
        <f t="shared" si="7"/>
        <v>537</v>
      </c>
      <c r="AD16" s="129">
        <f t="shared" si="7"/>
        <v>507</v>
      </c>
      <c r="AE16" s="129">
        <f t="shared" si="7"/>
        <v>0</v>
      </c>
      <c r="AF16" s="129">
        <f t="shared" si="7"/>
        <v>0</v>
      </c>
      <c r="AG16" s="129">
        <f t="shared" si="7"/>
        <v>0</v>
      </c>
      <c r="AH16" s="129">
        <f t="shared" si="7"/>
        <v>0</v>
      </c>
      <c r="AI16" s="129">
        <f t="shared" si="7"/>
        <v>0</v>
      </c>
      <c r="AJ16" s="129">
        <f t="shared" si="7"/>
        <v>0</v>
      </c>
      <c r="AK16" s="129">
        <f t="shared" si="7"/>
        <v>0</v>
      </c>
      <c r="AL16" s="129">
        <f t="shared" si="7"/>
        <v>0</v>
      </c>
      <c r="AM16" s="129">
        <f t="shared" si="7"/>
        <v>0</v>
      </c>
      <c r="AN16" s="129">
        <f t="shared" si="7"/>
        <v>0</v>
      </c>
      <c r="AO16" s="129">
        <f t="shared" si="7"/>
        <v>0</v>
      </c>
      <c r="AP16" s="129">
        <f t="shared" si="7"/>
        <v>0</v>
      </c>
      <c r="AQ16" s="129">
        <f t="shared" si="7"/>
        <v>0</v>
      </c>
      <c r="AR16" s="129">
        <f t="shared" si="7"/>
        <v>0</v>
      </c>
      <c r="AS16" s="129">
        <f t="shared" si="7"/>
        <v>0</v>
      </c>
      <c r="AT16" s="129">
        <f t="shared" si="7"/>
        <v>0</v>
      </c>
      <c r="AU16" s="129">
        <f t="shared" si="7"/>
        <v>0</v>
      </c>
      <c r="AV16" s="129">
        <f t="shared" si="7"/>
        <v>0</v>
      </c>
      <c r="AW16" s="129">
        <f t="shared" si="7"/>
        <v>0</v>
      </c>
    </row>
    <row r="17" spans="1:49" x14ac:dyDescent="0.2">
      <c r="A17" s="127" t="s">
        <v>15</v>
      </c>
      <c r="B17" s="130">
        <v>0.9</v>
      </c>
      <c r="C17" s="130">
        <v>0.9</v>
      </c>
      <c r="D17" s="130">
        <v>0.9</v>
      </c>
      <c r="E17" s="130">
        <v>0.9</v>
      </c>
      <c r="F17" s="130">
        <v>0.9</v>
      </c>
      <c r="G17" s="130">
        <v>0.9</v>
      </c>
      <c r="H17" s="130">
        <v>0.9</v>
      </c>
      <c r="I17" s="130">
        <v>0.9</v>
      </c>
      <c r="J17" s="130">
        <v>0.9</v>
      </c>
      <c r="K17" s="130">
        <v>0.9</v>
      </c>
      <c r="L17" s="130">
        <v>0.9</v>
      </c>
      <c r="M17" s="130">
        <v>0.9</v>
      </c>
      <c r="N17" s="130">
        <v>0.9</v>
      </c>
      <c r="O17" s="130">
        <v>0.9</v>
      </c>
      <c r="P17" s="130">
        <v>0.9</v>
      </c>
      <c r="Q17" s="130">
        <v>0.9</v>
      </c>
      <c r="R17" s="130">
        <v>0.9</v>
      </c>
      <c r="S17" s="130">
        <v>0.9</v>
      </c>
      <c r="T17" s="130">
        <v>0.9</v>
      </c>
      <c r="U17" s="130">
        <v>0.9</v>
      </c>
      <c r="V17" s="130">
        <v>0.9</v>
      </c>
      <c r="W17" s="130">
        <v>0.9</v>
      </c>
      <c r="X17" s="130">
        <v>0.9</v>
      </c>
      <c r="Y17" s="130">
        <v>0.9</v>
      </c>
      <c r="Z17" s="130">
        <v>0.9</v>
      </c>
      <c r="AA17" s="130">
        <v>0.9</v>
      </c>
      <c r="AB17" s="130">
        <v>0.9</v>
      </c>
      <c r="AC17" s="130">
        <v>0.9</v>
      </c>
      <c r="AD17" s="130">
        <v>0.9</v>
      </c>
      <c r="AE17" s="130">
        <v>0.9</v>
      </c>
      <c r="AF17" s="130">
        <v>0.9</v>
      </c>
      <c r="AG17" s="130">
        <v>0.9</v>
      </c>
      <c r="AH17" s="130">
        <v>0.9</v>
      </c>
      <c r="AI17" s="130">
        <v>0.9</v>
      </c>
      <c r="AJ17" s="130">
        <v>0.9</v>
      </c>
      <c r="AK17" s="130">
        <v>0.9</v>
      </c>
      <c r="AL17" s="130">
        <v>0.9</v>
      </c>
      <c r="AM17" s="130">
        <v>0.9</v>
      </c>
      <c r="AN17" s="130">
        <v>0.9</v>
      </c>
      <c r="AO17" s="130">
        <v>0.9</v>
      </c>
      <c r="AP17" s="130">
        <v>0.9</v>
      </c>
      <c r="AQ17" s="130">
        <v>0.9</v>
      </c>
      <c r="AR17" s="130">
        <v>0.9</v>
      </c>
      <c r="AS17" s="130">
        <v>0.9</v>
      </c>
      <c r="AT17" s="130">
        <v>0.9</v>
      </c>
      <c r="AU17" s="130">
        <v>0.9</v>
      </c>
      <c r="AV17" s="130">
        <v>0.9</v>
      </c>
      <c r="AW17" s="130">
        <v>0.9</v>
      </c>
    </row>
    <row r="18" spans="1:49" x14ac:dyDescent="0.2">
      <c r="A18" s="624"/>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row>
    <row r="19" spans="1:49" x14ac:dyDescent="0.2">
      <c r="A19" s="110"/>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row>
    <row r="20" spans="1:49" x14ac:dyDescent="0.2">
      <c r="A20" s="112" t="s">
        <v>361</v>
      </c>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row>
    <row r="21" spans="1:49" x14ac:dyDescent="0.2">
      <c r="A21" s="123" t="s">
        <v>460</v>
      </c>
      <c r="B21" s="129">
        <v>226</v>
      </c>
      <c r="C21" s="129">
        <v>247</v>
      </c>
      <c r="D21" s="129">
        <v>284</v>
      </c>
      <c r="E21" s="129">
        <v>225</v>
      </c>
      <c r="F21" s="129">
        <v>265</v>
      </c>
      <c r="G21" s="129">
        <v>286</v>
      </c>
      <c r="H21" s="129">
        <v>233</v>
      </c>
      <c r="I21" s="129">
        <v>267</v>
      </c>
      <c r="J21" s="129">
        <v>198</v>
      </c>
      <c r="K21" s="129">
        <v>199</v>
      </c>
      <c r="L21" s="129">
        <v>227</v>
      </c>
      <c r="M21" s="129">
        <v>208</v>
      </c>
      <c r="N21" s="129">
        <v>247</v>
      </c>
      <c r="O21" s="129">
        <v>296</v>
      </c>
      <c r="P21" s="129">
        <v>292</v>
      </c>
      <c r="Q21" s="129">
        <v>163</v>
      </c>
      <c r="R21" s="129">
        <v>212</v>
      </c>
      <c r="S21" s="129">
        <v>247</v>
      </c>
      <c r="T21" s="129">
        <v>210</v>
      </c>
      <c r="U21" s="129">
        <v>299</v>
      </c>
      <c r="V21" s="129">
        <v>156</v>
      </c>
      <c r="W21" s="129">
        <v>205</v>
      </c>
      <c r="X21" s="129">
        <v>256</v>
      </c>
      <c r="Y21" s="129">
        <v>257</v>
      </c>
      <c r="Z21" s="129">
        <v>158</v>
      </c>
      <c r="AA21" s="129">
        <v>255</v>
      </c>
      <c r="AB21" s="129">
        <v>239</v>
      </c>
      <c r="AC21" s="129">
        <v>161</v>
      </c>
      <c r="AD21" s="129">
        <v>211</v>
      </c>
      <c r="AE21" s="129"/>
      <c r="AF21" s="129"/>
      <c r="AG21" s="129"/>
      <c r="AH21" s="129"/>
      <c r="AI21" s="129"/>
      <c r="AJ21" s="129"/>
      <c r="AK21" s="129"/>
      <c r="AL21" s="129"/>
      <c r="AM21" s="129"/>
      <c r="AN21" s="129"/>
      <c r="AO21" s="129"/>
      <c r="AP21" s="129"/>
      <c r="AQ21" s="129"/>
      <c r="AR21" s="129"/>
      <c r="AS21" s="129"/>
      <c r="AT21" s="129"/>
      <c r="AU21" s="129"/>
      <c r="AV21" s="129"/>
      <c r="AW21" s="129"/>
    </row>
    <row r="22" spans="1:49" ht="25.5" x14ac:dyDescent="0.2">
      <c r="A22" s="123" t="s">
        <v>461</v>
      </c>
      <c r="B22" s="129">
        <f>B21-B23</f>
        <v>130</v>
      </c>
      <c r="C22" s="129">
        <f>C21-C23</f>
        <v>140</v>
      </c>
      <c r="D22" s="129">
        <f>D21-D23</f>
        <v>171</v>
      </c>
      <c r="E22" s="129">
        <f t="shared" ref="E22:Y22" si="8">E21-E23</f>
        <v>159</v>
      </c>
      <c r="F22" s="129">
        <f t="shared" si="8"/>
        <v>201</v>
      </c>
      <c r="G22" s="129">
        <f t="shared" si="8"/>
        <v>169</v>
      </c>
      <c r="H22" s="129">
        <f t="shared" si="8"/>
        <v>143</v>
      </c>
      <c r="I22" s="129">
        <f t="shared" si="8"/>
        <v>143</v>
      </c>
      <c r="J22" s="129">
        <f t="shared" si="8"/>
        <v>128</v>
      </c>
      <c r="K22" s="129">
        <f t="shared" si="8"/>
        <v>112</v>
      </c>
      <c r="L22" s="129">
        <f t="shared" si="8"/>
        <v>165</v>
      </c>
      <c r="M22" s="129">
        <f t="shared" si="8"/>
        <v>145</v>
      </c>
      <c r="N22" s="129">
        <f t="shared" si="8"/>
        <v>147</v>
      </c>
      <c r="O22" s="129">
        <f t="shared" si="8"/>
        <v>166</v>
      </c>
      <c r="P22" s="129">
        <f t="shared" si="8"/>
        <v>166</v>
      </c>
      <c r="Q22" s="129">
        <f t="shared" si="8"/>
        <v>95</v>
      </c>
      <c r="R22" s="129">
        <f t="shared" si="8"/>
        <v>117</v>
      </c>
      <c r="S22" s="129">
        <f t="shared" si="8"/>
        <v>135</v>
      </c>
      <c r="T22" s="129">
        <f t="shared" si="8"/>
        <v>118</v>
      </c>
      <c r="U22" s="129">
        <f t="shared" si="8"/>
        <v>127</v>
      </c>
      <c r="V22" s="129">
        <f t="shared" si="8"/>
        <v>76</v>
      </c>
      <c r="W22" s="129">
        <f t="shared" si="8"/>
        <v>87</v>
      </c>
      <c r="X22" s="129">
        <v>124</v>
      </c>
      <c r="Y22" s="129">
        <f t="shared" si="8"/>
        <v>132</v>
      </c>
      <c r="Z22" s="129">
        <v>90</v>
      </c>
      <c r="AA22" s="129">
        <v>143</v>
      </c>
      <c r="AB22" s="129">
        <v>150</v>
      </c>
      <c r="AC22" s="129">
        <v>100</v>
      </c>
      <c r="AD22" s="129">
        <v>109</v>
      </c>
      <c r="AE22" s="129"/>
      <c r="AF22" s="129"/>
      <c r="AG22" s="129"/>
      <c r="AH22" s="129"/>
      <c r="AI22" s="129"/>
      <c r="AJ22" s="129"/>
      <c r="AK22" s="129"/>
      <c r="AL22" s="129"/>
      <c r="AM22" s="129"/>
      <c r="AN22" s="129"/>
      <c r="AO22" s="129"/>
      <c r="AP22" s="129"/>
      <c r="AQ22" s="129"/>
      <c r="AR22" s="129"/>
      <c r="AS22" s="129"/>
      <c r="AT22" s="129"/>
      <c r="AU22" s="129"/>
      <c r="AV22" s="129"/>
      <c r="AW22" s="129"/>
    </row>
    <row r="23" spans="1:49" x14ac:dyDescent="0.2">
      <c r="A23" s="123" t="s">
        <v>462</v>
      </c>
      <c r="B23" s="129">
        <v>96</v>
      </c>
      <c r="C23" s="129">
        <v>107</v>
      </c>
      <c r="D23" s="129">
        <v>113</v>
      </c>
      <c r="E23" s="129">
        <v>66</v>
      </c>
      <c r="F23" s="129">
        <v>64</v>
      </c>
      <c r="G23" s="129">
        <v>117</v>
      </c>
      <c r="H23" s="129">
        <v>90</v>
      </c>
      <c r="I23" s="129">
        <v>124</v>
      </c>
      <c r="J23" s="129">
        <v>70</v>
      </c>
      <c r="K23" s="129">
        <v>87</v>
      </c>
      <c r="L23" s="129">
        <v>62</v>
      </c>
      <c r="M23" s="129">
        <v>63</v>
      </c>
      <c r="N23" s="129">
        <v>100</v>
      </c>
      <c r="O23" s="129">
        <v>130</v>
      </c>
      <c r="P23" s="129">
        <v>126</v>
      </c>
      <c r="Q23" s="129">
        <v>68</v>
      </c>
      <c r="R23" s="129">
        <v>95</v>
      </c>
      <c r="S23" s="129">
        <v>112</v>
      </c>
      <c r="T23" s="129">
        <v>92</v>
      </c>
      <c r="U23" s="129">
        <v>172</v>
      </c>
      <c r="V23" s="129">
        <v>80</v>
      </c>
      <c r="W23" s="129">
        <v>118</v>
      </c>
      <c r="X23" s="129">
        <v>132</v>
      </c>
      <c r="Y23" s="129">
        <v>125</v>
      </c>
      <c r="Z23" s="129">
        <v>68</v>
      </c>
      <c r="AA23" s="129">
        <v>112</v>
      </c>
      <c r="AB23" s="129">
        <v>89</v>
      </c>
      <c r="AC23" s="129">
        <v>61</v>
      </c>
      <c r="AD23" s="129">
        <v>102</v>
      </c>
      <c r="AE23" s="129"/>
      <c r="AF23" s="129"/>
      <c r="AG23" s="129"/>
      <c r="AH23" s="129"/>
      <c r="AI23" s="129"/>
      <c r="AJ23" s="129"/>
      <c r="AK23" s="129"/>
      <c r="AL23" s="129"/>
      <c r="AM23" s="129"/>
      <c r="AN23" s="129"/>
      <c r="AO23" s="129"/>
      <c r="AP23" s="129"/>
      <c r="AQ23" s="129"/>
      <c r="AR23" s="129"/>
      <c r="AS23" s="129"/>
      <c r="AT23" s="129"/>
      <c r="AU23" s="129"/>
      <c r="AV23" s="129"/>
      <c r="AW23" s="129"/>
    </row>
    <row r="24" spans="1:49" x14ac:dyDescent="0.2">
      <c r="A24" s="125" t="s">
        <v>362</v>
      </c>
      <c r="B24" s="126">
        <f>B22/B21</f>
        <v>0.5752212389380531</v>
      </c>
      <c r="C24" s="126">
        <f t="shared" ref="C24:Y24" si="9">C22/C21</f>
        <v>0.5668016194331984</v>
      </c>
      <c r="D24" s="126">
        <f t="shared" si="9"/>
        <v>0.602112676056338</v>
      </c>
      <c r="E24" s="126">
        <f t="shared" si="9"/>
        <v>0.70666666666666667</v>
      </c>
      <c r="F24" s="126">
        <f t="shared" si="9"/>
        <v>0.7584905660377359</v>
      </c>
      <c r="G24" s="126">
        <f t="shared" si="9"/>
        <v>0.59090909090909094</v>
      </c>
      <c r="H24" s="132">
        <f t="shared" si="9"/>
        <v>0.61373390557939911</v>
      </c>
      <c r="I24" s="126">
        <f t="shared" si="9"/>
        <v>0.53558052434456926</v>
      </c>
      <c r="J24" s="126">
        <f t="shared" si="9"/>
        <v>0.64646464646464652</v>
      </c>
      <c r="K24" s="126">
        <f t="shared" si="9"/>
        <v>0.56281407035175879</v>
      </c>
      <c r="L24" s="126">
        <f t="shared" si="9"/>
        <v>0.72687224669603523</v>
      </c>
      <c r="M24" s="126">
        <f t="shared" si="9"/>
        <v>0.69711538461538458</v>
      </c>
      <c r="N24" s="126">
        <f t="shared" si="9"/>
        <v>0.59514170040485825</v>
      </c>
      <c r="O24" s="126">
        <f t="shared" si="9"/>
        <v>0.56081081081081086</v>
      </c>
      <c r="P24" s="126">
        <f t="shared" si="9"/>
        <v>0.56849315068493156</v>
      </c>
      <c r="Q24" s="126">
        <f t="shared" si="9"/>
        <v>0.58282208588957052</v>
      </c>
      <c r="R24" s="126">
        <f t="shared" si="9"/>
        <v>0.55188679245283023</v>
      </c>
      <c r="S24" s="126">
        <f t="shared" si="9"/>
        <v>0.54655870445344135</v>
      </c>
      <c r="T24" s="126">
        <f t="shared" si="9"/>
        <v>0.56190476190476191</v>
      </c>
      <c r="U24" s="126">
        <f t="shared" si="9"/>
        <v>0.42474916387959866</v>
      </c>
      <c r="V24" s="126">
        <f t="shared" si="9"/>
        <v>0.48717948717948717</v>
      </c>
      <c r="W24" s="126">
        <f t="shared" si="9"/>
        <v>0.42439024390243901</v>
      </c>
      <c r="X24" s="126">
        <f t="shared" si="9"/>
        <v>0.484375</v>
      </c>
      <c r="Y24" s="126">
        <f t="shared" si="9"/>
        <v>0.51361867704280151</v>
      </c>
      <c r="Z24" s="126">
        <f t="shared" ref="Z24:AA24" si="10">Z22/Z21</f>
        <v>0.569620253164557</v>
      </c>
      <c r="AA24" s="126">
        <f t="shared" si="10"/>
        <v>0.5607843137254902</v>
      </c>
      <c r="AB24" s="126">
        <f>AB22/AB21</f>
        <v>0.62761506276150625</v>
      </c>
      <c r="AC24" s="126">
        <f t="shared" ref="AC24:AW24" si="11">AC22/AC21</f>
        <v>0.6211180124223602</v>
      </c>
      <c r="AD24" s="126">
        <f t="shared" si="11"/>
        <v>0.51658767772511849</v>
      </c>
      <c r="AE24" s="126" t="e">
        <f t="shared" si="11"/>
        <v>#DIV/0!</v>
      </c>
      <c r="AF24" s="126" t="e">
        <f t="shared" si="11"/>
        <v>#DIV/0!</v>
      </c>
      <c r="AG24" s="126" t="e">
        <f t="shared" si="11"/>
        <v>#DIV/0!</v>
      </c>
      <c r="AH24" s="126" t="e">
        <f t="shared" si="11"/>
        <v>#DIV/0!</v>
      </c>
      <c r="AI24" s="126" t="e">
        <f t="shared" si="11"/>
        <v>#DIV/0!</v>
      </c>
      <c r="AJ24" s="126" t="e">
        <f t="shared" si="11"/>
        <v>#DIV/0!</v>
      </c>
      <c r="AK24" s="126" t="e">
        <f t="shared" si="11"/>
        <v>#DIV/0!</v>
      </c>
      <c r="AL24" s="126" t="e">
        <f t="shared" si="11"/>
        <v>#DIV/0!</v>
      </c>
      <c r="AM24" s="126" t="e">
        <f t="shared" si="11"/>
        <v>#DIV/0!</v>
      </c>
      <c r="AN24" s="126" t="e">
        <f t="shared" si="11"/>
        <v>#DIV/0!</v>
      </c>
      <c r="AO24" s="126" t="e">
        <f t="shared" si="11"/>
        <v>#DIV/0!</v>
      </c>
      <c r="AP24" s="126" t="e">
        <f t="shared" si="11"/>
        <v>#DIV/0!</v>
      </c>
      <c r="AQ24" s="126" t="e">
        <f t="shared" si="11"/>
        <v>#DIV/0!</v>
      </c>
      <c r="AR24" s="126" t="e">
        <f t="shared" si="11"/>
        <v>#DIV/0!</v>
      </c>
      <c r="AS24" s="126" t="e">
        <f t="shared" si="11"/>
        <v>#DIV/0!</v>
      </c>
      <c r="AT24" s="126" t="e">
        <f t="shared" si="11"/>
        <v>#DIV/0!</v>
      </c>
      <c r="AU24" s="126" t="e">
        <f t="shared" si="11"/>
        <v>#DIV/0!</v>
      </c>
      <c r="AV24" s="126" t="e">
        <f t="shared" si="11"/>
        <v>#DIV/0!</v>
      </c>
      <c r="AW24" s="126" t="e">
        <f t="shared" si="11"/>
        <v>#DIV/0!</v>
      </c>
    </row>
    <row r="25" spans="1:49" x14ac:dyDescent="0.2">
      <c r="A25" s="123" t="s">
        <v>363</v>
      </c>
      <c r="B25" s="130">
        <f>1-B24</f>
        <v>0.4247787610619469</v>
      </c>
      <c r="C25" s="130">
        <f t="shared" ref="C25:Y25" si="12">1-C24</f>
        <v>0.4331983805668016</v>
      </c>
      <c r="D25" s="130">
        <f t="shared" si="12"/>
        <v>0.397887323943662</v>
      </c>
      <c r="E25" s="130">
        <f t="shared" si="12"/>
        <v>0.29333333333333333</v>
      </c>
      <c r="F25" s="130">
        <f t="shared" si="12"/>
        <v>0.2415094339622641</v>
      </c>
      <c r="G25" s="130">
        <f t="shared" si="12"/>
        <v>0.40909090909090906</v>
      </c>
      <c r="H25" s="130">
        <f t="shared" si="12"/>
        <v>0.38626609442060089</v>
      </c>
      <c r="I25" s="130">
        <f t="shared" si="12"/>
        <v>0.46441947565543074</v>
      </c>
      <c r="J25" s="130">
        <f t="shared" si="12"/>
        <v>0.35353535353535348</v>
      </c>
      <c r="K25" s="130">
        <f t="shared" si="12"/>
        <v>0.43718592964824121</v>
      </c>
      <c r="L25" s="130">
        <f t="shared" si="12"/>
        <v>0.27312775330396477</v>
      </c>
      <c r="M25" s="130">
        <f t="shared" si="12"/>
        <v>0.30288461538461542</v>
      </c>
      <c r="N25" s="130">
        <f t="shared" si="12"/>
        <v>0.40485829959514175</v>
      </c>
      <c r="O25" s="130">
        <f t="shared" si="12"/>
        <v>0.43918918918918914</v>
      </c>
      <c r="P25" s="130">
        <f t="shared" si="12"/>
        <v>0.43150684931506844</v>
      </c>
      <c r="Q25" s="130">
        <f t="shared" si="12"/>
        <v>0.41717791411042948</v>
      </c>
      <c r="R25" s="130">
        <f t="shared" si="12"/>
        <v>0.44811320754716977</v>
      </c>
      <c r="S25" s="130">
        <f t="shared" si="12"/>
        <v>0.45344129554655865</v>
      </c>
      <c r="T25" s="130">
        <f t="shared" si="12"/>
        <v>0.43809523809523809</v>
      </c>
      <c r="U25" s="130">
        <f t="shared" si="12"/>
        <v>0.5752508361204014</v>
      </c>
      <c r="V25" s="130">
        <f t="shared" si="12"/>
        <v>0.51282051282051277</v>
      </c>
      <c r="W25" s="130">
        <f t="shared" si="12"/>
        <v>0.57560975609756104</v>
      </c>
      <c r="X25" s="130">
        <f t="shared" si="12"/>
        <v>0.515625</v>
      </c>
      <c r="Y25" s="130">
        <f t="shared" si="12"/>
        <v>0.48638132295719849</v>
      </c>
      <c r="Z25" s="130">
        <f t="shared" ref="Z25:AA25" si="13">1-Z24</f>
        <v>0.430379746835443</v>
      </c>
      <c r="AA25" s="130">
        <f t="shared" si="13"/>
        <v>0.4392156862745098</v>
      </c>
      <c r="AB25" s="130">
        <f t="shared" ref="AB25:AW25" si="14">1-AB24</f>
        <v>0.37238493723849375</v>
      </c>
      <c r="AC25" s="130">
        <f t="shared" si="14"/>
        <v>0.3788819875776398</v>
      </c>
      <c r="AD25" s="130">
        <f t="shared" si="14"/>
        <v>0.48341232227488151</v>
      </c>
      <c r="AE25" s="130" t="e">
        <f t="shared" si="14"/>
        <v>#DIV/0!</v>
      </c>
      <c r="AF25" s="130" t="e">
        <f t="shared" si="14"/>
        <v>#DIV/0!</v>
      </c>
      <c r="AG25" s="130" t="e">
        <f t="shared" si="14"/>
        <v>#DIV/0!</v>
      </c>
      <c r="AH25" s="130" t="e">
        <f t="shared" si="14"/>
        <v>#DIV/0!</v>
      </c>
      <c r="AI25" s="130" t="e">
        <f t="shared" si="14"/>
        <v>#DIV/0!</v>
      </c>
      <c r="AJ25" s="130" t="e">
        <f t="shared" si="14"/>
        <v>#DIV/0!</v>
      </c>
      <c r="AK25" s="130" t="e">
        <f t="shared" si="14"/>
        <v>#DIV/0!</v>
      </c>
      <c r="AL25" s="130" t="e">
        <f t="shared" si="14"/>
        <v>#DIV/0!</v>
      </c>
      <c r="AM25" s="130" t="e">
        <f t="shared" si="14"/>
        <v>#DIV/0!</v>
      </c>
      <c r="AN25" s="130" t="e">
        <f t="shared" si="14"/>
        <v>#DIV/0!</v>
      </c>
      <c r="AO25" s="130" t="e">
        <f t="shared" si="14"/>
        <v>#DIV/0!</v>
      </c>
      <c r="AP25" s="130" t="e">
        <f t="shared" si="14"/>
        <v>#DIV/0!</v>
      </c>
      <c r="AQ25" s="130" t="e">
        <f t="shared" si="14"/>
        <v>#DIV/0!</v>
      </c>
      <c r="AR25" s="130" t="e">
        <f t="shared" si="14"/>
        <v>#DIV/0!</v>
      </c>
      <c r="AS25" s="130" t="e">
        <f t="shared" si="14"/>
        <v>#DIV/0!</v>
      </c>
      <c r="AT25" s="130" t="e">
        <f t="shared" si="14"/>
        <v>#DIV/0!</v>
      </c>
      <c r="AU25" s="130" t="e">
        <f t="shared" si="14"/>
        <v>#DIV/0!</v>
      </c>
      <c r="AV25" s="130" t="e">
        <f t="shared" si="14"/>
        <v>#DIV/0!</v>
      </c>
      <c r="AW25" s="130" t="e">
        <f t="shared" si="14"/>
        <v>#DIV/0!</v>
      </c>
    </row>
    <row r="26" spans="1:49" x14ac:dyDescent="0.2">
      <c r="A26" s="114"/>
      <c r="B26" s="115"/>
      <c r="C26" s="115"/>
      <c r="D26" s="115"/>
      <c r="E26" s="115"/>
      <c r="F26" s="115"/>
      <c r="G26" s="115"/>
      <c r="H26" s="115"/>
      <c r="I26" s="115"/>
      <c r="J26" s="115"/>
      <c r="K26" s="115"/>
      <c r="L26" s="115"/>
      <c r="M26" s="115"/>
      <c r="N26" s="115"/>
      <c r="O26" s="115"/>
      <c r="P26" s="115"/>
      <c r="Q26" s="115"/>
      <c r="R26" s="113"/>
      <c r="S26" s="113"/>
      <c r="T26" s="113"/>
      <c r="U26" s="113"/>
      <c r="V26" s="113"/>
      <c r="W26" s="113"/>
      <c r="X26" s="113"/>
      <c r="Y26" s="113"/>
      <c r="Z26" s="115"/>
      <c r="AA26" s="115"/>
      <c r="AB26" s="115"/>
      <c r="AC26" s="115"/>
      <c r="AD26" s="115"/>
      <c r="AE26" s="115"/>
      <c r="AF26" s="115"/>
      <c r="AG26" s="115"/>
      <c r="AH26" s="115"/>
      <c r="AI26" s="115"/>
      <c r="AJ26" s="115"/>
      <c r="AK26" s="115"/>
      <c r="AL26" s="115"/>
      <c r="AM26" s="115"/>
      <c r="AN26" s="115"/>
      <c r="AO26" s="115"/>
      <c r="AP26" s="113"/>
      <c r="AQ26" s="113"/>
      <c r="AR26" s="113"/>
      <c r="AS26" s="113"/>
      <c r="AT26" s="113"/>
      <c r="AU26" s="113"/>
      <c r="AV26" s="113"/>
      <c r="AW26" s="113"/>
    </row>
    <row r="27" spans="1:49" x14ac:dyDescent="0.2">
      <c r="A27" s="112" t="s">
        <v>364</v>
      </c>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row>
    <row r="28" spans="1:49" x14ac:dyDescent="0.2">
      <c r="A28" s="133" t="s">
        <v>196</v>
      </c>
      <c r="B28" s="129">
        <v>1687</v>
      </c>
      <c r="C28" s="129">
        <v>1709</v>
      </c>
      <c r="D28" s="129">
        <v>1708</v>
      </c>
      <c r="E28" s="129">
        <v>1737</v>
      </c>
      <c r="F28" s="129">
        <v>1737</v>
      </c>
      <c r="G28" s="129">
        <v>1668</v>
      </c>
      <c r="H28" s="129">
        <v>1677</v>
      </c>
      <c r="I28" s="129">
        <v>1826</v>
      </c>
      <c r="J28" s="129">
        <v>1900</v>
      </c>
      <c r="K28" s="129">
        <v>1929</v>
      </c>
      <c r="L28" s="129">
        <v>2060</v>
      </c>
      <c r="M28" s="129">
        <v>2078</v>
      </c>
      <c r="N28" s="129">
        <v>2085</v>
      </c>
      <c r="O28" s="129">
        <v>1996</v>
      </c>
      <c r="P28" s="129">
        <v>1857</v>
      </c>
      <c r="Q28" s="129">
        <v>1817</v>
      </c>
      <c r="R28" s="129">
        <v>1691</v>
      </c>
      <c r="S28" s="129">
        <v>1629</v>
      </c>
      <c r="T28" s="129">
        <v>1588</v>
      </c>
      <c r="U28" s="129">
        <v>1570</v>
      </c>
      <c r="V28" s="129">
        <v>1551</v>
      </c>
      <c r="W28" s="129">
        <v>1564</v>
      </c>
      <c r="X28" s="129">
        <v>1470</v>
      </c>
      <c r="Y28" s="129">
        <v>1472</v>
      </c>
      <c r="Z28" s="129">
        <v>1457</v>
      </c>
      <c r="AA28" s="129">
        <v>1425</v>
      </c>
      <c r="AB28" s="129">
        <v>1501</v>
      </c>
      <c r="AC28" s="129">
        <v>1499</v>
      </c>
      <c r="AD28" s="129">
        <v>1456</v>
      </c>
      <c r="AE28" s="129"/>
      <c r="AF28" s="129"/>
      <c r="AG28" s="129"/>
      <c r="AH28" s="129"/>
      <c r="AI28" s="129"/>
      <c r="AJ28" s="129"/>
      <c r="AK28" s="129"/>
      <c r="AL28" s="129"/>
      <c r="AM28" s="129"/>
      <c r="AN28" s="129"/>
      <c r="AO28" s="129"/>
      <c r="AP28" s="129"/>
      <c r="AQ28" s="129"/>
      <c r="AR28" s="129"/>
      <c r="AS28" s="129"/>
      <c r="AT28" s="129"/>
      <c r="AU28" s="129"/>
      <c r="AV28" s="129"/>
      <c r="AW28" s="129"/>
    </row>
    <row r="29" spans="1:49" ht="25.5" x14ac:dyDescent="0.2">
      <c r="A29" s="133" t="s">
        <v>463</v>
      </c>
      <c r="B29" s="129">
        <f t="shared" ref="B29:Y29" si="15">B28-B30</f>
        <v>1206</v>
      </c>
      <c r="C29" s="129">
        <f t="shared" si="15"/>
        <v>1222</v>
      </c>
      <c r="D29" s="129">
        <f t="shared" si="15"/>
        <v>1192</v>
      </c>
      <c r="E29" s="129">
        <f t="shared" si="15"/>
        <v>1098</v>
      </c>
      <c r="F29" s="129">
        <f t="shared" si="15"/>
        <v>1043</v>
      </c>
      <c r="G29" s="129">
        <f t="shared" si="15"/>
        <v>988</v>
      </c>
      <c r="H29" s="129">
        <f t="shared" si="15"/>
        <v>947</v>
      </c>
      <c r="I29" s="129">
        <f t="shared" si="15"/>
        <v>1139</v>
      </c>
      <c r="J29" s="129">
        <f t="shared" si="15"/>
        <v>1191</v>
      </c>
      <c r="K29" s="129">
        <f t="shared" si="15"/>
        <v>1182</v>
      </c>
      <c r="L29" s="129">
        <f t="shared" si="15"/>
        <v>1245</v>
      </c>
      <c r="M29" s="129">
        <f t="shared" si="15"/>
        <v>1190</v>
      </c>
      <c r="N29" s="129">
        <f t="shared" si="15"/>
        <v>1154</v>
      </c>
      <c r="O29" s="129">
        <f t="shared" si="15"/>
        <v>1132</v>
      </c>
      <c r="P29" s="129">
        <f t="shared" si="15"/>
        <v>1040</v>
      </c>
      <c r="Q29" s="129">
        <f t="shared" si="15"/>
        <v>956</v>
      </c>
      <c r="R29" s="129">
        <f t="shared" si="15"/>
        <v>838</v>
      </c>
      <c r="S29" s="129">
        <f t="shared" si="15"/>
        <v>819</v>
      </c>
      <c r="T29" s="129">
        <f t="shared" si="15"/>
        <v>805</v>
      </c>
      <c r="U29" s="129">
        <f t="shared" si="15"/>
        <v>886</v>
      </c>
      <c r="V29" s="129">
        <f t="shared" si="15"/>
        <v>925</v>
      </c>
      <c r="W29" s="129">
        <f t="shared" si="15"/>
        <v>992</v>
      </c>
      <c r="X29" s="129">
        <v>992</v>
      </c>
      <c r="Y29" s="129">
        <f t="shared" si="15"/>
        <v>1006</v>
      </c>
      <c r="Z29" s="129">
        <v>964</v>
      </c>
      <c r="AA29" s="129">
        <v>1006</v>
      </c>
      <c r="AB29" s="129">
        <v>1024</v>
      </c>
      <c r="AC29" s="129">
        <v>962</v>
      </c>
      <c r="AD29" s="129">
        <v>949</v>
      </c>
      <c r="AE29" s="129"/>
      <c r="AF29" s="129"/>
      <c r="AG29" s="129"/>
      <c r="AH29" s="129"/>
      <c r="AI29" s="129"/>
      <c r="AJ29" s="129"/>
      <c r="AK29" s="129"/>
      <c r="AL29" s="129"/>
      <c r="AM29" s="129"/>
      <c r="AN29" s="129"/>
      <c r="AO29" s="129"/>
      <c r="AP29" s="129"/>
      <c r="AQ29" s="129"/>
      <c r="AR29" s="129"/>
      <c r="AS29" s="129"/>
      <c r="AT29" s="129"/>
      <c r="AU29" s="129"/>
      <c r="AV29" s="129"/>
      <c r="AW29" s="129"/>
    </row>
    <row r="30" spans="1:49" ht="25.5" x14ac:dyDescent="0.2">
      <c r="A30" s="133" t="s">
        <v>464</v>
      </c>
      <c r="B30" s="129">
        <v>481</v>
      </c>
      <c r="C30" s="129">
        <v>487</v>
      </c>
      <c r="D30" s="129">
        <v>516</v>
      </c>
      <c r="E30" s="129">
        <v>639</v>
      </c>
      <c r="F30" s="129">
        <v>694</v>
      </c>
      <c r="G30" s="129">
        <v>680</v>
      </c>
      <c r="H30" s="129">
        <v>730</v>
      </c>
      <c r="I30" s="129">
        <v>687</v>
      </c>
      <c r="J30" s="129">
        <v>709</v>
      </c>
      <c r="K30" s="129">
        <v>747</v>
      </c>
      <c r="L30" s="129">
        <v>815</v>
      </c>
      <c r="M30" s="129">
        <v>888</v>
      </c>
      <c r="N30" s="129">
        <v>931</v>
      </c>
      <c r="O30" s="129">
        <v>864</v>
      </c>
      <c r="P30" s="129">
        <v>817</v>
      </c>
      <c r="Q30" s="129">
        <v>861</v>
      </c>
      <c r="R30" s="129">
        <v>853</v>
      </c>
      <c r="S30" s="129">
        <v>810</v>
      </c>
      <c r="T30" s="129">
        <v>783</v>
      </c>
      <c r="U30" s="129">
        <v>684</v>
      </c>
      <c r="V30" s="129">
        <v>626</v>
      </c>
      <c r="W30" s="129">
        <v>572</v>
      </c>
      <c r="X30" s="129">
        <v>478</v>
      </c>
      <c r="Y30" s="129">
        <v>466</v>
      </c>
      <c r="Z30" s="129">
        <v>493</v>
      </c>
      <c r="AA30" s="129">
        <v>419</v>
      </c>
      <c r="AB30" s="129">
        <v>477</v>
      </c>
      <c r="AC30" s="129">
        <v>537</v>
      </c>
      <c r="AD30" s="129">
        <v>507</v>
      </c>
      <c r="AE30" s="129"/>
      <c r="AF30" s="129"/>
      <c r="AG30" s="129"/>
      <c r="AH30" s="129"/>
      <c r="AI30" s="129"/>
      <c r="AJ30" s="129"/>
      <c r="AK30" s="129"/>
      <c r="AL30" s="129"/>
      <c r="AM30" s="129"/>
      <c r="AN30" s="129"/>
      <c r="AO30" s="129"/>
      <c r="AP30" s="129"/>
      <c r="AQ30" s="129"/>
      <c r="AR30" s="129"/>
      <c r="AS30" s="129"/>
      <c r="AT30" s="129"/>
      <c r="AU30" s="129"/>
      <c r="AV30" s="129"/>
      <c r="AW30" s="129"/>
    </row>
    <row r="31" spans="1:49" x14ac:dyDescent="0.2">
      <c r="A31" s="133" t="s">
        <v>362</v>
      </c>
      <c r="B31" s="130">
        <f t="shared" ref="B31:Y31" si="16">1-(B30/B28)</f>
        <v>0.7148784825133373</v>
      </c>
      <c r="C31" s="130">
        <f t="shared" si="16"/>
        <v>0.71503803393797538</v>
      </c>
      <c r="D31" s="130">
        <f t="shared" si="16"/>
        <v>0.69789227166276346</v>
      </c>
      <c r="E31" s="130">
        <f t="shared" si="16"/>
        <v>0.63212435233160624</v>
      </c>
      <c r="F31" s="130">
        <f t="shared" si="16"/>
        <v>0.60046056419113414</v>
      </c>
      <c r="G31" s="130">
        <f t="shared" si="16"/>
        <v>0.592326139088729</v>
      </c>
      <c r="H31" s="130">
        <f t="shared" si="16"/>
        <v>0.56469886702444838</v>
      </c>
      <c r="I31" s="130">
        <f t="shared" si="16"/>
        <v>0.62376779846659369</v>
      </c>
      <c r="J31" s="130">
        <f t="shared" si="16"/>
        <v>0.62684210526315787</v>
      </c>
      <c r="K31" s="130">
        <f t="shared" si="16"/>
        <v>0.61275272161741834</v>
      </c>
      <c r="L31" s="130">
        <f t="shared" si="16"/>
        <v>0.60436893203883502</v>
      </c>
      <c r="M31" s="130">
        <f t="shared" si="16"/>
        <v>0.57266602502406161</v>
      </c>
      <c r="N31" s="130">
        <f t="shared" si="16"/>
        <v>0.55347721822541973</v>
      </c>
      <c r="O31" s="130">
        <f t="shared" si="16"/>
        <v>0.56713426853707416</v>
      </c>
      <c r="P31" s="130">
        <f t="shared" si="16"/>
        <v>0.56004308023694138</v>
      </c>
      <c r="Q31" s="130">
        <f t="shared" si="16"/>
        <v>0.5261419922949917</v>
      </c>
      <c r="R31" s="130">
        <f t="shared" si="16"/>
        <v>0.49556475458308691</v>
      </c>
      <c r="S31" s="130">
        <f t="shared" si="16"/>
        <v>0.50276243093922646</v>
      </c>
      <c r="T31" s="130">
        <f t="shared" si="16"/>
        <v>0.50692695214105798</v>
      </c>
      <c r="U31" s="130">
        <f t="shared" si="16"/>
        <v>0.56433121019108279</v>
      </c>
      <c r="V31" s="130">
        <f t="shared" si="16"/>
        <v>0.59638942617666024</v>
      </c>
      <c r="W31" s="130">
        <f t="shared" si="16"/>
        <v>0.63427109974424556</v>
      </c>
      <c r="X31" s="130">
        <f t="shared" si="16"/>
        <v>0.67482993197278907</v>
      </c>
      <c r="Y31" s="130">
        <f t="shared" si="16"/>
        <v>0.68342391304347827</v>
      </c>
      <c r="Z31" s="130">
        <f t="shared" ref="Z31:AA31" si="17">1-(Z30/Z28)</f>
        <v>0.66163349347975298</v>
      </c>
      <c r="AA31" s="130">
        <f t="shared" si="17"/>
        <v>0.70596491228070168</v>
      </c>
      <c r="AB31" s="130">
        <f t="shared" ref="AB31:AW31" si="18">1-(AB30/AB28)</f>
        <v>0.68221185876082613</v>
      </c>
      <c r="AC31" s="130">
        <f t="shared" si="18"/>
        <v>0.64176117411607736</v>
      </c>
      <c r="AD31" s="130">
        <f t="shared" si="18"/>
        <v>0.6517857142857143</v>
      </c>
      <c r="AE31" s="130" t="e">
        <f t="shared" si="18"/>
        <v>#DIV/0!</v>
      </c>
      <c r="AF31" s="130" t="e">
        <f t="shared" si="18"/>
        <v>#DIV/0!</v>
      </c>
      <c r="AG31" s="130" t="e">
        <f t="shared" si="18"/>
        <v>#DIV/0!</v>
      </c>
      <c r="AH31" s="130" t="e">
        <f t="shared" si="18"/>
        <v>#DIV/0!</v>
      </c>
      <c r="AI31" s="130" t="e">
        <f t="shared" si="18"/>
        <v>#DIV/0!</v>
      </c>
      <c r="AJ31" s="130" t="e">
        <f t="shared" si="18"/>
        <v>#DIV/0!</v>
      </c>
      <c r="AK31" s="130" t="e">
        <f t="shared" si="18"/>
        <v>#DIV/0!</v>
      </c>
      <c r="AL31" s="130" t="e">
        <f t="shared" si="18"/>
        <v>#DIV/0!</v>
      </c>
      <c r="AM31" s="130" t="e">
        <f t="shared" si="18"/>
        <v>#DIV/0!</v>
      </c>
      <c r="AN31" s="130" t="e">
        <f t="shared" si="18"/>
        <v>#DIV/0!</v>
      </c>
      <c r="AO31" s="130" t="e">
        <f t="shared" si="18"/>
        <v>#DIV/0!</v>
      </c>
      <c r="AP31" s="130" t="e">
        <f t="shared" si="18"/>
        <v>#DIV/0!</v>
      </c>
      <c r="AQ31" s="130" t="e">
        <f t="shared" si="18"/>
        <v>#DIV/0!</v>
      </c>
      <c r="AR31" s="130" t="e">
        <f t="shared" si="18"/>
        <v>#DIV/0!</v>
      </c>
      <c r="AS31" s="130" t="e">
        <f t="shared" si="18"/>
        <v>#DIV/0!</v>
      </c>
      <c r="AT31" s="130" t="e">
        <f t="shared" si="18"/>
        <v>#DIV/0!</v>
      </c>
      <c r="AU31" s="130" t="e">
        <f t="shared" si="18"/>
        <v>#DIV/0!</v>
      </c>
      <c r="AV31" s="130" t="e">
        <f t="shared" si="18"/>
        <v>#DIV/0!</v>
      </c>
      <c r="AW31" s="130" t="e">
        <f t="shared" si="18"/>
        <v>#DIV/0!</v>
      </c>
    </row>
    <row r="32" spans="1:49" x14ac:dyDescent="0.2">
      <c r="A32" s="133" t="s">
        <v>363</v>
      </c>
      <c r="B32" s="130">
        <f t="shared" ref="B32:H32" si="19">1-(B29/B28)</f>
        <v>0.2851215174866627</v>
      </c>
      <c r="C32" s="130">
        <f t="shared" si="19"/>
        <v>0.28496196606202462</v>
      </c>
      <c r="D32" s="130">
        <f t="shared" si="19"/>
        <v>0.30210772833723654</v>
      </c>
      <c r="E32" s="130">
        <f t="shared" si="19"/>
        <v>0.36787564766839376</v>
      </c>
      <c r="F32" s="130">
        <f t="shared" si="19"/>
        <v>0.39953943580886586</v>
      </c>
      <c r="G32" s="130">
        <f t="shared" si="19"/>
        <v>0.407673860911271</v>
      </c>
      <c r="H32" s="130">
        <f t="shared" si="19"/>
        <v>0.43530113297555162</v>
      </c>
      <c r="I32" s="130">
        <f t="shared" ref="I32:Q32" si="20">1-(I29/I28)</f>
        <v>0.37623220153340631</v>
      </c>
      <c r="J32" s="130">
        <f t="shared" si="20"/>
        <v>0.37315789473684213</v>
      </c>
      <c r="K32" s="130">
        <f t="shared" si="20"/>
        <v>0.38724727838258166</v>
      </c>
      <c r="L32" s="130">
        <f t="shared" si="20"/>
        <v>0.39563106796116509</v>
      </c>
      <c r="M32" s="130">
        <f t="shared" si="20"/>
        <v>0.42733397497593839</v>
      </c>
      <c r="N32" s="130">
        <f t="shared" si="20"/>
        <v>0.44652278177458038</v>
      </c>
      <c r="O32" s="130">
        <f t="shared" si="20"/>
        <v>0.43286573146292584</v>
      </c>
      <c r="P32" s="130">
        <f t="shared" si="20"/>
        <v>0.43995691976305873</v>
      </c>
      <c r="Q32" s="130">
        <f t="shared" si="20"/>
        <v>0.4738580077050083</v>
      </c>
      <c r="R32" s="130">
        <f t="shared" ref="R32:Y32" si="21">1-(R29/R28)</f>
        <v>0.50443524541691309</v>
      </c>
      <c r="S32" s="130">
        <f t="shared" si="21"/>
        <v>0.49723756906077343</v>
      </c>
      <c r="T32" s="130">
        <f t="shared" si="21"/>
        <v>0.49307304785894202</v>
      </c>
      <c r="U32" s="130">
        <f t="shared" si="21"/>
        <v>0.43566878980891721</v>
      </c>
      <c r="V32" s="130">
        <f t="shared" si="21"/>
        <v>0.40361057382333976</v>
      </c>
      <c r="W32" s="130">
        <f t="shared" si="21"/>
        <v>0.36572890025575444</v>
      </c>
      <c r="X32" s="130">
        <f t="shared" si="21"/>
        <v>0.32517006802721093</v>
      </c>
      <c r="Y32" s="130">
        <f t="shared" si="21"/>
        <v>0.31657608695652173</v>
      </c>
      <c r="Z32" s="130">
        <f t="shared" ref="Z32:AA32" si="22">1-(Z29/Z28)</f>
        <v>0.33836650652024713</v>
      </c>
      <c r="AA32" s="130">
        <f t="shared" si="22"/>
        <v>0.2940350877192982</v>
      </c>
      <c r="AB32" s="130">
        <f t="shared" ref="AB32:AW32" si="23">1-(AB29/AB28)</f>
        <v>0.31778814123917387</v>
      </c>
      <c r="AC32" s="130">
        <f t="shared" si="23"/>
        <v>0.35823882588392264</v>
      </c>
      <c r="AD32" s="130">
        <f t="shared" si="23"/>
        <v>0.3482142857142857</v>
      </c>
      <c r="AE32" s="130" t="e">
        <f t="shared" si="23"/>
        <v>#DIV/0!</v>
      </c>
      <c r="AF32" s="130" t="e">
        <f t="shared" si="23"/>
        <v>#DIV/0!</v>
      </c>
      <c r="AG32" s="130" t="e">
        <f t="shared" si="23"/>
        <v>#DIV/0!</v>
      </c>
      <c r="AH32" s="130" t="e">
        <f t="shared" si="23"/>
        <v>#DIV/0!</v>
      </c>
      <c r="AI32" s="130" t="e">
        <f t="shared" si="23"/>
        <v>#DIV/0!</v>
      </c>
      <c r="AJ32" s="130" t="e">
        <f t="shared" si="23"/>
        <v>#DIV/0!</v>
      </c>
      <c r="AK32" s="130" t="e">
        <f t="shared" si="23"/>
        <v>#DIV/0!</v>
      </c>
      <c r="AL32" s="130" t="e">
        <f t="shared" si="23"/>
        <v>#DIV/0!</v>
      </c>
      <c r="AM32" s="130" t="e">
        <f t="shared" si="23"/>
        <v>#DIV/0!</v>
      </c>
      <c r="AN32" s="130" t="e">
        <f t="shared" si="23"/>
        <v>#DIV/0!</v>
      </c>
      <c r="AO32" s="130" t="e">
        <f t="shared" si="23"/>
        <v>#DIV/0!</v>
      </c>
      <c r="AP32" s="130" t="e">
        <f t="shared" si="23"/>
        <v>#DIV/0!</v>
      </c>
      <c r="AQ32" s="130" t="e">
        <f t="shared" si="23"/>
        <v>#DIV/0!</v>
      </c>
      <c r="AR32" s="130" t="e">
        <f t="shared" si="23"/>
        <v>#DIV/0!</v>
      </c>
      <c r="AS32" s="130" t="e">
        <f t="shared" si="23"/>
        <v>#DIV/0!</v>
      </c>
      <c r="AT32" s="130" t="e">
        <f t="shared" si="23"/>
        <v>#DIV/0!</v>
      </c>
      <c r="AU32" s="130" t="e">
        <f t="shared" si="23"/>
        <v>#DIV/0!</v>
      </c>
      <c r="AV32" s="130" t="e">
        <f t="shared" si="23"/>
        <v>#DIV/0!</v>
      </c>
      <c r="AW32" s="130" t="e">
        <f t="shared" si="23"/>
        <v>#DIV/0!</v>
      </c>
    </row>
    <row r="33" spans="1:49" x14ac:dyDescent="0.2">
      <c r="A33" s="110"/>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row>
    <row r="34" spans="1:49" x14ac:dyDescent="0.2">
      <c r="A34" s="636">
        <v>42948</v>
      </c>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row>
    <row r="35" spans="1:49" x14ac:dyDescent="0.2">
      <c r="A35" s="636" t="s">
        <v>685</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row>
    <row r="36" spans="1:49" x14ac:dyDescent="0.2">
      <c r="A36" s="629"/>
      <c r="B36" s="977" t="s">
        <v>684</v>
      </c>
      <c r="C36" s="977"/>
      <c r="D36" s="977"/>
      <c r="E36" s="977"/>
      <c r="F36" s="977"/>
      <c r="G36" s="134"/>
      <c r="H36" s="134"/>
      <c r="I36" s="134"/>
      <c r="J36" s="134"/>
      <c r="K36" s="134"/>
      <c r="L36" s="134"/>
    </row>
    <row r="37" spans="1:49" ht="25.5" x14ac:dyDescent="0.2">
      <c r="A37" s="630" t="s">
        <v>679</v>
      </c>
      <c r="B37" s="631" t="s">
        <v>704</v>
      </c>
      <c r="C37" s="639" t="s">
        <v>700</v>
      </c>
      <c r="D37" s="639" t="s">
        <v>701</v>
      </c>
      <c r="E37" s="639" t="s">
        <v>702</v>
      </c>
      <c r="F37" s="639" t="s">
        <v>703</v>
      </c>
      <c r="G37" s="134"/>
      <c r="H37" s="134"/>
      <c r="I37" s="134"/>
      <c r="J37" s="134"/>
      <c r="K37" s="134"/>
      <c r="L37" s="134"/>
    </row>
    <row r="38" spans="1:49" x14ac:dyDescent="0.2">
      <c r="A38" s="632" t="s">
        <v>681</v>
      </c>
      <c r="B38" s="641">
        <v>29</v>
      </c>
      <c r="C38" s="642">
        <v>10</v>
      </c>
      <c r="D38" s="642">
        <v>19</v>
      </c>
      <c r="E38" s="643">
        <v>0.34499999999999997</v>
      </c>
      <c r="F38" s="643">
        <v>0.65500000000000003</v>
      </c>
      <c r="G38" s="134"/>
      <c r="H38" s="134"/>
      <c r="I38" s="134"/>
      <c r="J38" s="134"/>
      <c r="K38" s="134"/>
      <c r="L38" s="134"/>
    </row>
    <row r="39" spans="1:49" x14ac:dyDescent="0.2">
      <c r="A39" s="632" t="s">
        <v>682</v>
      </c>
      <c r="B39" s="641">
        <v>122</v>
      </c>
      <c r="C39" s="642">
        <v>45</v>
      </c>
      <c r="D39" s="642">
        <v>77</v>
      </c>
      <c r="E39" s="643">
        <v>0.36899999999999999</v>
      </c>
      <c r="F39" s="643">
        <v>0.63100000000000001</v>
      </c>
      <c r="G39" s="134"/>
      <c r="H39" s="134"/>
      <c r="I39" s="134"/>
      <c r="J39" s="134"/>
      <c r="K39" s="134"/>
      <c r="L39" s="134"/>
    </row>
    <row r="40" spans="1:49" x14ac:dyDescent="0.2">
      <c r="A40" s="632" t="s">
        <v>683</v>
      </c>
      <c r="B40" s="641">
        <v>60</v>
      </c>
      <c r="C40" s="644">
        <v>54</v>
      </c>
      <c r="D40" s="644">
        <v>6</v>
      </c>
      <c r="E40" s="643">
        <v>0.9</v>
      </c>
      <c r="F40" s="643">
        <v>0.1</v>
      </c>
      <c r="G40" s="134"/>
      <c r="H40" s="134"/>
      <c r="I40" s="134"/>
      <c r="J40" s="134"/>
      <c r="K40" s="134"/>
      <c r="L40" s="134"/>
    </row>
    <row r="41" spans="1:49" x14ac:dyDescent="0.2">
      <c r="A41" s="634" t="s">
        <v>697</v>
      </c>
      <c r="B41" s="645">
        <v>211</v>
      </c>
      <c r="C41" s="645">
        <v>109</v>
      </c>
      <c r="D41" s="645">
        <v>102</v>
      </c>
      <c r="E41" s="646">
        <v>0.51700000000000002</v>
      </c>
      <c r="F41" s="647">
        <v>0.48299999999999998</v>
      </c>
      <c r="G41" s="134"/>
      <c r="H41" s="134"/>
      <c r="I41" s="134"/>
      <c r="J41" s="134"/>
      <c r="K41" s="134"/>
      <c r="L41" s="134"/>
    </row>
    <row r="42" spans="1:49" x14ac:dyDescent="0.2">
      <c r="A42" s="134"/>
      <c r="B42" s="134"/>
      <c r="C42" s="134"/>
      <c r="D42" s="134"/>
      <c r="E42" s="134"/>
      <c r="F42" s="134"/>
      <c r="G42" s="134"/>
      <c r="H42" s="134"/>
      <c r="I42" s="134"/>
      <c r="J42" s="134"/>
      <c r="K42" s="134"/>
      <c r="L42" s="134"/>
      <c r="M42" s="626"/>
      <c r="N42" s="627"/>
      <c r="O42" s="627"/>
      <c r="P42" s="627"/>
      <c r="Q42" s="628"/>
      <c r="R42" s="628"/>
    </row>
    <row r="43" spans="1:49" x14ac:dyDescent="0.2">
      <c r="A43" s="629"/>
      <c r="B43" s="977" t="s">
        <v>678</v>
      </c>
      <c r="C43" s="977"/>
      <c r="D43" s="977"/>
      <c r="E43" s="977"/>
      <c r="F43" s="977"/>
      <c r="G43" s="134"/>
      <c r="H43" s="134"/>
      <c r="I43" s="134"/>
      <c r="J43" s="134"/>
      <c r="K43" s="134"/>
      <c r="L43" s="134"/>
      <c r="M43" s="626"/>
      <c r="N43" s="627"/>
      <c r="O43" s="627"/>
      <c r="P43" s="627"/>
      <c r="Q43" s="628"/>
      <c r="R43" s="628"/>
    </row>
    <row r="44" spans="1:49" ht="25.5" x14ac:dyDescent="0.2">
      <c r="A44" s="630" t="s">
        <v>679</v>
      </c>
      <c r="B44" s="631" t="s">
        <v>680</v>
      </c>
      <c r="C44" s="639" t="s">
        <v>700</v>
      </c>
      <c r="D44" s="639" t="s">
        <v>701</v>
      </c>
      <c r="E44" s="639" t="s">
        <v>702</v>
      </c>
      <c r="F44" s="639" t="s">
        <v>703</v>
      </c>
      <c r="G44" s="134"/>
      <c r="H44" s="134"/>
      <c r="I44" s="134"/>
      <c r="J44" s="134"/>
      <c r="K44" s="134"/>
      <c r="L44" s="134"/>
      <c r="M44" s="626"/>
      <c r="N44" s="627"/>
      <c r="O44" s="627"/>
      <c r="P44" s="627"/>
      <c r="Q44" s="628"/>
      <c r="R44" s="628"/>
    </row>
    <row r="45" spans="1:49" x14ac:dyDescent="0.2">
      <c r="A45" s="632" t="s">
        <v>681</v>
      </c>
      <c r="B45" s="641">
        <v>208</v>
      </c>
      <c r="C45" s="642">
        <v>141</v>
      </c>
      <c r="D45" s="642">
        <v>67</v>
      </c>
      <c r="E45" s="643">
        <v>0.67800000000000005</v>
      </c>
      <c r="F45" s="643">
        <v>0.32200000000000001</v>
      </c>
      <c r="G45" s="134"/>
      <c r="H45" s="134"/>
      <c r="I45" s="134"/>
      <c r="J45" s="134"/>
      <c r="K45" s="134"/>
      <c r="L45" s="134"/>
      <c r="M45" s="626"/>
      <c r="N45" s="627"/>
      <c r="O45" s="627"/>
      <c r="P45" s="627"/>
      <c r="Q45" s="628"/>
      <c r="R45" s="628"/>
    </row>
    <row r="46" spans="1:49" x14ac:dyDescent="0.2">
      <c r="A46" s="632" t="s">
        <v>682</v>
      </c>
      <c r="B46" s="641">
        <v>1024</v>
      </c>
      <c r="C46" s="642">
        <v>622</v>
      </c>
      <c r="D46" s="642">
        <v>402</v>
      </c>
      <c r="E46" s="643">
        <v>0.60699999999999998</v>
      </c>
      <c r="F46" s="643">
        <v>0.39300000000000002</v>
      </c>
      <c r="G46" s="134"/>
      <c r="H46" s="134"/>
      <c r="I46" s="134"/>
      <c r="J46" s="134"/>
      <c r="K46" s="134"/>
      <c r="L46" s="134"/>
      <c r="M46" s="626"/>
      <c r="N46" s="627"/>
      <c r="O46" s="627"/>
      <c r="P46" s="627"/>
      <c r="Q46" s="628"/>
      <c r="R46" s="628"/>
    </row>
    <row r="47" spans="1:49" x14ac:dyDescent="0.2">
      <c r="A47" s="632" t="s">
        <v>683</v>
      </c>
      <c r="B47" s="641">
        <v>224</v>
      </c>
      <c r="C47" s="644">
        <v>186</v>
      </c>
      <c r="D47" s="644">
        <v>38</v>
      </c>
      <c r="E47" s="643">
        <v>0.83</v>
      </c>
      <c r="F47" s="643">
        <v>0.17</v>
      </c>
      <c r="G47" s="134"/>
      <c r="H47" s="134"/>
      <c r="I47" s="134"/>
      <c r="J47" s="134"/>
      <c r="K47" s="134"/>
      <c r="L47" s="134"/>
      <c r="M47" s="626"/>
      <c r="N47" s="627"/>
      <c r="O47" s="627"/>
      <c r="P47" s="627"/>
      <c r="Q47" s="628"/>
      <c r="R47" s="628"/>
    </row>
    <row r="48" spans="1:49" x14ac:dyDescent="0.2">
      <c r="A48" s="634" t="s">
        <v>698</v>
      </c>
      <c r="B48" s="645">
        <v>1456</v>
      </c>
      <c r="C48" s="645">
        <v>949</v>
      </c>
      <c r="D48" s="645">
        <v>507</v>
      </c>
      <c r="E48" s="647">
        <v>0.65200000000000002</v>
      </c>
      <c r="F48" s="647">
        <v>0.34799999999999998</v>
      </c>
      <c r="G48" s="134"/>
      <c r="H48" s="134"/>
      <c r="I48" s="134"/>
      <c r="J48" s="134"/>
      <c r="K48" s="134"/>
      <c r="L48" s="134"/>
      <c r="M48" s="626"/>
      <c r="N48" s="627"/>
      <c r="O48" s="627"/>
      <c r="P48" s="627"/>
      <c r="Q48" s="628"/>
      <c r="R48" s="628"/>
    </row>
    <row r="49" spans="1:18" x14ac:dyDescent="0.2">
      <c r="A49" s="134"/>
      <c r="B49" s="134"/>
      <c r="C49" s="134"/>
      <c r="D49" s="134"/>
      <c r="E49" s="134"/>
      <c r="F49" s="134"/>
      <c r="G49" s="134"/>
      <c r="H49" s="134"/>
      <c r="I49" s="134"/>
      <c r="J49" s="134"/>
      <c r="K49" s="134"/>
      <c r="L49" s="134"/>
      <c r="M49" s="626"/>
      <c r="N49" s="627"/>
      <c r="O49" s="627"/>
      <c r="P49" s="627"/>
      <c r="Q49" s="628"/>
      <c r="R49" s="628"/>
    </row>
    <row r="50" spans="1:18" x14ac:dyDescent="0.2">
      <c r="A50" s="200" t="s">
        <v>670</v>
      </c>
      <c r="B50" s="134"/>
      <c r="C50" s="134"/>
      <c r="D50" s="134"/>
      <c r="E50" s="134"/>
      <c r="F50" s="134"/>
      <c r="G50" s="134"/>
      <c r="H50" s="134"/>
      <c r="I50" s="134"/>
      <c r="J50" s="134"/>
      <c r="K50" s="134"/>
      <c r="L50" s="134"/>
      <c r="M50" s="134"/>
      <c r="N50" s="134"/>
      <c r="O50" s="134"/>
    </row>
    <row r="75" spans="1:14" x14ac:dyDescent="0.2">
      <c r="A75" s="112" t="s">
        <v>361</v>
      </c>
      <c r="N75" s="112" t="s">
        <v>364</v>
      </c>
    </row>
    <row r="100" spans="1:14" x14ac:dyDescent="0.2">
      <c r="A100" s="555" t="s">
        <v>675</v>
      </c>
      <c r="N100" s="555" t="s">
        <v>674</v>
      </c>
    </row>
    <row r="125" spans="1:14" ht="14.25" x14ac:dyDescent="0.2">
      <c r="A125" s="555" t="s">
        <v>671</v>
      </c>
      <c r="N125" s="555" t="s">
        <v>672</v>
      </c>
    </row>
    <row r="150" spans="1:14" x14ac:dyDescent="0.2">
      <c r="A150" s="625" t="s">
        <v>673</v>
      </c>
      <c r="N150" s="555" t="s">
        <v>676</v>
      </c>
    </row>
    <row r="175" spans="1:14" x14ac:dyDescent="0.2">
      <c r="A175" s="555" t="s">
        <v>677</v>
      </c>
      <c r="N175" s="625" t="s">
        <v>733</v>
      </c>
    </row>
  </sheetData>
  <mergeCells count="2">
    <mergeCell ref="B43:F43"/>
    <mergeCell ref="B36:F36"/>
  </mergeCells>
  <phoneticPr fontId="0" type="noConversion"/>
  <hyperlinks>
    <hyperlink ref="A1" location="Content!A1" display="Return to Contents"/>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B8A672F652D04599A2860C57F343EA" ma:contentTypeVersion="3" ma:contentTypeDescription="Create a new document." ma:contentTypeScope="" ma:versionID="14c4e0296055fba32fd2a6ce4fb72e58">
  <xsd:schema xmlns:xsd="http://www.w3.org/2001/XMLSchema" xmlns:xs="http://www.w3.org/2001/XMLSchema" xmlns:p="http://schemas.microsoft.com/office/2006/metadata/properties" xmlns:ns2="0a03863b-e219-4c95-b717-9c854d88e252" targetNamespace="http://schemas.microsoft.com/office/2006/metadata/properties" ma:root="true" ma:fieldsID="30f3179b882bc2a695ec33a687e72783" ns2:_="">
    <xsd:import namespace="0a03863b-e219-4c95-b717-9c854d88e252"/>
    <xsd:element name="properties">
      <xsd:complexType>
        <xsd:sequence>
          <xsd:element name="documentManagement">
            <xsd:complexType>
              <xsd:all>
                <xsd:element ref="ns2:BoardPaperType"/>
                <xsd:element ref="ns2:MeetingDateTime"/>
                <xsd:element ref="ns2:Ven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03863b-e219-4c95-b717-9c854d88e252" elementFormDefault="qualified">
    <xsd:import namespace="http://schemas.microsoft.com/office/2006/documentManagement/types"/>
    <xsd:import namespace="http://schemas.microsoft.com/office/infopath/2007/PartnerControls"/>
    <xsd:element name="BoardPaperType" ma:index="8" ma:displayName="Board Paper Type" ma:default="Board Paper" ma:format="Dropdown" ma:internalName="BoardPaperType">
      <xsd:simpleType>
        <xsd:restriction base="dms:Choice">
          <xsd:enumeration value="Board Paper"/>
          <xsd:enumeration value="Attachment"/>
        </xsd:restriction>
      </xsd:simpleType>
    </xsd:element>
    <xsd:element name="MeetingDateTime" ma:index="9" ma:displayName="Meeting Date and Time" ma:format="DateTime" ma:internalName="MeetingDateTime">
      <xsd:simpleType>
        <xsd:restriction base="dms:DateTime"/>
      </xsd:simpleType>
    </xsd:element>
    <xsd:element name="Venue" ma:index="10" nillable="true" ma:displayName="Venue" ma:internalName="Venu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etingDateTime xmlns="0a03863b-e219-4c95-b717-9c854d88e252">2017-10-04T08:30:00+00:00</MeetingDateTime>
    <Venue xmlns="0a03863b-e219-4c95-b717-9c854d88e252">Scotttish Health Service Centre, Crewe Road South, Edinburgh EH4 2LF</Venue>
    <BoardPaperType xmlns="0a03863b-e219-4c95-b717-9c854d88e252">Attachment</BoardPaperType>
  </documentManagement>
</p:properties>
</file>

<file path=customXml/itemProps1.xml><?xml version="1.0" encoding="utf-8"?>
<ds:datastoreItem xmlns:ds="http://schemas.openxmlformats.org/officeDocument/2006/customXml" ds:itemID="{F397A55B-C97A-493F-855A-6E00247FF06E}"/>
</file>

<file path=customXml/itemProps2.xml><?xml version="1.0" encoding="utf-8"?>
<ds:datastoreItem xmlns:ds="http://schemas.openxmlformats.org/officeDocument/2006/customXml" ds:itemID="{12C6397C-DB1C-4D1F-B0B6-A765115C81F5}"/>
</file>

<file path=customXml/itemProps3.xml><?xml version="1.0" encoding="utf-8"?>
<ds:datastoreItem xmlns:ds="http://schemas.openxmlformats.org/officeDocument/2006/customXml" ds:itemID="{D26CAB2A-27EB-4F42-ACBF-031B0528F20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58</vt:i4>
      </vt:variant>
    </vt:vector>
  </HeadingPairs>
  <TitlesOfParts>
    <vt:vector size="106" baseType="lpstr">
      <vt:lpstr>Content</vt:lpstr>
      <vt:lpstr>Overview Table</vt:lpstr>
      <vt:lpstr>A&amp;E WT</vt:lpstr>
      <vt:lpstr>A&amp;E WT - Published</vt:lpstr>
      <vt:lpstr>ABI</vt:lpstr>
      <vt:lpstr>ABI - Published</vt:lpstr>
      <vt:lpstr>Antenatal</vt:lpstr>
      <vt:lpstr>Antenatal - Published</vt:lpstr>
      <vt:lpstr>CAMHS</vt:lpstr>
      <vt:lpstr>CAMHS - Published</vt:lpstr>
      <vt:lpstr>Cancer - 31 Day</vt:lpstr>
      <vt:lpstr>Cancer - 62 Day</vt:lpstr>
      <vt:lpstr>Cancer - Published</vt:lpstr>
      <vt:lpstr>Cardiac Arrest</vt:lpstr>
      <vt:lpstr>Complaints</vt:lpstr>
      <vt:lpstr>Complaints - Published</vt:lpstr>
      <vt:lpstr>Delayed Discharges</vt:lpstr>
      <vt:lpstr>Delayed Discharges - Published</vt:lpstr>
      <vt:lpstr>Dementia</vt:lpstr>
      <vt:lpstr>Dementia - Published</vt:lpstr>
      <vt:lpstr>DCE</vt:lpstr>
      <vt:lpstr>Diagnostics</vt:lpstr>
      <vt:lpstr>Diagnostics - Published</vt:lpstr>
      <vt:lpstr>Drug &amp; Alcohol - Published</vt:lpstr>
      <vt:lpstr>Falls</vt:lpstr>
      <vt:lpstr>GP Access</vt:lpstr>
      <vt:lpstr>HAI - C.Diff</vt:lpstr>
      <vt:lpstr>HAI - SAB</vt:lpstr>
      <vt:lpstr>HAI - Published</vt:lpstr>
      <vt:lpstr>Hospital Scorecard</vt:lpstr>
      <vt:lpstr>HSMR</vt:lpstr>
      <vt:lpstr>Inpatient - TTG</vt:lpstr>
      <vt:lpstr>Inpatient - Published</vt:lpstr>
      <vt:lpstr>IVF</vt:lpstr>
      <vt:lpstr>IVF - Published</vt:lpstr>
      <vt:lpstr>Outpatient</vt:lpstr>
      <vt:lpstr>Outpatient - Published</vt:lpstr>
      <vt:lpstr>Patient Experience</vt:lpstr>
      <vt:lpstr>P.R. Surveillance Endoscopy</vt:lpstr>
      <vt:lpstr>Psych Therapies</vt:lpstr>
      <vt:lpstr>Psych Therapies - Published</vt:lpstr>
      <vt:lpstr>RTT</vt:lpstr>
      <vt:lpstr>RTT - Published</vt:lpstr>
      <vt:lpstr>Sickness Absence</vt:lpstr>
      <vt:lpstr>Sickness Absence - Published</vt:lpstr>
      <vt:lpstr>Smoking Cessation</vt:lpstr>
      <vt:lpstr>Smoking Cessation - Published</vt:lpstr>
      <vt:lpstr>Stroke</vt:lpstr>
      <vt:lpstr>Diagnostics!_ftn1</vt:lpstr>
      <vt:lpstr>Stroke!_ftn2</vt:lpstr>
      <vt:lpstr>Stroke!_ftn3</vt:lpstr>
      <vt:lpstr>'Overview Table'!_ftn4</vt:lpstr>
      <vt:lpstr>'Overview Table'!_ftn5</vt:lpstr>
      <vt:lpstr>'Overview Table'!_ftn6</vt:lpstr>
      <vt:lpstr>'Overview Table'!_ftn7</vt:lpstr>
      <vt:lpstr>Diagnostics!_ftnref1</vt:lpstr>
      <vt:lpstr>'Overview Table'!_ftnref10</vt:lpstr>
      <vt:lpstr>'Overview Table'!_ftnref11</vt:lpstr>
      <vt:lpstr>Stroke!_ftnref2</vt:lpstr>
      <vt:lpstr>Stroke!_ftnref3</vt:lpstr>
      <vt:lpstr>'Overview Table'!_ftnref4</vt:lpstr>
      <vt:lpstr>'Overview Table'!_ftnref5</vt:lpstr>
      <vt:lpstr>'Overview Table'!_ftnref9</vt:lpstr>
      <vt:lpstr>'Overview Table'!Abbreviations</vt:lpstr>
      <vt:lpstr>'Overview Table'!ABIs_2</vt:lpstr>
      <vt:lpstr>'Overview Table'!Antenatal_2</vt:lpstr>
      <vt:lpstr>'Overview Table'!CAMHs_2</vt:lpstr>
      <vt:lpstr>'Overview Table'!Cancer31_2</vt:lpstr>
      <vt:lpstr>'Overview Table'!Cancer62_2</vt:lpstr>
      <vt:lpstr>'Overview Table'!Cardiac_2</vt:lpstr>
      <vt:lpstr>'Overview Table'!CDI_2</vt:lpstr>
      <vt:lpstr>'Dementia - Published'!chart1</vt:lpstr>
      <vt:lpstr>chart1</vt:lpstr>
      <vt:lpstr>'Overview Table'!Complaints_20_2</vt:lpstr>
      <vt:lpstr>'Overview Table'!Complaints_3_2</vt:lpstr>
      <vt:lpstr>'Overview Table'!DateofPublishedNHSLothianvsScotland</vt:lpstr>
      <vt:lpstr>'Overview Table'!DCE_2</vt:lpstr>
      <vt:lpstr>'Overview Table'!Delayed_2</vt:lpstr>
      <vt:lpstr>'Overview Table'!Dementia_2</vt:lpstr>
      <vt:lpstr>'Overview Table'!Diagnostics_2</vt:lpstr>
      <vt:lpstr>'Overview Table'!Falls_2</vt:lpstr>
      <vt:lpstr>'Overview Table'!FourHour_2</vt:lpstr>
      <vt:lpstr>'Overview Table'!HealthcareQualityDomain</vt:lpstr>
      <vt:lpstr>'Overview Table'!HSMR_2</vt:lpstr>
      <vt:lpstr>'Overview Table'!IPDC_2</vt:lpstr>
      <vt:lpstr>'Overview Table'!IVF_2</vt:lpstr>
      <vt:lpstr>'Overview Table'!Measure</vt:lpstr>
      <vt:lpstr>'Overview Table'!OP_2</vt:lpstr>
      <vt:lpstr>'Overview Table'!PatientExperience_2</vt:lpstr>
      <vt:lpstr>'Overview Table'!PerformanceAgainstTargetStandard</vt:lpstr>
      <vt:lpstr>'Overview Table'!PT_2</vt:lpstr>
      <vt:lpstr>'Overview Table'!PublishedNHSLothianvsScotland</vt:lpstr>
      <vt:lpstr>'Overview Table'!RTT_2</vt:lpstr>
      <vt:lpstr>'Overview Table'!SAB_2</vt:lpstr>
      <vt:lpstr>'Overview Table'!ScorecardLoSMed_2</vt:lpstr>
      <vt:lpstr>'Overview Table'!ScorecardLoSSurg_2</vt:lpstr>
      <vt:lpstr>'Overview Table'!ScorecardMed28_2</vt:lpstr>
      <vt:lpstr>'Overview Table'!ScorecardMed7_2</vt:lpstr>
      <vt:lpstr>'Overview Table'!ScorecardSurg28_2</vt:lpstr>
      <vt:lpstr>'Overview Table'!ScorecardSurg7_2</vt:lpstr>
      <vt:lpstr>'Overview Table'!Smoking_2</vt:lpstr>
      <vt:lpstr>'Overview Table'!StaffSickness_2</vt:lpstr>
      <vt:lpstr>'Overview Table'!Stroke_2</vt:lpstr>
      <vt:lpstr>'Overview Table'!Surveillance_2</vt:lpstr>
      <vt:lpstr>'Overview Table'!Trend</vt:lpstr>
      <vt:lpstr>'Overview Table'!Type</vt:lpstr>
    </vt:vector>
  </TitlesOfParts>
  <Company>NHS Lothian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2.2 Appendix 4 Quality and Performance Improvement Reporting Repository - Oct 17</dc:title>
  <dc:creator>Ryan Mackie</dc:creator>
  <cp:lastModifiedBy>Ryan Mackie</cp:lastModifiedBy>
  <cp:lastPrinted>2017-07-27T12:36:13Z</cp:lastPrinted>
  <dcterms:created xsi:type="dcterms:W3CDTF">2016-07-01T08:35:43Z</dcterms:created>
  <dcterms:modified xsi:type="dcterms:W3CDTF">2017-09-28T16:11:38Z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0x01010089B8A672F652D04599A2860C57F343EA</vt:lpwstr>
  </property>
</Properties>
</file>